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8275" windowHeight="12300"/>
  </bookViews>
  <sheets>
    <sheet name="EAVERT" sheetId="1" r:id="rId1"/>
  </sheets>
  <definedNames>
    <definedName name="_xlnm.Print_Area" localSheetId="0">EAVERT!$A$1:$K$46,EAVERT!$A$49:$H$89,EAVERT!$J$49:$V$89,EAVERT!$A$97:$I$146,EAVERT!$L$95:$V$154,EAVERT!$A$160:$I$208,EAVERT!$L$158:$V$213,EAVERT!$A$215:$K$253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EAVERT!$R$90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K233" i="1" l="1"/>
  <c r="D253" i="1" s="1"/>
  <c r="K232" i="1"/>
  <c r="F252" i="1" s="1"/>
  <c r="K229" i="1"/>
  <c r="H249" i="1" s="1"/>
  <c r="K228" i="1"/>
  <c r="D248" i="1" s="1"/>
  <c r="K227" i="1"/>
  <c r="G247" i="1" s="1"/>
  <c r="K226" i="1"/>
  <c r="I246" i="1" s="1"/>
  <c r="K225" i="1"/>
  <c r="G245" i="1" s="1"/>
  <c r="K224" i="1"/>
  <c r="I244" i="1" s="1"/>
  <c r="K218" i="1"/>
  <c r="G238" i="1" s="1"/>
  <c r="K217" i="1"/>
  <c r="F237" i="1" s="1"/>
  <c r="U209" i="1"/>
  <c r="T209" i="1"/>
  <c r="S209" i="1"/>
  <c r="R209" i="1"/>
  <c r="Q209" i="1"/>
  <c r="P209" i="1"/>
  <c r="O209" i="1"/>
  <c r="N209" i="1"/>
  <c r="M209" i="1"/>
  <c r="V204" i="1"/>
  <c r="V203" i="1"/>
  <c r="U180" i="1"/>
  <c r="T180" i="1"/>
  <c r="S180" i="1"/>
  <c r="R180" i="1"/>
  <c r="Q180" i="1"/>
  <c r="P180" i="1"/>
  <c r="O180" i="1"/>
  <c r="N180" i="1"/>
  <c r="M180" i="1"/>
  <c r="U179" i="1"/>
  <c r="T179" i="1"/>
  <c r="S179" i="1"/>
  <c r="R179" i="1"/>
  <c r="Q179" i="1"/>
  <c r="P179" i="1"/>
  <c r="O179" i="1"/>
  <c r="N179" i="1"/>
  <c r="M179" i="1"/>
  <c r="U166" i="1"/>
  <c r="T166" i="1"/>
  <c r="S166" i="1"/>
  <c r="R166" i="1"/>
  <c r="Q166" i="1"/>
  <c r="P166" i="1"/>
  <c r="O166" i="1"/>
  <c r="N166" i="1"/>
  <c r="M166" i="1"/>
  <c r="U165" i="1"/>
  <c r="T165" i="1"/>
  <c r="S165" i="1"/>
  <c r="R165" i="1"/>
  <c r="Q165" i="1"/>
  <c r="P165" i="1"/>
  <c r="O165" i="1"/>
  <c r="N165" i="1"/>
  <c r="M165" i="1"/>
  <c r="U152" i="1"/>
  <c r="T152" i="1"/>
  <c r="S152" i="1"/>
  <c r="R152" i="1"/>
  <c r="Q152" i="1"/>
  <c r="P152" i="1"/>
  <c r="O152" i="1"/>
  <c r="N152" i="1"/>
  <c r="M152" i="1"/>
  <c r="U117" i="1"/>
  <c r="T117" i="1"/>
  <c r="S117" i="1"/>
  <c r="R117" i="1"/>
  <c r="Q117" i="1"/>
  <c r="P117" i="1"/>
  <c r="O117" i="1"/>
  <c r="N117" i="1"/>
  <c r="M117" i="1"/>
  <c r="U104" i="1"/>
  <c r="T104" i="1"/>
  <c r="S104" i="1"/>
  <c r="R104" i="1"/>
  <c r="Q104" i="1"/>
  <c r="P104" i="1"/>
  <c r="O104" i="1"/>
  <c r="N104" i="1"/>
  <c r="M104" i="1"/>
  <c r="U103" i="1"/>
  <c r="T103" i="1"/>
  <c r="S103" i="1"/>
  <c r="R103" i="1"/>
  <c r="Q103" i="1"/>
  <c r="P103" i="1"/>
  <c r="O103" i="1"/>
  <c r="N103" i="1"/>
  <c r="M103" i="1"/>
  <c r="P89" i="1"/>
  <c r="M89" i="1"/>
  <c r="U61" i="1"/>
  <c r="E104" i="1" s="1"/>
  <c r="T60" i="1"/>
  <c r="U60" i="1"/>
  <c r="O89" i="1"/>
  <c r="Q89" i="1"/>
  <c r="M52" i="1"/>
  <c r="L52" i="1"/>
  <c r="E45" i="1"/>
  <c r="D43" i="1"/>
  <c r="F43" i="1" s="1"/>
  <c r="D42" i="1"/>
  <c r="F42" i="1" s="1"/>
  <c r="D41" i="1"/>
  <c r="F41" i="1" s="1"/>
  <c r="K85" i="1" s="1"/>
  <c r="D40" i="1"/>
  <c r="F40" i="1" s="1"/>
  <c r="K84" i="1" s="1"/>
  <c r="D39" i="1"/>
  <c r="F39" i="1" s="1"/>
  <c r="K83" i="1" s="1"/>
  <c r="D38" i="1"/>
  <c r="F38" i="1" s="1"/>
  <c r="K82" i="1" s="1"/>
  <c r="D37" i="1"/>
  <c r="F37" i="1" s="1"/>
  <c r="K81" i="1" s="1"/>
  <c r="D36" i="1"/>
  <c r="F36" i="1" s="1"/>
  <c r="D35" i="1"/>
  <c r="F35" i="1" s="1"/>
  <c r="D34" i="1"/>
  <c r="F34" i="1" s="1"/>
  <c r="D33" i="1"/>
  <c r="F33" i="1" s="1"/>
  <c r="D32" i="1"/>
  <c r="F32" i="1" s="1"/>
  <c r="D31" i="1"/>
  <c r="F31" i="1" s="1"/>
  <c r="D30" i="1"/>
  <c r="F30" i="1" s="1"/>
  <c r="K74" i="1" s="1"/>
  <c r="D29" i="1"/>
  <c r="F29" i="1" s="1"/>
  <c r="G73" i="1" s="1"/>
  <c r="D28" i="1"/>
  <c r="F28" i="1" s="1"/>
  <c r="D27" i="1"/>
  <c r="F27" i="1" s="1"/>
  <c r="D26" i="1"/>
  <c r="F26" i="1" s="1"/>
  <c r="D25" i="1"/>
  <c r="F25" i="1" s="1"/>
  <c r="K69" i="1" s="1"/>
  <c r="D24" i="1"/>
  <c r="F24" i="1" s="1"/>
  <c r="K68" i="1" s="1"/>
  <c r="D23" i="1"/>
  <c r="F23" i="1" s="1"/>
  <c r="K67" i="1" s="1"/>
  <c r="D22" i="1"/>
  <c r="F22" i="1" s="1"/>
  <c r="F66" i="1" s="1"/>
  <c r="D21" i="1"/>
  <c r="F21" i="1" s="1"/>
  <c r="K65" i="1" s="1"/>
  <c r="D20" i="1"/>
  <c r="F20" i="1" s="1"/>
  <c r="K64" i="1" s="1"/>
  <c r="D19" i="1"/>
  <c r="F19" i="1" s="1"/>
  <c r="G63" i="1" s="1"/>
  <c r="D18" i="1"/>
  <c r="F18" i="1" s="1"/>
  <c r="K62" i="1" s="1"/>
  <c r="L51" i="1"/>
  <c r="D17" i="1"/>
  <c r="D16" i="1"/>
  <c r="D15" i="1"/>
  <c r="F15" i="1" s="1"/>
  <c r="K57" i="1" s="1"/>
  <c r="D14" i="1"/>
  <c r="F14" i="1" s="1"/>
  <c r="K56" i="1" s="1"/>
  <c r="D13" i="1"/>
  <c r="F13" i="1" s="1"/>
  <c r="D12" i="1"/>
  <c r="F12" i="1" s="1"/>
  <c r="G54" i="1" s="1"/>
  <c r="D11" i="1"/>
  <c r="C45" i="1"/>
  <c r="E249" i="1" l="1"/>
  <c r="G62" i="1"/>
  <c r="H248" i="1"/>
  <c r="F65" i="1"/>
  <c r="D238" i="1"/>
  <c r="F248" i="1"/>
  <c r="K54" i="1"/>
  <c r="V103" i="1"/>
  <c r="V165" i="1"/>
  <c r="H57" i="1"/>
  <c r="U57" i="1" s="1"/>
  <c r="E114" i="1" s="1"/>
  <c r="C249" i="1"/>
  <c r="J252" i="1"/>
  <c r="H238" i="1"/>
  <c r="H245" i="1"/>
  <c r="H54" i="1"/>
  <c r="G65" i="1"/>
  <c r="I249" i="1"/>
  <c r="E253" i="1"/>
  <c r="D247" i="1"/>
  <c r="V117" i="1"/>
  <c r="V166" i="1"/>
  <c r="G253" i="1"/>
  <c r="B244" i="1"/>
  <c r="B246" i="1"/>
  <c r="F54" i="1"/>
  <c r="F56" i="1"/>
  <c r="V180" i="1"/>
  <c r="J248" i="1"/>
  <c r="G249" i="1"/>
  <c r="D252" i="1"/>
  <c r="C253" i="1"/>
  <c r="H253" i="1"/>
  <c r="F244" i="1"/>
  <c r="F246" i="1"/>
  <c r="D249" i="1"/>
  <c r="H74" i="1"/>
  <c r="U74" i="1" s="1"/>
  <c r="E124" i="1" s="1"/>
  <c r="V209" i="1"/>
  <c r="H247" i="1"/>
  <c r="H56" i="1"/>
  <c r="U56" i="1" s="1"/>
  <c r="E113" i="1" s="1"/>
  <c r="G64" i="1"/>
  <c r="F74" i="1"/>
  <c r="H252" i="1"/>
  <c r="B237" i="1"/>
  <c r="J244" i="1"/>
  <c r="D245" i="1"/>
  <c r="J246" i="1"/>
  <c r="K75" i="1"/>
  <c r="H75" i="1"/>
  <c r="K55" i="1"/>
  <c r="F55" i="1"/>
  <c r="K76" i="1"/>
  <c r="F76" i="1"/>
  <c r="G76" i="1"/>
  <c r="K77" i="1"/>
  <c r="H77" i="1"/>
  <c r="K80" i="1"/>
  <c r="F80" i="1"/>
  <c r="H80" i="1"/>
  <c r="F57" i="1"/>
  <c r="B45" i="1"/>
  <c r="E164" i="1"/>
  <c r="E102" i="1"/>
  <c r="F17" i="1"/>
  <c r="K59" i="1" s="1"/>
  <c r="K15" i="1"/>
  <c r="K78" i="1"/>
  <c r="F78" i="1"/>
  <c r="G78" i="1"/>
  <c r="K79" i="1"/>
  <c r="F79" i="1"/>
  <c r="H79" i="1"/>
  <c r="G55" i="1"/>
  <c r="F64" i="1"/>
  <c r="G67" i="1"/>
  <c r="F69" i="1"/>
  <c r="G70" i="1"/>
  <c r="G71" i="1"/>
  <c r="H72" i="1"/>
  <c r="U72" i="1" s="1"/>
  <c r="H76" i="1"/>
  <c r="H78" i="1"/>
  <c r="H55" i="1"/>
  <c r="G56" i="1"/>
  <c r="H62" i="1"/>
  <c r="U62" i="1" s="1"/>
  <c r="F63" i="1"/>
  <c r="F67" i="1"/>
  <c r="F68" i="1"/>
  <c r="H70" i="1"/>
  <c r="U70" i="1" s="1"/>
  <c r="H71" i="1"/>
  <c r="U71" i="1" s="1"/>
  <c r="H73" i="1"/>
  <c r="U73" i="1" s="1"/>
  <c r="D45" i="1"/>
  <c r="F11" i="1"/>
  <c r="G53" i="1" s="1"/>
  <c r="E117" i="1"/>
  <c r="E103" i="1"/>
  <c r="G66" i="1"/>
  <c r="G68" i="1"/>
  <c r="H69" i="1"/>
  <c r="U69" i="1" s="1"/>
  <c r="F72" i="1"/>
  <c r="F75" i="1"/>
  <c r="F77" i="1"/>
  <c r="G80" i="1"/>
  <c r="K19" i="1"/>
  <c r="F16" i="1"/>
  <c r="K58" i="1" s="1"/>
  <c r="G57" i="1"/>
  <c r="E165" i="1"/>
  <c r="E179" i="1"/>
  <c r="F61" i="1"/>
  <c r="T61" i="1"/>
  <c r="F62" i="1"/>
  <c r="H63" i="1"/>
  <c r="U63" i="1" s="1"/>
  <c r="H64" i="1"/>
  <c r="U64" i="1" s="1"/>
  <c r="H65" i="1"/>
  <c r="U65" i="1" s="1"/>
  <c r="H66" i="1"/>
  <c r="U66" i="1" s="1"/>
  <c r="H67" i="1"/>
  <c r="U67" i="1" s="1"/>
  <c r="H68" i="1"/>
  <c r="U68" i="1" s="1"/>
  <c r="F70" i="1"/>
  <c r="F71" i="1"/>
  <c r="G72" i="1"/>
  <c r="G74" i="1"/>
  <c r="G75" i="1"/>
  <c r="G77" i="1"/>
  <c r="G79" i="1"/>
  <c r="H81" i="1"/>
  <c r="U81" i="1" s="1"/>
  <c r="H82" i="1"/>
  <c r="U82" i="1" s="1"/>
  <c r="H83" i="1"/>
  <c r="U83" i="1" s="1"/>
  <c r="H84" i="1"/>
  <c r="U84" i="1" s="1"/>
  <c r="H85" i="1"/>
  <c r="U85" i="1" s="1"/>
  <c r="G87" i="1"/>
  <c r="T87" i="1" s="1"/>
  <c r="F73" i="1"/>
  <c r="F82" i="1"/>
  <c r="F84" i="1"/>
  <c r="F86" i="1"/>
  <c r="F87" i="1"/>
  <c r="R89" i="1"/>
  <c r="F60" i="1"/>
  <c r="G82" i="1"/>
  <c r="G84" i="1"/>
  <c r="G86" i="1"/>
  <c r="T86" i="1" s="1"/>
  <c r="V104" i="1"/>
  <c r="K219" i="1"/>
  <c r="C239" i="1" s="1"/>
  <c r="G69" i="1"/>
  <c r="F81" i="1"/>
  <c r="F83" i="1"/>
  <c r="F85" i="1"/>
  <c r="H86" i="1"/>
  <c r="U86" i="1" s="1"/>
  <c r="H87" i="1"/>
  <c r="U87" i="1" s="1"/>
  <c r="V152" i="1"/>
  <c r="G81" i="1"/>
  <c r="G83" i="1"/>
  <c r="G85" i="1"/>
  <c r="T85" i="1" s="1"/>
  <c r="V179" i="1"/>
  <c r="K230" i="1"/>
  <c r="B250" i="1" s="1"/>
  <c r="H239" i="1"/>
  <c r="E248" i="1"/>
  <c r="I248" i="1"/>
  <c r="K231" i="1"/>
  <c r="E251" i="1" s="1"/>
  <c r="E252" i="1"/>
  <c r="I252" i="1"/>
  <c r="B248" i="1"/>
  <c r="I237" i="1"/>
  <c r="E237" i="1"/>
  <c r="H237" i="1"/>
  <c r="D237" i="1"/>
  <c r="G237" i="1"/>
  <c r="C237" i="1"/>
  <c r="K223" i="1"/>
  <c r="I243" i="1" s="1"/>
  <c r="I253" i="1"/>
  <c r="J237" i="1"/>
  <c r="K221" i="1"/>
  <c r="C241" i="1" s="1"/>
  <c r="H243" i="1"/>
  <c r="C248" i="1"/>
  <c r="G248" i="1"/>
  <c r="F249" i="1"/>
  <c r="J249" i="1"/>
  <c r="C252" i="1"/>
  <c r="G252" i="1"/>
  <c r="F253" i="1"/>
  <c r="J253" i="1"/>
  <c r="B252" i="1"/>
  <c r="E238" i="1"/>
  <c r="I238" i="1"/>
  <c r="C244" i="1"/>
  <c r="G244" i="1"/>
  <c r="E245" i="1"/>
  <c r="I245" i="1"/>
  <c r="C246" i="1"/>
  <c r="G246" i="1"/>
  <c r="E247" i="1"/>
  <c r="I247" i="1"/>
  <c r="K220" i="1"/>
  <c r="I240" i="1" s="1"/>
  <c r="K222" i="1"/>
  <c r="I242" i="1" s="1"/>
  <c r="B238" i="1"/>
  <c r="F238" i="1"/>
  <c r="J238" i="1"/>
  <c r="D244" i="1"/>
  <c r="H244" i="1"/>
  <c r="B245" i="1"/>
  <c r="F245" i="1"/>
  <c r="J245" i="1"/>
  <c r="D246" i="1"/>
  <c r="H246" i="1"/>
  <c r="B247" i="1"/>
  <c r="F247" i="1"/>
  <c r="J247" i="1"/>
  <c r="B249" i="1"/>
  <c r="B253" i="1"/>
  <c r="C238" i="1"/>
  <c r="E244" i="1"/>
  <c r="C245" i="1"/>
  <c r="E246" i="1"/>
  <c r="C247" i="1"/>
  <c r="D239" i="1" l="1"/>
  <c r="U54" i="1"/>
  <c r="E111" i="1" s="1"/>
  <c r="E239" i="1"/>
  <c r="G239" i="1"/>
  <c r="D243" i="1"/>
  <c r="C251" i="1"/>
  <c r="G243" i="1"/>
  <c r="U75" i="1"/>
  <c r="E125" i="1" s="1"/>
  <c r="G58" i="1"/>
  <c r="C243" i="1"/>
  <c r="U79" i="1"/>
  <c r="E129" i="1" s="1"/>
  <c r="F59" i="1"/>
  <c r="E250" i="1"/>
  <c r="I239" i="1"/>
  <c r="F242" i="1"/>
  <c r="F58" i="1"/>
  <c r="K249" i="1"/>
  <c r="K237" i="1"/>
  <c r="U78" i="1"/>
  <c r="E128" i="1" s="1"/>
  <c r="H59" i="1"/>
  <c r="K245" i="1"/>
  <c r="K238" i="1"/>
  <c r="G240" i="1"/>
  <c r="G251" i="1"/>
  <c r="E243" i="1"/>
  <c r="G59" i="1"/>
  <c r="L72" i="1" s="1"/>
  <c r="T72" i="1" s="1"/>
  <c r="B242" i="1"/>
  <c r="H251" i="1"/>
  <c r="K246" i="1"/>
  <c r="H250" i="1"/>
  <c r="G250" i="1"/>
  <c r="G242" i="1"/>
  <c r="F250" i="1"/>
  <c r="J250" i="1"/>
  <c r="D241" i="1"/>
  <c r="B251" i="1"/>
  <c r="K244" i="1"/>
  <c r="I250" i="1"/>
  <c r="D250" i="1"/>
  <c r="C250" i="1"/>
  <c r="J240" i="1"/>
  <c r="F53" i="1"/>
  <c r="U77" i="1"/>
  <c r="E127" i="1" s="1"/>
  <c r="E133" i="1"/>
  <c r="E137" i="1"/>
  <c r="U124" i="1"/>
  <c r="Q124" i="1"/>
  <c r="M124" i="1"/>
  <c r="T124" i="1"/>
  <c r="P124" i="1"/>
  <c r="S124" i="1"/>
  <c r="O124" i="1"/>
  <c r="N124" i="1"/>
  <c r="R124" i="1"/>
  <c r="U102" i="1"/>
  <c r="Q102" i="1"/>
  <c r="M102" i="1"/>
  <c r="T102" i="1"/>
  <c r="P102" i="1"/>
  <c r="S102" i="1"/>
  <c r="O102" i="1"/>
  <c r="N102" i="1"/>
  <c r="R102" i="1"/>
  <c r="D242" i="1"/>
  <c r="H242" i="1"/>
  <c r="E242" i="1"/>
  <c r="J243" i="1"/>
  <c r="F243" i="1"/>
  <c r="B243" i="1"/>
  <c r="C240" i="1"/>
  <c r="J251" i="1"/>
  <c r="C242" i="1"/>
  <c r="F240" i="1"/>
  <c r="J242" i="1"/>
  <c r="I251" i="1"/>
  <c r="D251" i="1"/>
  <c r="E144" i="1"/>
  <c r="E206" i="1"/>
  <c r="E132" i="1"/>
  <c r="E120" i="1"/>
  <c r="E142" i="1"/>
  <c r="E118" i="1"/>
  <c r="U76" i="1"/>
  <c r="U164" i="1"/>
  <c r="Q164" i="1"/>
  <c r="M164" i="1"/>
  <c r="T164" i="1"/>
  <c r="P164" i="1"/>
  <c r="S164" i="1"/>
  <c r="O164" i="1"/>
  <c r="N164" i="1"/>
  <c r="R164" i="1"/>
  <c r="U80" i="1"/>
  <c r="K253" i="1"/>
  <c r="H240" i="1"/>
  <c r="D240" i="1"/>
  <c r="K252" i="1"/>
  <c r="J241" i="1"/>
  <c r="F241" i="1"/>
  <c r="B241" i="1"/>
  <c r="K248" i="1"/>
  <c r="F251" i="1"/>
  <c r="I241" i="1"/>
  <c r="B240" i="1"/>
  <c r="E198" i="1"/>
  <c r="E143" i="1"/>
  <c r="E240" i="1"/>
  <c r="E135" i="1"/>
  <c r="E131" i="1"/>
  <c r="E122" i="1"/>
  <c r="E119" i="1"/>
  <c r="E140" i="1"/>
  <c r="U55" i="1"/>
  <c r="E141" i="1"/>
  <c r="N59" i="1"/>
  <c r="N89" i="1" s="1"/>
  <c r="S113" i="1"/>
  <c r="O113" i="1"/>
  <c r="R113" i="1"/>
  <c r="N113" i="1"/>
  <c r="U113" i="1"/>
  <c r="Q113" i="1"/>
  <c r="M113" i="1"/>
  <c r="T113" i="1"/>
  <c r="P113" i="1"/>
  <c r="K247" i="1"/>
  <c r="G241" i="1"/>
  <c r="E241" i="1"/>
  <c r="H241" i="1"/>
  <c r="B239" i="1"/>
  <c r="J239" i="1"/>
  <c r="F239" i="1"/>
  <c r="E205" i="1"/>
  <c r="E134" i="1"/>
  <c r="E121" i="1"/>
  <c r="E136" i="1"/>
  <c r="E180" i="1"/>
  <c r="E166" i="1"/>
  <c r="E123" i="1"/>
  <c r="K53" i="1"/>
  <c r="K89" i="1" s="1"/>
  <c r="F46" i="1"/>
  <c r="F45" i="1"/>
  <c r="K20" i="1" s="1"/>
  <c r="K51" i="1" s="1"/>
  <c r="E138" i="1"/>
  <c r="E139" i="1"/>
  <c r="H53" i="1"/>
  <c r="H58" i="1"/>
  <c r="U58" i="1" s="1"/>
  <c r="T114" i="1"/>
  <c r="P114" i="1"/>
  <c r="S114" i="1"/>
  <c r="O114" i="1"/>
  <c r="R114" i="1"/>
  <c r="N114" i="1"/>
  <c r="U114" i="1"/>
  <c r="Q114" i="1"/>
  <c r="M114" i="1"/>
  <c r="F89" i="1" l="1"/>
  <c r="L70" i="1"/>
  <c r="T70" i="1" s="1"/>
  <c r="E201" i="1" s="1"/>
  <c r="L68" i="1"/>
  <c r="T68" i="1" s="1"/>
  <c r="L57" i="1"/>
  <c r="T57" i="1" s="1"/>
  <c r="E176" i="1" s="1"/>
  <c r="L62" i="1"/>
  <c r="T62" i="1" s="1"/>
  <c r="G89" i="1"/>
  <c r="L56" i="1"/>
  <c r="T56" i="1" s="1"/>
  <c r="E175" i="1" s="1"/>
  <c r="L80" i="1"/>
  <c r="T80" i="1" s="1"/>
  <c r="E193" i="1" s="1"/>
  <c r="L79" i="1"/>
  <c r="T79" i="1" s="1"/>
  <c r="E192" i="1" s="1"/>
  <c r="L54" i="1"/>
  <c r="T54" i="1" s="1"/>
  <c r="E173" i="1" s="1"/>
  <c r="L84" i="1"/>
  <c r="T84" i="1" s="1"/>
  <c r="L55" i="1"/>
  <c r="T55" i="1" s="1"/>
  <c r="E174" i="1" s="1"/>
  <c r="L58" i="1"/>
  <c r="T58" i="1" s="1"/>
  <c r="E177" i="1" s="1"/>
  <c r="L81" i="1"/>
  <c r="T81" i="1" s="1"/>
  <c r="E194" i="1" s="1"/>
  <c r="L66" i="1"/>
  <c r="T66" i="1" s="1"/>
  <c r="K250" i="1"/>
  <c r="K251" i="1"/>
  <c r="L53" i="1"/>
  <c r="T53" i="1" s="1"/>
  <c r="E172" i="1" s="1"/>
  <c r="L78" i="1"/>
  <c r="T78" i="1" s="1"/>
  <c r="K242" i="1"/>
  <c r="L73" i="1"/>
  <c r="T73" i="1" s="1"/>
  <c r="L82" i="1"/>
  <c r="T82" i="1" s="1"/>
  <c r="E195" i="1" s="1"/>
  <c r="L59" i="1"/>
  <c r="T59" i="1" s="1"/>
  <c r="L74" i="1"/>
  <c r="T74" i="1" s="1"/>
  <c r="E187" i="1" s="1"/>
  <c r="L63" i="1"/>
  <c r="T63" i="1" s="1"/>
  <c r="L83" i="1"/>
  <c r="T83" i="1" s="1"/>
  <c r="E196" i="1" s="1"/>
  <c r="L69" i="1"/>
  <c r="T69" i="1" s="1"/>
  <c r="E186" i="1" s="1"/>
  <c r="L77" i="1"/>
  <c r="T77" i="1" s="1"/>
  <c r="E190" i="1" s="1"/>
  <c r="L76" i="1"/>
  <c r="T76" i="1" s="1"/>
  <c r="L75" i="1"/>
  <c r="T75" i="1" s="1"/>
  <c r="E188" i="1" s="1"/>
  <c r="L71" i="1"/>
  <c r="T71" i="1" s="1"/>
  <c r="E202" i="1" s="1"/>
  <c r="L64" i="1"/>
  <c r="T64" i="1" s="1"/>
  <c r="E182" i="1" s="1"/>
  <c r="L67" i="1"/>
  <c r="T67" i="1" s="1"/>
  <c r="L65" i="1"/>
  <c r="T65" i="1" s="1"/>
  <c r="E183" i="1" s="1"/>
  <c r="E197" i="1"/>
  <c r="E189" i="1"/>
  <c r="S138" i="1"/>
  <c r="O138" i="1"/>
  <c r="T138" i="1"/>
  <c r="N138" i="1"/>
  <c r="R138" i="1"/>
  <c r="M138" i="1"/>
  <c r="Q138" i="1"/>
  <c r="U138" i="1"/>
  <c r="P138" i="1"/>
  <c r="T123" i="1"/>
  <c r="P123" i="1"/>
  <c r="S123" i="1"/>
  <c r="O123" i="1"/>
  <c r="R123" i="1"/>
  <c r="N123" i="1"/>
  <c r="U123" i="1"/>
  <c r="Q123" i="1"/>
  <c r="M123" i="1"/>
  <c r="R140" i="1"/>
  <c r="N140" i="1"/>
  <c r="T140" i="1"/>
  <c r="O140" i="1"/>
  <c r="S140" i="1"/>
  <c r="M140" i="1"/>
  <c r="Q140" i="1"/>
  <c r="P140" i="1"/>
  <c r="U140" i="1"/>
  <c r="U143" i="1"/>
  <c r="Q143" i="1"/>
  <c r="M143" i="1"/>
  <c r="T143" i="1"/>
  <c r="O143" i="1"/>
  <c r="S143" i="1"/>
  <c r="N143" i="1"/>
  <c r="R143" i="1"/>
  <c r="P143" i="1"/>
  <c r="K240" i="1"/>
  <c r="R206" i="1"/>
  <c r="N206" i="1"/>
  <c r="U206" i="1"/>
  <c r="Q206" i="1"/>
  <c r="M206" i="1"/>
  <c r="T206" i="1"/>
  <c r="P206" i="1"/>
  <c r="S206" i="1"/>
  <c r="O206" i="1"/>
  <c r="V102" i="1"/>
  <c r="E204" i="1"/>
  <c r="E199" i="1"/>
  <c r="E191" i="1"/>
  <c r="E200" i="1"/>
  <c r="S134" i="1"/>
  <c r="O134" i="1"/>
  <c r="T134" i="1"/>
  <c r="N134" i="1"/>
  <c r="R134" i="1"/>
  <c r="M134" i="1"/>
  <c r="Q134" i="1"/>
  <c r="U134" i="1"/>
  <c r="P134" i="1"/>
  <c r="K239" i="1"/>
  <c r="V113" i="1"/>
  <c r="E184" i="1"/>
  <c r="E112" i="1"/>
  <c r="T119" i="1"/>
  <c r="P119" i="1"/>
  <c r="S119" i="1"/>
  <c r="O119" i="1"/>
  <c r="R119" i="1"/>
  <c r="N119" i="1"/>
  <c r="U119" i="1"/>
  <c r="Q119" i="1"/>
  <c r="M119" i="1"/>
  <c r="E130" i="1"/>
  <c r="V164" i="1"/>
  <c r="R142" i="1"/>
  <c r="N142" i="1"/>
  <c r="Q142" i="1"/>
  <c r="U142" i="1"/>
  <c r="P142" i="1"/>
  <c r="T142" i="1"/>
  <c r="O142" i="1"/>
  <c r="M142" i="1"/>
  <c r="S142" i="1"/>
  <c r="K243" i="1"/>
  <c r="R129" i="1"/>
  <c r="N129" i="1"/>
  <c r="U129" i="1"/>
  <c r="Q129" i="1"/>
  <c r="M129" i="1"/>
  <c r="T129" i="1"/>
  <c r="P129" i="1"/>
  <c r="S129" i="1"/>
  <c r="O129" i="1"/>
  <c r="V124" i="1"/>
  <c r="S111" i="1"/>
  <c r="O111" i="1"/>
  <c r="R111" i="1"/>
  <c r="N111" i="1"/>
  <c r="U111" i="1"/>
  <c r="Q111" i="1"/>
  <c r="M111" i="1"/>
  <c r="T111" i="1"/>
  <c r="P111" i="1"/>
  <c r="T131" i="1"/>
  <c r="P131" i="1"/>
  <c r="U131" i="1"/>
  <c r="O131" i="1"/>
  <c r="S131" i="1"/>
  <c r="N131" i="1"/>
  <c r="R131" i="1"/>
  <c r="M131" i="1"/>
  <c r="Q131" i="1"/>
  <c r="U132" i="1"/>
  <c r="Q132" i="1"/>
  <c r="M132" i="1"/>
  <c r="T132" i="1"/>
  <c r="O132" i="1"/>
  <c r="S132" i="1"/>
  <c r="N132" i="1"/>
  <c r="R132" i="1"/>
  <c r="P132" i="1"/>
  <c r="T127" i="1"/>
  <c r="P127" i="1"/>
  <c r="S127" i="1"/>
  <c r="O127" i="1"/>
  <c r="R127" i="1"/>
  <c r="N127" i="1"/>
  <c r="M127" i="1"/>
  <c r="U127" i="1"/>
  <c r="Q127" i="1"/>
  <c r="T137" i="1"/>
  <c r="P137" i="1"/>
  <c r="Q137" i="1"/>
  <c r="U137" i="1"/>
  <c r="O137" i="1"/>
  <c r="S137" i="1"/>
  <c r="N137" i="1"/>
  <c r="R137" i="1"/>
  <c r="M137" i="1"/>
  <c r="H89" i="1"/>
  <c r="U53" i="1"/>
  <c r="R121" i="1"/>
  <c r="N121" i="1"/>
  <c r="U121" i="1"/>
  <c r="Q121" i="1"/>
  <c r="M121" i="1"/>
  <c r="T121" i="1"/>
  <c r="P121" i="1"/>
  <c r="O121" i="1"/>
  <c r="S121" i="1"/>
  <c r="R205" i="1"/>
  <c r="N205" i="1"/>
  <c r="U205" i="1"/>
  <c r="Q205" i="1"/>
  <c r="M205" i="1"/>
  <c r="T205" i="1"/>
  <c r="P205" i="1"/>
  <c r="O205" i="1"/>
  <c r="S205" i="1"/>
  <c r="R125" i="1"/>
  <c r="N125" i="1"/>
  <c r="U125" i="1"/>
  <c r="Q125" i="1"/>
  <c r="M125" i="1"/>
  <c r="T125" i="1"/>
  <c r="P125" i="1"/>
  <c r="S125" i="1"/>
  <c r="O125" i="1"/>
  <c r="S122" i="1"/>
  <c r="O122" i="1"/>
  <c r="R122" i="1"/>
  <c r="N122" i="1"/>
  <c r="U122" i="1"/>
  <c r="Q122" i="1"/>
  <c r="M122" i="1"/>
  <c r="T122" i="1"/>
  <c r="P122" i="1"/>
  <c r="T135" i="1"/>
  <c r="P135" i="1"/>
  <c r="S135" i="1"/>
  <c r="N135" i="1"/>
  <c r="R135" i="1"/>
  <c r="M135" i="1"/>
  <c r="Q135" i="1"/>
  <c r="U135" i="1"/>
  <c r="O135" i="1"/>
  <c r="E126" i="1"/>
  <c r="S118" i="1"/>
  <c r="O118" i="1"/>
  <c r="R118" i="1"/>
  <c r="N118" i="1"/>
  <c r="U118" i="1"/>
  <c r="Q118" i="1"/>
  <c r="M118" i="1"/>
  <c r="P118" i="1"/>
  <c r="T118" i="1"/>
  <c r="U120" i="1"/>
  <c r="Q120" i="1"/>
  <c r="M120" i="1"/>
  <c r="T120" i="1"/>
  <c r="P120" i="1"/>
  <c r="S120" i="1"/>
  <c r="O120" i="1"/>
  <c r="R120" i="1"/>
  <c r="N120" i="1"/>
  <c r="U128" i="1"/>
  <c r="Q128" i="1"/>
  <c r="M128" i="1"/>
  <c r="T128" i="1"/>
  <c r="P128" i="1"/>
  <c r="S128" i="1"/>
  <c r="O128" i="1"/>
  <c r="R128" i="1"/>
  <c r="N128" i="1"/>
  <c r="R133" i="1"/>
  <c r="N133" i="1"/>
  <c r="T133" i="1"/>
  <c r="O133" i="1"/>
  <c r="S133" i="1"/>
  <c r="M133" i="1"/>
  <c r="Q133" i="1"/>
  <c r="U133" i="1"/>
  <c r="P133" i="1"/>
  <c r="E181" i="1"/>
  <c r="E115" i="1"/>
  <c r="R141" i="1"/>
  <c r="N141" i="1"/>
  <c r="S141" i="1"/>
  <c r="M141" i="1"/>
  <c r="Q141" i="1"/>
  <c r="U141" i="1"/>
  <c r="P141" i="1"/>
  <c r="T141" i="1"/>
  <c r="O141" i="1"/>
  <c r="K241" i="1"/>
  <c r="T144" i="1"/>
  <c r="P144" i="1"/>
  <c r="R144" i="1"/>
  <c r="M144" i="1"/>
  <c r="Q144" i="1"/>
  <c r="U144" i="1"/>
  <c r="O144" i="1"/>
  <c r="S144" i="1"/>
  <c r="N144" i="1"/>
  <c r="E185" i="1"/>
  <c r="V114" i="1"/>
  <c r="R139" i="1"/>
  <c r="N139" i="1"/>
  <c r="U139" i="1"/>
  <c r="P139" i="1"/>
  <c r="T139" i="1"/>
  <c r="O139" i="1"/>
  <c r="S139" i="1"/>
  <c r="M139" i="1"/>
  <c r="Q139" i="1"/>
  <c r="T136" i="1"/>
  <c r="P136" i="1"/>
  <c r="R136" i="1"/>
  <c r="M136" i="1"/>
  <c r="Q136" i="1"/>
  <c r="U136" i="1"/>
  <c r="O136" i="1"/>
  <c r="S136" i="1"/>
  <c r="N136" i="1"/>
  <c r="E203" i="1"/>
  <c r="S198" i="1"/>
  <c r="O198" i="1"/>
  <c r="R198" i="1"/>
  <c r="N198" i="1"/>
  <c r="U198" i="1"/>
  <c r="Q198" i="1"/>
  <c r="M198" i="1"/>
  <c r="P198" i="1"/>
  <c r="T198" i="1"/>
  <c r="U59" i="1"/>
  <c r="T89" i="1" l="1"/>
  <c r="V119" i="1"/>
  <c r="E178" i="1"/>
  <c r="Q178" i="1" s="1"/>
  <c r="L89" i="1"/>
  <c r="V133" i="1"/>
  <c r="V128" i="1"/>
  <c r="V132" i="1"/>
  <c r="V131" i="1"/>
  <c r="V121" i="1"/>
  <c r="R182" i="1"/>
  <c r="N182" i="1"/>
  <c r="U182" i="1"/>
  <c r="Q182" i="1"/>
  <c r="M182" i="1"/>
  <c r="T182" i="1"/>
  <c r="P182" i="1"/>
  <c r="S182" i="1"/>
  <c r="O182" i="1"/>
  <c r="U196" i="1"/>
  <c r="Q196" i="1"/>
  <c r="M196" i="1"/>
  <c r="T196" i="1"/>
  <c r="P196" i="1"/>
  <c r="S196" i="1"/>
  <c r="O196" i="1"/>
  <c r="R196" i="1"/>
  <c r="N196" i="1"/>
  <c r="S200" i="1"/>
  <c r="O200" i="1"/>
  <c r="R200" i="1"/>
  <c r="N200" i="1"/>
  <c r="U200" i="1"/>
  <c r="Q200" i="1"/>
  <c r="M200" i="1"/>
  <c r="T200" i="1"/>
  <c r="P200" i="1"/>
  <c r="S199" i="1"/>
  <c r="O199" i="1"/>
  <c r="R199" i="1"/>
  <c r="N199" i="1"/>
  <c r="U199" i="1"/>
  <c r="Q199" i="1"/>
  <c r="M199" i="1"/>
  <c r="T199" i="1"/>
  <c r="P199" i="1"/>
  <c r="V143" i="1"/>
  <c r="V138" i="1"/>
  <c r="T201" i="1"/>
  <c r="P201" i="1"/>
  <c r="U201" i="1"/>
  <c r="O201" i="1"/>
  <c r="S201" i="1"/>
  <c r="N201" i="1"/>
  <c r="R201" i="1"/>
  <c r="M201" i="1"/>
  <c r="Q201" i="1"/>
  <c r="U194" i="1"/>
  <c r="Q194" i="1"/>
  <c r="M194" i="1"/>
  <c r="S194" i="1"/>
  <c r="N194" i="1"/>
  <c r="R194" i="1"/>
  <c r="P194" i="1"/>
  <c r="T194" i="1"/>
  <c r="O194" i="1"/>
  <c r="T189" i="1"/>
  <c r="P189" i="1"/>
  <c r="U189" i="1"/>
  <c r="O189" i="1"/>
  <c r="S189" i="1"/>
  <c r="N189" i="1"/>
  <c r="R189" i="1"/>
  <c r="M189" i="1"/>
  <c r="Q189" i="1"/>
  <c r="T193" i="1"/>
  <c r="P193" i="1"/>
  <c r="S193" i="1"/>
  <c r="N193" i="1"/>
  <c r="R193" i="1"/>
  <c r="M193" i="1"/>
  <c r="Q193" i="1"/>
  <c r="U193" i="1"/>
  <c r="O193" i="1"/>
  <c r="S188" i="1"/>
  <c r="O188" i="1"/>
  <c r="U188" i="1"/>
  <c r="P188" i="1"/>
  <c r="T188" i="1"/>
  <c r="N188" i="1"/>
  <c r="R188" i="1"/>
  <c r="M188" i="1"/>
  <c r="Q188" i="1"/>
  <c r="V144" i="1"/>
  <c r="V120" i="1"/>
  <c r="S126" i="1"/>
  <c r="O126" i="1"/>
  <c r="R126" i="1"/>
  <c r="N126" i="1"/>
  <c r="U126" i="1"/>
  <c r="Q126" i="1"/>
  <c r="M126" i="1"/>
  <c r="T126" i="1"/>
  <c r="P126" i="1"/>
  <c r="V125" i="1"/>
  <c r="E110" i="1"/>
  <c r="U89" i="1"/>
  <c r="V142" i="1"/>
  <c r="T184" i="1"/>
  <c r="P184" i="1"/>
  <c r="R184" i="1"/>
  <c r="M184" i="1"/>
  <c r="Q184" i="1"/>
  <c r="U184" i="1"/>
  <c r="O184" i="1"/>
  <c r="N184" i="1"/>
  <c r="S184" i="1"/>
  <c r="V134" i="1"/>
  <c r="E162" i="1"/>
  <c r="E163" i="1"/>
  <c r="T202" i="1"/>
  <c r="P202" i="1"/>
  <c r="S202" i="1"/>
  <c r="O202" i="1"/>
  <c r="R202" i="1"/>
  <c r="N202" i="1"/>
  <c r="U202" i="1"/>
  <c r="Q202" i="1"/>
  <c r="M202" i="1"/>
  <c r="S173" i="1"/>
  <c r="O173" i="1"/>
  <c r="R173" i="1"/>
  <c r="N173" i="1"/>
  <c r="U173" i="1"/>
  <c r="Q173" i="1"/>
  <c r="M173" i="1"/>
  <c r="T173" i="1"/>
  <c r="P173" i="1"/>
  <c r="V198" i="1"/>
  <c r="V136" i="1"/>
  <c r="V141" i="1"/>
  <c r="U181" i="1"/>
  <c r="Q181" i="1"/>
  <c r="M181" i="1"/>
  <c r="T181" i="1"/>
  <c r="P181" i="1"/>
  <c r="S181" i="1"/>
  <c r="O181" i="1"/>
  <c r="N181" i="1"/>
  <c r="R181" i="1"/>
  <c r="V118" i="1"/>
  <c r="V111" i="1"/>
  <c r="S183" i="1"/>
  <c r="O183" i="1"/>
  <c r="R183" i="1"/>
  <c r="N183" i="1"/>
  <c r="U183" i="1"/>
  <c r="Q183" i="1"/>
  <c r="M183" i="1"/>
  <c r="T183" i="1"/>
  <c r="P183" i="1"/>
  <c r="V129" i="1"/>
  <c r="R191" i="1"/>
  <c r="N191" i="1"/>
  <c r="T191" i="1"/>
  <c r="O191" i="1"/>
  <c r="S191" i="1"/>
  <c r="M191" i="1"/>
  <c r="Q191" i="1"/>
  <c r="U191" i="1"/>
  <c r="P191" i="1"/>
  <c r="S192" i="1"/>
  <c r="O192" i="1"/>
  <c r="T192" i="1"/>
  <c r="N192" i="1"/>
  <c r="R192" i="1"/>
  <c r="M192" i="1"/>
  <c r="Q192" i="1"/>
  <c r="U192" i="1"/>
  <c r="P192" i="1"/>
  <c r="S174" i="1"/>
  <c r="O174" i="1"/>
  <c r="R174" i="1"/>
  <c r="N174" i="1"/>
  <c r="U174" i="1"/>
  <c r="Q174" i="1"/>
  <c r="M174" i="1"/>
  <c r="P174" i="1"/>
  <c r="T174" i="1"/>
  <c r="U190" i="1"/>
  <c r="Q190" i="1"/>
  <c r="M190" i="1"/>
  <c r="T190" i="1"/>
  <c r="O190" i="1"/>
  <c r="S190" i="1"/>
  <c r="N190" i="1"/>
  <c r="R190" i="1"/>
  <c r="P190" i="1"/>
  <c r="R187" i="1"/>
  <c r="N187" i="1"/>
  <c r="U187" i="1"/>
  <c r="P187" i="1"/>
  <c r="T187" i="1"/>
  <c r="O187" i="1"/>
  <c r="S187" i="1"/>
  <c r="M187" i="1"/>
  <c r="Q187" i="1"/>
  <c r="T195" i="1"/>
  <c r="R195" i="1"/>
  <c r="N195" i="1"/>
  <c r="S195" i="1"/>
  <c r="M195" i="1"/>
  <c r="Q195" i="1"/>
  <c r="P195" i="1"/>
  <c r="U195" i="1"/>
  <c r="O195" i="1"/>
  <c r="R197" i="1"/>
  <c r="N197" i="1"/>
  <c r="U197" i="1"/>
  <c r="Q197" i="1"/>
  <c r="M197" i="1"/>
  <c r="T197" i="1"/>
  <c r="P197" i="1"/>
  <c r="S197" i="1"/>
  <c r="O197" i="1"/>
  <c r="T115" i="1"/>
  <c r="P115" i="1"/>
  <c r="S115" i="1"/>
  <c r="O115" i="1"/>
  <c r="R115" i="1"/>
  <c r="N115" i="1"/>
  <c r="M115" i="1"/>
  <c r="U115" i="1"/>
  <c r="Q115" i="1"/>
  <c r="E116" i="1"/>
  <c r="S175" i="1"/>
  <c r="O175" i="1"/>
  <c r="R175" i="1"/>
  <c r="N175" i="1"/>
  <c r="U175" i="1"/>
  <c r="Q175" i="1"/>
  <c r="M175" i="1"/>
  <c r="T175" i="1"/>
  <c r="P175" i="1"/>
  <c r="V139" i="1"/>
  <c r="T185" i="1"/>
  <c r="P185" i="1"/>
  <c r="Q185" i="1"/>
  <c r="U185" i="1"/>
  <c r="O185" i="1"/>
  <c r="S185" i="1"/>
  <c r="N185" i="1"/>
  <c r="R185" i="1"/>
  <c r="M185" i="1"/>
  <c r="V135" i="1"/>
  <c r="V122" i="1"/>
  <c r="T176" i="1"/>
  <c r="P176" i="1"/>
  <c r="S176" i="1"/>
  <c r="O176" i="1"/>
  <c r="R176" i="1"/>
  <c r="N176" i="1"/>
  <c r="U176" i="1"/>
  <c r="Q176" i="1"/>
  <c r="M176" i="1"/>
  <c r="V205" i="1"/>
  <c r="V137" i="1"/>
  <c r="V127" i="1"/>
  <c r="S130" i="1"/>
  <c r="O130" i="1"/>
  <c r="U130" i="1"/>
  <c r="P130" i="1"/>
  <c r="T130" i="1"/>
  <c r="N130" i="1"/>
  <c r="R130" i="1"/>
  <c r="M130" i="1"/>
  <c r="Q130" i="1"/>
  <c r="U186" i="1"/>
  <c r="Q186" i="1"/>
  <c r="M186" i="1"/>
  <c r="P186" i="1"/>
  <c r="T186" i="1"/>
  <c r="O186" i="1"/>
  <c r="S186" i="1"/>
  <c r="N186" i="1"/>
  <c r="R186" i="1"/>
  <c r="S112" i="1"/>
  <c r="O112" i="1"/>
  <c r="R112" i="1"/>
  <c r="N112" i="1"/>
  <c r="U112" i="1"/>
  <c r="Q112" i="1"/>
  <c r="M112" i="1"/>
  <c r="P112" i="1"/>
  <c r="T112" i="1"/>
  <c r="V206" i="1"/>
  <c r="V140" i="1"/>
  <c r="V123" i="1"/>
  <c r="U177" i="1"/>
  <c r="Q177" i="1"/>
  <c r="M177" i="1"/>
  <c r="T177" i="1"/>
  <c r="P177" i="1"/>
  <c r="S177" i="1"/>
  <c r="O177" i="1"/>
  <c r="N177" i="1"/>
  <c r="R177" i="1"/>
  <c r="S172" i="1"/>
  <c r="O172" i="1"/>
  <c r="R172" i="1"/>
  <c r="N172" i="1"/>
  <c r="U172" i="1"/>
  <c r="Q172" i="1"/>
  <c r="M172" i="1"/>
  <c r="T172" i="1"/>
  <c r="P172" i="1"/>
  <c r="P178" i="1" l="1"/>
  <c r="P208" i="1" s="1"/>
  <c r="P210" i="1" s="1"/>
  <c r="U178" i="1"/>
  <c r="E208" i="1"/>
  <c r="F202" i="1" s="1"/>
  <c r="M178" i="1"/>
  <c r="M208" i="1" s="1"/>
  <c r="O178" i="1"/>
  <c r="O208" i="1" s="1"/>
  <c r="O210" i="1" s="1"/>
  <c r="R178" i="1"/>
  <c r="R208" i="1" s="1"/>
  <c r="R210" i="1" s="1"/>
  <c r="V183" i="1"/>
  <c r="T178" i="1"/>
  <c r="T208" i="1" s="1"/>
  <c r="T210" i="1" s="1"/>
  <c r="N178" i="1"/>
  <c r="N208" i="1" s="1"/>
  <c r="N210" i="1" s="1"/>
  <c r="F201" i="1"/>
  <c r="S178" i="1"/>
  <c r="V175" i="1"/>
  <c r="V187" i="1"/>
  <c r="V130" i="1"/>
  <c r="V199" i="1"/>
  <c r="V115" i="1"/>
  <c r="V173" i="1"/>
  <c r="V188" i="1"/>
  <c r="F199" i="1"/>
  <c r="Q208" i="1"/>
  <c r="Q210" i="1" s="1"/>
  <c r="V197" i="1"/>
  <c r="V192" i="1"/>
  <c r="E100" i="1"/>
  <c r="E99" i="1"/>
  <c r="E101" i="1"/>
  <c r="V194" i="1"/>
  <c r="U208" i="1"/>
  <c r="U210" i="1" s="1"/>
  <c r="V185" i="1"/>
  <c r="V195" i="1"/>
  <c r="V190" i="1"/>
  <c r="T162" i="1"/>
  <c r="P162" i="1"/>
  <c r="F162" i="1"/>
  <c r="S162" i="1"/>
  <c r="O162" i="1"/>
  <c r="R162" i="1"/>
  <c r="N162" i="1"/>
  <c r="Q162" i="1"/>
  <c r="M162" i="1"/>
  <c r="U162" i="1"/>
  <c r="S110" i="1"/>
  <c r="O110" i="1"/>
  <c r="R110" i="1"/>
  <c r="N110" i="1"/>
  <c r="U110" i="1"/>
  <c r="Q110" i="1"/>
  <c r="M110" i="1"/>
  <c r="T110" i="1"/>
  <c r="P110" i="1"/>
  <c r="E146" i="1"/>
  <c r="V126" i="1"/>
  <c r="V189" i="1"/>
  <c r="V201" i="1"/>
  <c r="V200" i="1"/>
  <c r="V182" i="1"/>
  <c r="V172" i="1"/>
  <c r="V186" i="1"/>
  <c r="U116" i="1"/>
  <c r="Q116" i="1"/>
  <c r="M116" i="1"/>
  <c r="T116" i="1"/>
  <c r="P116" i="1"/>
  <c r="S116" i="1"/>
  <c r="O116" i="1"/>
  <c r="R116" i="1"/>
  <c r="N116" i="1"/>
  <c r="R163" i="1"/>
  <c r="N163" i="1"/>
  <c r="U163" i="1"/>
  <c r="Q163" i="1"/>
  <c r="M163" i="1"/>
  <c r="T163" i="1"/>
  <c r="P163" i="1"/>
  <c r="F163" i="1"/>
  <c r="S163" i="1"/>
  <c r="O163" i="1"/>
  <c r="V184" i="1"/>
  <c r="F164" i="1"/>
  <c r="F165" i="1"/>
  <c r="F166" i="1"/>
  <c r="F206" i="1"/>
  <c r="F205" i="1"/>
  <c r="S208" i="1"/>
  <c r="S210" i="1" s="1"/>
  <c r="V177" i="1"/>
  <c r="V112" i="1"/>
  <c r="V176" i="1"/>
  <c r="F203" i="1"/>
  <c r="V174" i="1"/>
  <c r="F204" i="1"/>
  <c r="V191" i="1"/>
  <c r="V181" i="1"/>
  <c r="V202" i="1"/>
  <c r="V193" i="1"/>
  <c r="F200" i="1"/>
  <c r="V196" i="1"/>
  <c r="F185" i="1" l="1"/>
  <c r="V178" i="1"/>
  <c r="R146" i="1"/>
  <c r="T146" i="1"/>
  <c r="T148" i="1" s="1"/>
  <c r="N146" i="1"/>
  <c r="U168" i="1"/>
  <c r="R168" i="1"/>
  <c r="P168" i="1"/>
  <c r="F104" i="1"/>
  <c r="F103" i="1"/>
  <c r="F102" i="1"/>
  <c r="F144" i="1"/>
  <c r="F138" i="1"/>
  <c r="F143" i="1"/>
  <c r="F142" i="1"/>
  <c r="F137" i="1"/>
  <c r="F136" i="1"/>
  <c r="F140" i="1"/>
  <c r="F139" i="1"/>
  <c r="F141" i="1"/>
  <c r="Q146" i="1"/>
  <c r="O146" i="1"/>
  <c r="Q168" i="1"/>
  <c r="S168" i="1"/>
  <c r="R101" i="1"/>
  <c r="N101" i="1"/>
  <c r="U101" i="1"/>
  <c r="Q101" i="1"/>
  <c r="M101" i="1"/>
  <c r="T101" i="1"/>
  <c r="P101" i="1"/>
  <c r="F101" i="1"/>
  <c r="S101" i="1"/>
  <c r="O101" i="1"/>
  <c r="V116" i="1"/>
  <c r="N148" i="1"/>
  <c r="N154" i="1"/>
  <c r="S100" i="1"/>
  <c r="O100" i="1"/>
  <c r="R100" i="1"/>
  <c r="N100" i="1"/>
  <c r="U100" i="1"/>
  <c r="Q100" i="1"/>
  <c r="M100" i="1"/>
  <c r="F100" i="1"/>
  <c r="T100" i="1"/>
  <c r="P100" i="1"/>
  <c r="V163" i="1"/>
  <c r="V110" i="1"/>
  <c r="M146" i="1"/>
  <c r="R148" i="1"/>
  <c r="R154" i="1"/>
  <c r="M168" i="1"/>
  <c r="V162" i="1"/>
  <c r="O168" i="1"/>
  <c r="T168" i="1"/>
  <c r="V208" i="1"/>
  <c r="M210" i="1"/>
  <c r="V210" i="1" s="1"/>
  <c r="P146" i="1"/>
  <c r="U146" i="1"/>
  <c r="S146" i="1"/>
  <c r="N168" i="1"/>
  <c r="F208" i="1"/>
  <c r="T99" i="1"/>
  <c r="P99" i="1"/>
  <c r="F99" i="1"/>
  <c r="S99" i="1"/>
  <c r="O99" i="1"/>
  <c r="R99" i="1"/>
  <c r="N99" i="1"/>
  <c r="M99" i="1"/>
  <c r="U99" i="1"/>
  <c r="Q99" i="1"/>
  <c r="P106" i="1" l="1"/>
  <c r="T154" i="1"/>
  <c r="Q106" i="1"/>
  <c r="R106" i="1"/>
  <c r="S106" i="1"/>
  <c r="U154" i="1"/>
  <c r="U148" i="1"/>
  <c r="U106" i="1"/>
  <c r="O106" i="1"/>
  <c r="T106" i="1"/>
  <c r="S154" i="1"/>
  <c r="S148" i="1"/>
  <c r="V168" i="1"/>
  <c r="O154" i="1"/>
  <c r="O148" i="1"/>
  <c r="N106" i="1"/>
  <c r="F146" i="1"/>
  <c r="P148" i="1"/>
  <c r="P154" i="1"/>
  <c r="R150" i="1"/>
  <c r="R149" i="1"/>
  <c r="V101" i="1"/>
  <c r="Q154" i="1"/>
  <c r="Q148" i="1"/>
  <c r="M106" i="1"/>
  <c r="V99" i="1"/>
  <c r="M154" i="1"/>
  <c r="V146" i="1"/>
  <c r="M148" i="1"/>
  <c r="V100" i="1"/>
  <c r="N150" i="1"/>
  <c r="N149" i="1"/>
  <c r="T150" i="1"/>
  <c r="T149" i="1"/>
  <c r="Q150" i="1" l="1"/>
  <c r="Q149" i="1"/>
  <c r="V148" i="1"/>
  <c r="M150" i="1"/>
  <c r="M149" i="1"/>
  <c r="S149" i="1"/>
  <c r="S150" i="1"/>
  <c r="V106" i="1"/>
  <c r="P150" i="1"/>
  <c r="P149" i="1"/>
  <c r="O150" i="1"/>
  <c r="O149" i="1"/>
  <c r="U150" i="1"/>
  <c r="U149" i="1"/>
  <c r="V154" i="1"/>
  <c r="V150" i="1" l="1"/>
  <c r="V149" i="1"/>
</calcChain>
</file>

<file path=xl/sharedStrings.xml><?xml version="1.0" encoding="utf-8"?>
<sst xmlns="http://schemas.openxmlformats.org/spreadsheetml/2006/main" count="505" uniqueCount="196">
  <si>
    <t>Verteilung der gemeinschaftlichen Bundesabgaben 2013</t>
  </si>
  <si>
    <t>in 1000.- Euro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</si>
  <si>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</si>
  <si>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</si>
  <si>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</si>
  <si>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</si>
  <si>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</si>
  <si>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</si>
  <si>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</si>
  <si>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fixe Vorwegabzüge</t>
  </si>
  <si>
    <t>veranl. Eink.st.</t>
  </si>
  <si>
    <t>Länder</t>
  </si>
  <si>
    <t>Lohnsteuer</t>
  </si>
  <si>
    <t>Gemeinden</t>
  </si>
  <si>
    <t>Kest I</t>
  </si>
  <si>
    <t>Kest II</t>
  </si>
  <si>
    <t>aufkommensabhängig</t>
  </si>
  <si>
    <t>Steuerabkommen</t>
  </si>
  <si>
    <t>Gmde-KA-Btrg (USt)</t>
  </si>
  <si>
    <t>Körperschaftsteuer</t>
  </si>
  <si>
    <t>BZ Spielbankgmden -u Ldr (USt)</t>
  </si>
  <si>
    <t>Umsatzsteuer</t>
  </si>
  <si>
    <t>EU-Länder-Beitrag (Eigenm)</t>
  </si>
  <si>
    <t>Biersteuer</t>
  </si>
  <si>
    <t>FlaF (vESt, LSt, KeSt I, KöSt)</t>
  </si>
  <si>
    <t>Weinsteuer</t>
  </si>
  <si>
    <t>KatF (-"- + 10 Mio. Euro)</t>
  </si>
  <si>
    <t>Schaumweinst.</t>
  </si>
  <si>
    <t>Gmden-EU-Btrg (-"-)</t>
  </si>
  <si>
    <t>Alkoholsteuer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</si>
  <si>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</si>
  <si>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</si>
  <si>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</si>
  <si>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</si>
  <si>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</si>
  <si>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</si>
  <si>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</si>
  <si>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</si>
  <si>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</si>
  <si>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</si>
  <si>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</si>
  <si>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</si>
  <si>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Finanztransaktionssteuer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</si>
  <si>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</si>
  <si>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</si>
  <si>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</si>
  <si>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</si>
  <si>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</si>
  <si>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</si>
  <si>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</si>
  <si>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</si>
  <si>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</si>
  <si>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</si>
  <si>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</si>
  <si>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</si>
  <si>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</si>
  <si>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</si>
  <si>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</si>
  <si>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USt-Erhöhung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</si>
  <si>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</si>
  <si>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</si>
  <si>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</si>
  <si>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</si>
  <si>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</si>
  <si>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</si>
  <si>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</si>
  <si>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</si>
  <si>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</si>
  <si>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</si>
  <si>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</si>
  <si>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</si>
  <si>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Steuerabk.</t>
  </si>
  <si>
    <t xml:space="preserve">  Steuerabk.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</si>
  <si>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</si>
  <si>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</si>
  <si>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</si>
  <si>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</si>
  <si>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</si>
  <si>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</si>
  <si>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</si>
  <si>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</si>
  <si>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</si>
  <si>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>BierSt</t>
  </si>
  <si>
    <t xml:space="preserve">  BierSt</t>
  </si>
  <si>
    <t>WeinSt</t>
  </si>
  <si>
    <t xml:space="preserve">  WeinSt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</si>
  <si>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</si>
  <si>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</si>
  <si>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</si>
  <si>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</si>
  <si>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</si>
  <si>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</si>
  <si>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</si>
  <si>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</si>
  <si>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</si>
  <si>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</si>
  <si>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</si>
  <si>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</si>
  <si>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</si>
  <si>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</si>
  <si>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</si>
  <si>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</si>
  <si>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</si>
  <si>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</si>
  <si>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</si>
  <si>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</si>
  <si>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</si>
  <si>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</si>
  <si>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</si>
  <si>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</si>
  <si>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>Finanztransakt.St</t>
  </si>
  <si>
    <t xml:space="preserve">  FinanztransaktSt</t>
  </si>
  <si>
    <t xml:space="preserve">  Stabilitätsabgabe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</si>
  <si>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</si>
  <si>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</si>
  <si>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</si>
  <si>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</si>
  <si>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</si>
  <si>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</si>
  <si>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</si>
  <si>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</si>
  <si>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</si>
  <si>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</si>
  <si>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</si>
  <si>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</si>
  <si>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</si>
  <si>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</si>
  <si>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</si>
  <si>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</si>
  <si>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</si>
  <si>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</si>
  <si>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</si>
  <si>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</si>
  <si>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</si>
  <si>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</si>
  <si>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</si>
  <si>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</si>
  <si>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</si>
  <si>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</si>
  <si>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Anteil in %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</si>
  <si>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</si>
  <si>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</si>
  <si>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</si>
  <si>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</si>
  <si>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</si>
  <si>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</si>
  <si>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</si>
  <si>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</si>
  <si>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Steuerabkomen</t>
  </si>
  <si>
    <t>Finanztransakt.St.</t>
  </si>
  <si>
    <t>Kunstförderungsbeitrag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</si>
  <si>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</si>
  <si>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</si>
  <si>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</si>
  <si>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</si>
  <si>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</si>
  <si>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</si>
  <si>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</si>
  <si>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</si>
  <si>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</si>
  <si>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</si>
  <si>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</si>
  <si>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</si>
  <si>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</si>
  <si>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</si>
  <si>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</si>
  <si>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</si>
  <si>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</si>
  <si>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</si>
  <si>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</si>
  <si>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USt L-PflG netto</t>
  </si>
  <si>
    <t>USt L-PflgG brutto</t>
  </si>
  <si>
    <t>Aufk. Erb.u.Sch.St</t>
  </si>
  <si>
    <t>FinanztransaktionsSt.</t>
  </si>
  <si>
    <t>Volksz.</t>
  </si>
  <si>
    <t>Gmde zu USt-Landespfl.gd</t>
  </si>
  <si>
    <t>Netto-EA</t>
  </si>
  <si>
    <t>Schlüssel</t>
  </si>
  <si>
    <t>(Aufk. in 1000.-)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</si>
  <si>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</si>
  <si>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</si>
  <si>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</si>
  <si>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</si>
  <si>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</si>
  <si>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</si>
  <si>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</si>
  <si>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</si>
  <si>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</si>
  <si>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</si>
  <si>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</si>
  <si>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</si>
  <si>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G USt-Landespflegegeld</t>
  </si>
  <si>
    <t>L USt-Landespflegegeld</t>
  </si>
  <si>
    <t>Erfolg</t>
  </si>
  <si>
    <t xml:space="preserve">  USt-Landespfl.gld</t>
  </si>
  <si>
    <t>Bev.Statistik 31.10.2011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</si>
</sst>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00%"/>
    <numFmt numFmtId="165" formatCode="&quot;ok&quot;;&quot;??&quot;;[Red]&quot;Fehler&quot;"/>
    <numFmt numFmtId="166" formatCode="0.000"/>
    <numFmt numFmtId="167" formatCode="0.0000000"/>
    <numFmt numFmtId="168" formatCode="#,##0.000000"/>
    <numFmt numFmtId="169" formatCode="0.0"/>
    <numFmt numFmtId="170" formatCode="0.0%"/>
    <numFmt numFmtId="171" formatCode="#,##0.0"/>
    <numFmt numFmtId="172" formatCode="00.00"/>
    <numFmt numFmtId="173" formatCode="&quot;davon&quot;\ 0.0%"/>
    <numFmt numFmtId="174" formatCode="#,##0.000"/>
    <numFmt numFmtId="175" formatCode="_-* #,##0.00\ [$€-1]_-;\-* #,##0.00\ [$€-1]_-;_-* &quot;-&quot;??\ [$€-1]_-"/>
  </numFmts>
  <fonts count="13" x14ac:knownFonts="1">
    <font>
      <sz val="10"/>
      <name val="Arial"/>
      <family val="2"/>
    </font>
    <font>
      <sz val="10"/>
      <name val="Helv"/>
    </font>
    <font>
      <b/>
      <sz val="8"/>
      <name val="Helv"/>
    </font>
    <font>
      <sz val="8"/>
      <name val="Helv"/>
    </font>
    <font>
      <sz val="10"/>
      <name val="Arial"/>
      <family val="2"/>
    </font>
    <font>
      <i/>
      <sz val="8"/>
      <name val="Helv"/>
    </font>
    <font>
      <i/>
      <sz val="10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7"/>
      <name val="Helv"/>
    </font>
    <font>
      <sz val="8"/>
      <name val="Arial"/>
      <family val="2"/>
    </font>
    <font>
      <i/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4" fillId="0" borderId="0"/>
  </cellStyleXfs>
  <cellXfs count="131">
    <xf numFmtId="0" fontId="0" fillId="0" borderId="0" xfId="0"/>
    <xf numFmtId="0" fontId="2" fillId="0" borderId="0" xfId="2" applyFont="1"/>
    <xf numFmtId="0" fontId="3" fillId="0" borderId="0" xfId="2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5" fillId="0" borderId="0" xfId="2" applyFont="1" applyBorder="1"/>
    <xf numFmtId="3" fontId="5" fillId="0" borderId="0" xfId="2" applyNumberFormat="1" applyFont="1" applyBorder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9" fillId="0" borderId="0" xfId="2" applyFont="1" applyBorder="1"/>
    <xf numFmtId="3" fontId="9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3" xfId="2" applyFont="1" applyBorder="1"/>
    <xf numFmtId="3" fontId="10" fillId="0" borderId="0" xfId="2" applyNumberFormat="1" applyFont="1" applyAlignment="1">
      <alignment horizontal="right"/>
    </xf>
    <xf numFmtId="0" fontId="5" fillId="0" borderId="4" xfId="2" applyFont="1" applyBorder="1"/>
    <xf numFmtId="0" fontId="5" fillId="0" borderId="5" xfId="2" applyFont="1" applyBorder="1"/>
    <xf numFmtId="0" fontId="3" fillId="0" borderId="4" xfId="2" applyFont="1" applyBorder="1" applyAlignment="1">
      <alignment horizontal="left"/>
    </xf>
    <xf numFmtId="3" fontId="3" fillId="0" borderId="4" xfId="2" applyNumberFormat="1" applyFont="1" applyBorder="1" applyAlignment="1">
      <alignment horizontal="left"/>
    </xf>
    <xf numFmtId="3" fontId="2" fillId="0" borderId="5" xfId="2" applyNumberFormat="1" applyFont="1" applyBorder="1"/>
    <xf numFmtId="0" fontId="11" fillId="0" borderId="4" xfId="0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3" fontId="3" fillId="0" borderId="5" xfId="2" applyNumberFormat="1" applyFont="1" applyFill="1" applyBorder="1"/>
    <xf numFmtId="0" fontId="3" fillId="0" borderId="6" xfId="2" applyFont="1" applyBorder="1" applyAlignment="1">
      <alignment horizontal="left"/>
    </xf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5" fillId="0" borderId="0" xfId="2" applyNumberFormat="1" applyFont="1" applyBorder="1" applyAlignment="1">
      <alignment horizontal="right"/>
    </xf>
    <xf numFmtId="3" fontId="3" fillId="0" borderId="0" xfId="2" applyNumberFormat="1" applyFont="1" applyBorder="1"/>
    <xf numFmtId="0" fontId="3" fillId="0" borderId="0" xfId="2" applyFont="1" applyBorder="1" applyAlignment="1">
      <alignment horizontal="right"/>
    </xf>
    <xf numFmtId="3" fontId="3" fillId="0" borderId="0" xfId="2" applyNumberFormat="1" applyFont="1" applyBorder="1" applyAlignment="1">
      <alignment horizontal="right"/>
    </xf>
    <xf numFmtId="3" fontId="11" fillId="0" borderId="0" xfId="0" applyNumberFormat="1" applyFont="1"/>
    <xf numFmtId="3" fontId="3" fillId="0" borderId="0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0" fontId="3" fillId="0" borderId="0" xfId="2" applyFont="1" applyFill="1"/>
    <xf numFmtId="0" fontId="5" fillId="0" borderId="0" xfId="2" applyFont="1" applyFill="1" applyBorder="1"/>
    <xf numFmtId="10" fontId="3" fillId="0" borderId="0" xfId="1" applyNumberFormat="1" applyFont="1" applyBorder="1"/>
    <xf numFmtId="3" fontId="10" fillId="0" borderId="0" xfId="2" applyNumberFormat="1" applyFont="1"/>
    <xf numFmtId="0" fontId="11" fillId="0" borderId="9" xfId="0" applyFont="1" applyBorder="1"/>
    <xf numFmtId="3" fontId="3" fillId="0" borderId="3" xfId="2" applyNumberFormat="1" applyFont="1" applyBorder="1"/>
    <xf numFmtId="3" fontId="3" fillId="0" borderId="2" xfId="2" applyNumberFormat="1" applyFont="1" applyBorder="1"/>
    <xf numFmtId="0" fontId="3" fillId="0" borderId="10" xfId="2" applyFont="1" applyBorder="1"/>
    <xf numFmtId="0" fontId="2" fillId="0" borderId="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0" fontId="3" fillId="0" borderId="0" xfId="2" applyFont="1" applyBorder="1" applyAlignment="1">
      <alignment horizontal="left"/>
    </xf>
    <xf numFmtId="3" fontId="5" fillId="0" borderId="9" xfId="2" applyNumberFormat="1" applyFont="1" applyBorder="1"/>
    <xf numFmtId="3" fontId="5" fillId="0" borderId="1" xfId="2" applyNumberFormat="1" applyFont="1" applyFill="1" applyBorder="1"/>
    <xf numFmtId="3" fontId="5" fillId="0" borderId="3" xfId="2" applyNumberFormat="1" applyFont="1" applyFill="1" applyBorder="1"/>
    <xf numFmtId="3" fontId="3" fillId="0" borderId="4" xfId="2" quotePrefix="1" applyNumberFormat="1" applyFont="1" applyBorder="1"/>
    <xf numFmtId="3" fontId="3" fillId="0" borderId="5" xfId="2" quotePrefix="1" applyNumberFormat="1" applyFont="1" applyBorder="1"/>
    <xf numFmtId="3" fontId="2" fillId="0" borderId="0" xfId="2" applyNumberFormat="1" applyFont="1" applyBorder="1"/>
    <xf numFmtId="0" fontId="3" fillId="0" borderId="11" xfId="2" applyFont="1" applyBorder="1"/>
    <xf numFmtId="3" fontId="5" fillId="0" borderId="6" xfId="2" applyNumberFormat="1" applyFont="1" applyFill="1" applyBorder="1"/>
    <xf numFmtId="3" fontId="5" fillId="0" borderId="8" xfId="2" applyNumberFormat="1" applyFont="1" applyFill="1" applyBorder="1"/>
    <xf numFmtId="3" fontId="2" fillId="0" borderId="4" xfId="2" applyNumberFormat="1" applyFont="1" applyBorder="1"/>
    <xf numFmtId="166" fontId="3" fillId="0" borderId="0" xfId="2" applyNumberFormat="1" applyFont="1"/>
    <xf numFmtId="167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3" fontId="3" fillId="0" borderId="0" xfId="3" applyNumberFormat="1" applyFont="1" applyBorder="1"/>
    <xf numFmtId="0" fontId="0" fillId="0" borderId="0" xfId="0" applyBorder="1"/>
    <xf numFmtId="0" fontId="0" fillId="0" borderId="5" xfId="0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3" fontId="3" fillId="0" borderId="0" xfId="2" quotePrefix="1" applyNumberFormat="1" applyFont="1" applyBorder="1" applyAlignment="1">
      <alignment horizontal="right"/>
    </xf>
    <xf numFmtId="3" fontId="10" fillId="0" borderId="10" xfId="2" applyNumberFormat="1" applyFont="1" applyBorder="1"/>
    <xf numFmtId="0" fontId="5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3" fillId="0" borderId="7" xfId="2" applyNumberFormat="1" applyFont="1" applyBorder="1"/>
    <xf numFmtId="3" fontId="5" fillId="0" borderId="0" xfId="2" applyNumberFormat="1" applyFont="1" applyAlignment="1">
      <alignment horizontal="right"/>
    </xf>
    <xf numFmtId="3" fontId="2" fillId="0" borderId="0" xfId="2" applyNumberFormat="1" applyFont="1"/>
    <xf numFmtId="168" fontId="5" fillId="0" borderId="0" xfId="2" applyNumberFormat="1" applyFont="1" applyAlignment="1">
      <alignment horizontal="center"/>
    </xf>
    <xf numFmtId="0" fontId="1" fillId="0" borderId="0" xfId="2"/>
    <xf numFmtId="4" fontId="3" fillId="0" borderId="0" xfId="2" applyNumberFormat="1" applyFont="1"/>
    <xf numFmtId="0" fontId="3" fillId="0" borderId="0" xfId="2" applyFont="1" applyAlignment="1">
      <alignment horizontal="center"/>
    </xf>
    <xf numFmtId="169" fontId="3" fillId="0" borderId="0" xfId="2" applyNumberFormat="1" applyFont="1" applyAlignment="1">
      <alignment horizontal="center"/>
    </xf>
    <xf numFmtId="164" fontId="3" fillId="0" borderId="0" xfId="1" applyNumberFormat="1" applyFont="1"/>
    <xf numFmtId="0" fontId="3" fillId="0" borderId="0" xfId="2" applyFont="1" applyAlignment="1">
      <alignment horizontal="left"/>
    </xf>
    <xf numFmtId="170" fontId="3" fillId="0" borderId="0" xfId="1" applyNumberFormat="1" applyFont="1" applyAlignment="1">
      <alignment horizontal="center"/>
    </xf>
    <xf numFmtId="171" fontId="3" fillId="0" borderId="0" xfId="2" applyNumberFormat="1" applyFont="1" applyAlignment="1">
      <alignment horizontal="center"/>
    </xf>
    <xf numFmtId="0" fontId="4" fillId="0" borderId="0" xfId="0" applyFont="1"/>
    <xf numFmtId="172" fontId="3" fillId="0" borderId="0" xfId="2" applyNumberFormat="1" applyFont="1" applyAlignment="1">
      <alignment horizontal="center"/>
    </xf>
    <xf numFmtId="164" fontId="5" fillId="0" borderId="0" xfId="1" applyNumberFormat="1" applyFont="1"/>
    <xf numFmtId="171" fontId="3" fillId="0" borderId="0" xfId="2" applyNumberFormat="1" applyFont="1" applyBorder="1" applyAlignment="1">
      <alignment horizontal="center"/>
    </xf>
    <xf numFmtId="166" fontId="3" fillId="0" borderId="0" xfId="2" applyNumberFormat="1" applyFont="1" applyAlignment="1">
      <alignment horizontal="right"/>
    </xf>
    <xf numFmtId="170" fontId="3" fillId="0" borderId="0" xfId="1" applyNumberFormat="1" applyFont="1" applyBorder="1" applyAlignment="1">
      <alignment horizontal="center"/>
    </xf>
    <xf numFmtId="169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quotePrefix="1" applyFont="1"/>
    <xf numFmtId="173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0" fontId="1" fillId="0" borderId="0" xfId="2" applyFont="1"/>
    <xf numFmtId="0" fontId="3" fillId="0" borderId="0" xfId="2" quotePrefix="1" applyFont="1" applyFill="1"/>
    <xf numFmtId="166" fontId="5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74" fontId="10" fillId="0" borderId="0" xfId="2" applyNumberFormat="1" applyFont="1"/>
    <xf numFmtId="4" fontId="12" fillId="0" borderId="0" xfId="2" applyNumberFormat="1" applyFont="1"/>
    <xf numFmtId="168" fontId="3" fillId="0" borderId="0" xfId="2" applyNumberFormat="1" applyFont="1"/>
    <xf numFmtId="174" fontId="3" fillId="0" borderId="0" xfId="2" applyNumberFormat="1" applyFont="1"/>
    <xf numFmtId="0" fontId="11" fillId="0" borderId="0" xfId="0" applyFont="1" applyBorder="1"/>
    <xf numFmtId="0" fontId="3" fillId="0" borderId="0" xfId="2" applyFont="1" applyFill="1" applyBorder="1"/>
    <xf numFmtId="165" fontId="3" fillId="0" borderId="0" xfId="2" applyNumberFormat="1" applyFont="1" applyBorder="1" applyAlignment="1">
      <alignment horizontal="right"/>
    </xf>
    <xf numFmtId="3" fontId="10" fillId="0" borderId="0" xfId="2" applyNumberFormat="1" applyFont="1" applyBorder="1"/>
    <xf numFmtId="0" fontId="5" fillId="0" borderId="0" xfId="2" applyFont="1" applyBorder="1" applyAlignment="1">
      <alignment horizontal="right"/>
    </xf>
    <xf numFmtId="0" fontId="0" fillId="0" borderId="0" xfId="0" applyFont="1" applyBorder="1"/>
    <xf numFmtId="0" fontId="0" fillId="0" borderId="4" xfId="0" applyFont="1" applyBorder="1"/>
    <xf numFmtId="0" fontId="0" fillId="0" borderId="7" xfId="0" applyFont="1" applyBorder="1"/>
    <xf numFmtId="0" fontId="1" fillId="0" borderId="0" xfId="2" applyBorder="1"/>
    <xf numFmtId="0" fontId="3" fillId="0" borderId="0" xfId="2" applyFont="1" applyFill="1" applyAlignment="1">
      <alignment horizontal="center"/>
    </xf>
    <xf numFmtId="3" fontId="3" fillId="0" borderId="0" xfId="2" applyNumberFormat="1" applyFont="1" applyFill="1"/>
  </cellXfs>
  <cellStyles count="6">
    <cellStyle name="Dezimal_EAVERT96" xfId="3"/>
    <cellStyle name="Euro" xfId="4"/>
    <cellStyle name="Prozent" xfId="1" builtinId="5"/>
    <cellStyle name="Standard" xfId="0" builtinId="0"/>
    <cellStyle name="Standard 2" xfId="5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H253"/>
  <sheetViews>
    <sheetView tabSelected="1" workbookViewId="0"/>
  </sheetViews>
  <sheetFormatPr baseColWidth="10" defaultRowHeight="9.9499999999999993" customHeight="1" x14ac:dyDescent="0.15"/>
  <cols>
    <col min="1" max="1" width="17.28515625" style="2" customWidth="1"/>
    <col min="2" max="11" width="10.42578125" style="2" customWidth="1"/>
    <col min="12" max="26" width="10.7109375" style="2" customWidth="1"/>
    <col min="27" max="16384" width="11.42578125" style="2"/>
  </cols>
  <sheetData>
    <row r="1" spans="1:13" ht="9.9499999999999993" customHeight="1" x14ac:dyDescent="0.2">
      <c r="A1" s="1" t="s">
        <v>0</v>
      </c>
      <c r="G1"/>
      <c r="H1"/>
      <c r="I1"/>
    </row>
    <row r="2" spans="1:13" ht="9.9499999999999993" customHeight="1" x14ac:dyDescent="0.2">
      <c r="A2" s="2" t="s">
        <v>1</v>
      </c>
      <c r="E2"/>
      <c r="G2"/>
      <c r="H2"/>
      <c r="I2"/>
    </row>
    <row r="3" spans="1:13" ht="9.9499999999999993" customHeight="1" x14ac:dyDescent="0.2">
      <c r="E3"/>
      <c r="G3"/>
      <c r="H3"/>
      <c r="I3"/>
      <c r="J3" s="3"/>
      <c r="K3" s="3"/>
      <c r="L3" s="4"/>
      <c r="M3" s="3"/>
    </row>
    <row r="4" spans="1:13" ht="9.9499999999999993" customHeight="1" x14ac:dyDescent="0.2">
      <c r="A4" s="5"/>
      <c r="B4" s="5"/>
      <c r="D4" s="1"/>
      <c r="E4"/>
      <c r="G4"/>
      <c r="H4" s="3"/>
      <c r="I4" s="3"/>
      <c r="J4" s="3"/>
      <c r="K4" s="3"/>
      <c r="L4" s="4"/>
      <c r="M4" s="3"/>
    </row>
    <row r="5" spans="1:13" ht="9.9499999999999993" customHeight="1" x14ac:dyDescent="0.2">
      <c r="A5" s="5"/>
      <c r="B5" s="6"/>
      <c r="E5"/>
      <c r="F5"/>
      <c r="H5" s="7"/>
      <c r="I5" s="8"/>
      <c r="J5" s="9"/>
      <c r="K5" s="10"/>
      <c r="L5" s="9"/>
      <c r="M5" s="9"/>
    </row>
    <row r="6" spans="1:13" ht="9.9499999999999993" customHeight="1" x14ac:dyDescent="0.2">
      <c r="A6" s="11"/>
      <c r="B6" s="12"/>
      <c r="E6"/>
      <c r="F6"/>
      <c r="G6" s="13"/>
      <c r="H6" s="14"/>
      <c r="I6" s="14"/>
      <c r="J6" s="15"/>
      <c r="K6" s="16"/>
      <c r="L6" s="9"/>
      <c r="M6" s="9"/>
    </row>
    <row r="7" spans="1:13" ht="9.9499999999999993" customHeight="1" x14ac:dyDescent="0.15">
      <c r="A7" s="1"/>
      <c r="B7" s="17"/>
      <c r="H7" s="3"/>
      <c r="I7" s="3"/>
      <c r="J7" s="18"/>
      <c r="K7" s="19"/>
      <c r="L7" s="9"/>
      <c r="M7" s="9"/>
    </row>
    <row r="8" spans="1:13" ht="9.9499999999999993" customHeight="1" x14ac:dyDescent="0.15">
      <c r="A8" s="14"/>
      <c r="B8" s="20" t="s">
        <v>2</v>
      </c>
      <c r="C8" s="20" t="s">
        <v>3</v>
      </c>
      <c r="D8" s="20" t="s">
        <v>4</v>
      </c>
      <c r="E8" s="20" t="s">
        <v>5</v>
      </c>
      <c r="F8" s="20" t="s">
        <v>6</v>
      </c>
      <c r="H8" s="21" t="s">
        <v>7</v>
      </c>
      <c r="I8" s="22"/>
      <c r="J8" s="23"/>
      <c r="K8" s="24"/>
    </row>
    <row r="9" spans="1:13" ht="9.9499999999999993" customHeight="1" x14ac:dyDescent="0.15">
      <c r="B9" s="25" t="s">
        <v>193</v>
      </c>
      <c r="C9" s="25" t="s">
        <v>8</v>
      </c>
      <c r="D9" s="25" t="s">
        <v>2</v>
      </c>
      <c r="E9" s="20"/>
      <c r="F9" s="20"/>
      <c r="H9" s="26"/>
      <c r="I9" s="124"/>
      <c r="J9" s="9"/>
      <c r="K9" s="27"/>
    </row>
    <row r="10" spans="1:13" ht="9.9499999999999993" customHeight="1" x14ac:dyDescent="0.2">
      <c r="A10"/>
      <c r="H10" s="28" t="s">
        <v>9</v>
      </c>
      <c r="I10" s="9"/>
      <c r="J10" s="9"/>
      <c r="K10" s="27"/>
    </row>
    <row r="11" spans="1:13" ht="9.9499999999999993" customHeight="1" x14ac:dyDescent="0.2">
      <c r="A11" s="2" t="s">
        <v>10</v>
      </c>
      <c r="B11" s="14">
        <v>3119922.6470400002</v>
      </c>
      <c r="C11" s="14">
        <v>172598</v>
      </c>
      <c r="D11" s="14">
        <f t="shared" ref="D11:D40" si="0">B11-C11</f>
        <v>2947324.6470400002</v>
      </c>
      <c r="E11" s="14"/>
      <c r="F11" s="14">
        <f t="shared" ref="F11:F40" si="1">D11-E11</f>
        <v>2947324.6470400002</v>
      </c>
      <c r="H11" s="28" t="s">
        <v>11</v>
      </c>
      <c r="I11" s="125"/>
      <c r="J11" s="9"/>
      <c r="K11" s="36">
        <v>0</v>
      </c>
    </row>
    <row r="12" spans="1:13" ht="9.9499999999999993" customHeight="1" x14ac:dyDescent="0.2">
      <c r="A12" s="2" t="s">
        <v>12</v>
      </c>
      <c r="B12" s="14">
        <v>24597126.951149993</v>
      </c>
      <c r="C12" s="14">
        <v>517794</v>
      </c>
      <c r="D12" s="14">
        <f t="shared" si="0"/>
        <v>24079332.951149993</v>
      </c>
      <c r="E12" s="14"/>
      <c r="F12" s="14">
        <f t="shared" si="1"/>
        <v>24079332.951149993</v>
      </c>
      <c r="H12" s="29" t="s">
        <v>13</v>
      </c>
      <c r="I12" s="125"/>
      <c r="J12" s="9"/>
      <c r="K12" s="34">
        <v>0</v>
      </c>
    </row>
    <row r="13" spans="1:13" ht="9.9499999999999993" customHeight="1" x14ac:dyDescent="0.2">
      <c r="A13" s="2" t="s">
        <v>14</v>
      </c>
      <c r="B13" s="14">
        <v>1308252.27037</v>
      </c>
      <c r="C13" s="14"/>
      <c r="D13" s="14">
        <f t="shared" si="0"/>
        <v>1308252.27037</v>
      </c>
      <c r="E13" s="14"/>
      <c r="F13" s="14">
        <f t="shared" si="1"/>
        <v>1308252.27037</v>
      </c>
      <c r="H13" s="126"/>
      <c r="I13" s="10"/>
      <c r="J13" s="9"/>
      <c r="K13" s="27"/>
    </row>
    <row r="14" spans="1:13" ht="9.9499999999999993" customHeight="1" x14ac:dyDescent="0.2">
      <c r="A14" s="2" t="s">
        <v>15</v>
      </c>
      <c r="B14" s="14">
        <v>1281677.2719299998</v>
      </c>
      <c r="C14" s="14"/>
      <c r="D14" s="14">
        <f t="shared" si="0"/>
        <v>1281677.2719299998</v>
      </c>
      <c r="E14" s="14"/>
      <c r="F14" s="14">
        <f t="shared" si="1"/>
        <v>1281677.2719299998</v>
      </c>
      <c r="H14" s="31" t="s">
        <v>16</v>
      </c>
      <c r="I14" s="10"/>
      <c r="J14" s="9"/>
      <c r="K14" s="27"/>
    </row>
    <row r="15" spans="1:13" ht="9.9499999999999993" customHeight="1" x14ac:dyDescent="0.15">
      <c r="A15" s="2" t="s">
        <v>17</v>
      </c>
      <c r="B15" s="14">
        <v>717131.61742999998</v>
      </c>
      <c r="C15" s="14"/>
      <c r="D15" s="14">
        <f t="shared" si="0"/>
        <v>717131.61742999998</v>
      </c>
      <c r="E15" s="14"/>
      <c r="F15" s="14">
        <f t="shared" si="1"/>
        <v>717131.61742999998</v>
      </c>
      <c r="H15" s="32" t="s">
        <v>18</v>
      </c>
      <c r="I15" s="10"/>
      <c r="J15" s="33">
        <v>6.4200000000000004E-3</v>
      </c>
      <c r="K15" s="34">
        <f>D17*J15</f>
        <v>147275.29631363644</v>
      </c>
    </row>
    <row r="16" spans="1:13" ht="9.9499999999999993" customHeight="1" x14ac:dyDescent="0.15">
      <c r="A16" s="2" t="s">
        <v>19</v>
      </c>
      <c r="B16" s="14">
        <v>6018010.1888699997</v>
      </c>
      <c r="C16" s="14"/>
      <c r="D16" s="14">
        <f t="shared" si="0"/>
        <v>6018010.1888699997</v>
      </c>
      <c r="E16" s="14"/>
      <c r="F16" s="14">
        <f t="shared" si="1"/>
        <v>6018010.1888699997</v>
      </c>
      <c r="H16" s="32" t="s">
        <v>20</v>
      </c>
      <c r="I16" s="15"/>
      <c r="J16" s="15"/>
      <c r="K16" s="34">
        <v>0</v>
      </c>
    </row>
    <row r="17" spans="1:16" ht="9.9499999999999993" customHeight="1" x14ac:dyDescent="0.15">
      <c r="A17" s="2" t="s">
        <v>21</v>
      </c>
      <c r="B17" s="14">
        <v>24866708.703470003</v>
      </c>
      <c r="C17" s="14">
        <v>1926631.3960499999</v>
      </c>
      <c r="D17" s="14">
        <f t="shared" si="0"/>
        <v>22940077.307420004</v>
      </c>
      <c r="E17" s="14">
        <v>226369.63907999999</v>
      </c>
      <c r="F17" s="14">
        <f t="shared" si="1"/>
        <v>22713707.668340005</v>
      </c>
      <c r="H17" s="32" t="s">
        <v>22</v>
      </c>
      <c r="I17" s="10"/>
      <c r="J17" s="33"/>
      <c r="K17" s="35">
        <v>667226.70799999998</v>
      </c>
    </row>
    <row r="18" spans="1:16" ht="9.9499999999999993" customHeight="1" x14ac:dyDescent="0.2">
      <c r="A18" s="2" t="s">
        <v>23</v>
      </c>
      <c r="B18" s="14">
        <v>193052.35205000002</v>
      </c>
      <c r="C18" s="14"/>
      <c r="D18" s="14">
        <f t="shared" si="0"/>
        <v>193052.35205000002</v>
      </c>
      <c r="E18" s="14"/>
      <c r="F18" s="14">
        <f t="shared" si="1"/>
        <v>193052.35205000002</v>
      </c>
      <c r="H18" s="28" t="s">
        <v>24</v>
      </c>
      <c r="I18" s="125"/>
      <c r="J18" s="33">
        <v>1.7500000000000002E-2</v>
      </c>
      <c r="K18" s="36">
        <v>408301.10100502486</v>
      </c>
    </row>
    <row r="19" spans="1:16" ht="9.9499999999999993" customHeight="1" x14ac:dyDescent="0.2">
      <c r="A19" s="2" t="s">
        <v>25</v>
      </c>
      <c r="B19" s="14">
        <v>0</v>
      </c>
      <c r="C19" s="14"/>
      <c r="D19" s="14">
        <f t="shared" si="0"/>
        <v>0</v>
      </c>
      <c r="E19" s="14"/>
      <c r="F19" s="14">
        <f t="shared" si="1"/>
        <v>0</v>
      </c>
      <c r="H19" s="28" t="s">
        <v>26</v>
      </c>
      <c r="I19" s="125"/>
      <c r="J19" s="33">
        <v>1.0999999999999999E-2</v>
      </c>
      <c r="K19" s="34">
        <f>(SUM($D$11:$D$13)+$D$16)*J19+10000</f>
        <v>387882.12063172989</v>
      </c>
    </row>
    <row r="20" spans="1:16" ht="9.9499999999999993" customHeight="1" x14ac:dyDescent="0.2">
      <c r="A20" s="2" t="s">
        <v>27</v>
      </c>
      <c r="B20" s="14">
        <v>1068.43903</v>
      </c>
      <c r="C20" s="14"/>
      <c r="D20" s="14">
        <f t="shared" si="0"/>
        <v>1068.43903</v>
      </c>
      <c r="E20" s="14"/>
      <c r="F20" s="14">
        <f t="shared" si="1"/>
        <v>1068.43903</v>
      </c>
      <c r="H20" s="37" t="s">
        <v>28</v>
      </c>
      <c r="I20" s="127"/>
      <c r="J20" s="38">
        <v>1.66E-3</v>
      </c>
      <c r="K20" s="39">
        <f>(F45-F19-F22-F26-F27-F28-F29-F42-F43)*J20</f>
        <v>116787.91796397883</v>
      </c>
      <c r="L20" s="14"/>
    </row>
    <row r="21" spans="1:16" ht="9.9499999999999993" customHeight="1" x14ac:dyDescent="0.15">
      <c r="A21" s="2" t="s">
        <v>29</v>
      </c>
      <c r="B21" s="14">
        <v>129523.90503000001</v>
      </c>
      <c r="C21" s="14"/>
      <c r="D21" s="14">
        <f t="shared" si="0"/>
        <v>129523.90503000001</v>
      </c>
      <c r="E21" s="14"/>
      <c r="F21" s="14">
        <f t="shared" si="1"/>
        <v>129523.90503000001</v>
      </c>
      <c r="H21" s="15"/>
      <c r="I21" s="41"/>
      <c r="J21" s="9"/>
      <c r="K21" s="9"/>
      <c r="L21" s="15"/>
      <c r="M21" s="15"/>
      <c r="N21" s="15"/>
      <c r="O21" s="15"/>
      <c r="P21" s="15"/>
    </row>
    <row r="22" spans="1:16" ht="9.9499999999999993" customHeight="1" x14ac:dyDescent="0.15">
      <c r="A22" s="2" t="s">
        <v>30</v>
      </c>
      <c r="B22" s="14">
        <v>13.283710000000001</v>
      </c>
      <c r="C22" s="14"/>
      <c r="D22" s="14">
        <f t="shared" si="0"/>
        <v>13.283710000000001</v>
      </c>
      <c r="E22" s="14"/>
      <c r="F22" s="14">
        <f t="shared" si="1"/>
        <v>13.283710000000001</v>
      </c>
      <c r="H22" s="15"/>
      <c r="I22" s="69"/>
      <c r="J22" s="9"/>
      <c r="K22" s="9"/>
      <c r="L22" s="15"/>
      <c r="M22" s="15"/>
      <c r="N22" s="15"/>
      <c r="O22" s="15"/>
      <c r="P22" s="15"/>
    </row>
    <row r="23" spans="1:16" ht="9.9499999999999993" customHeight="1" x14ac:dyDescent="0.15">
      <c r="A23" s="2" t="s">
        <v>31</v>
      </c>
      <c r="B23" s="14">
        <v>4165471.22542</v>
      </c>
      <c r="C23" s="14"/>
      <c r="D23" s="14">
        <f t="shared" si="0"/>
        <v>4165471.22542</v>
      </c>
      <c r="E23" s="14"/>
      <c r="F23" s="14">
        <f t="shared" si="1"/>
        <v>4165471.22542</v>
      </c>
      <c r="H23" s="15"/>
      <c r="I23" s="41"/>
      <c r="J23" s="41"/>
      <c r="K23" s="40"/>
      <c r="L23" s="40"/>
      <c r="M23" s="40"/>
      <c r="N23" s="15"/>
      <c r="O23" s="15"/>
      <c r="P23" s="15"/>
    </row>
    <row r="24" spans="1:16" ht="9.9499999999999993" customHeight="1" x14ac:dyDescent="0.15">
      <c r="A24" s="2" t="s">
        <v>32</v>
      </c>
      <c r="B24" s="14">
        <v>19139.421419999999</v>
      </c>
      <c r="C24" s="14"/>
      <c r="D24" s="14">
        <f t="shared" si="0"/>
        <v>19139.421419999999</v>
      </c>
      <c r="E24" s="14"/>
      <c r="F24" s="14">
        <f t="shared" si="1"/>
        <v>19139.421419999999</v>
      </c>
      <c r="H24" s="15"/>
      <c r="I24" s="41"/>
      <c r="J24" s="41"/>
      <c r="K24" s="40"/>
      <c r="L24" s="40"/>
      <c r="M24" s="15"/>
      <c r="N24" s="40"/>
      <c r="O24" s="15"/>
      <c r="P24" s="15"/>
    </row>
    <row r="25" spans="1:16" ht="9.9499999999999993" customHeight="1" x14ac:dyDescent="0.15">
      <c r="A25" s="2" t="s">
        <v>33</v>
      </c>
      <c r="B25" s="14">
        <v>10768.615370000001</v>
      </c>
      <c r="C25" s="14"/>
      <c r="D25" s="14">
        <f t="shared" si="0"/>
        <v>10768.615370000001</v>
      </c>
      <c r="E25" s="14"/>
      <c r="F25" s="14">
        <f t="shared" si="1"/>
        <v>10768.615370000001</v>
      </c>
      <c r="H25" s="15"/>
      <c r="I25" s="42"/>
      <c r="J25" s="42"/>
      <c r="K25" s="40"/>
      <c r="L25" s="40"/>
      <c r="M25" s="15"/>
      <c r="N25" s="15"/>
      <c r="O25" s="15"/>
      <c r="P25" s="15"/>
    </row>
    <row r="26" spans="1:16" ht="9.9499999999999993" customHeight="1" x14ac:dyDescent="0.2">
      <c r="A26" s="2" t="s">
        <v>34</v>
      </c>
      <c r="B26" s="14">
        <v>110211.70074</v>
      </c>
      <c r="C26" s="14"/>
      <c r="D26" s="14">
        <f t="shared" si="0"/>
        <v>110211.70074</v>
      </c>
      <c r="E26" s="14"/>
      <c r="F26" s="14">
        <f t="shared" si="1"/>
        <v>110211.70074</v>
      </c>
      <c r="H26" s="120"/>
      <c r="I26" s="43"/>
      <c r="J26" s="42"/>
      <c r="K26" s="40"/>
      <c r="L26" s="40"/>
      <c r="M26" s="15"/>
      <c r="N26" s="15"/>
      <c r="O26" s="15"/>
      <c r="P26" s="15"/>
    </row>
    <row r="27" spans="1:16" ht="9.9499999999999993" customHeight="1" x14ac:dyDescent="0.2">
      <c r="A27" s="44" t="s">
        <v>35</v>
      </c>
      <c r="B27" s="14">
        <v>914945.52881000005</v>
      </c>
      <c r="C27" s="14"/>
      <c r="D27" s="14">
        <f t="shared" si="0"/>
        <v>914945.52881000005</v>
      </c>
      <c r="E27" s="14"/>
      <c r="F27" s="14">
        <f t="shared" si="1"/>
        <v>914945.52881000005</v>
      </c>
      <c r="H27" s="15"/>
      <c r="I27" s="41"/>
      <c r="J27" s="41"/>
      <c r="K27" s="40"/>
      <c r="L27" s="40"/>
      <c r="M27" s="15"/>
      <c r="N27" s="15"/>
      <c r="O27" s="15"/>
      <c r="P27" s="15"/>
    </row>
    <row r="28" spans="1:16" ht="9.9499999999999993" customHeight="1" x14ac:dyDescent="0.15">
      <c r="A28" s="2" t="s">
        <v>36</v>
      </c>
      <c r="B28" s="14">
        <v>790280.52463</v>
      </c>
      <c r="C28" s="14"/>
      <c r="D28" s="14">
        <f t="shared" si="0"/>
        <v>790280.52463</v>
      </c>
      <c r="E28" s="14"/>
      <c r="F28" s="14">
        <f t="shared" si="1"/>
        <v>790280.52463</v>
      </c>
      <c r="H28" s="15"/>
      <c r="I28" s="41"/>
      <c r="J28" s="41"/>
      <c r="K28" s="40"/>
      <c r="L28" s="40"/>
      <c r="M28" s="15"/>
      <c r="N28" s="15"/>
      <c r="O28" s="15"/>
      <c r="P28" s="15"/>
    </row>
    <row r="29" spans="1:16" ht="9.9499999999999993" customHeight="1" x14ac:dyDescent="0.2">
      <c r="A29" s="2" t="s">
        <v>37</v>
      </c>
      <c r="B29" s="14">
        <v>5848.2260400000005</v>
      </c>
      <c r="C29" s="14"/>
      <c r="D29" s="14">
        <f t="shared" si="0"/>
        <v>5848.2260400000005</v>
      </c>
      <c r="E29" s="14"/>
      <c r="F29" s="14">
        <f t="shared" si="1"/>
        <v>5848.2260400000005</v>
      </c>
      <c r="H29" s="120"/>
      <c r="I29" s="43"/>
      <c r="J29" s="43"/>
      <c r="K29" s="40"/>
      <c r="L29" s="40"/>
      <c r="M29" s="15"/>
      <c r="N29" s="15"/>
      <c r="O29" s="15"/>
      <c r="P29" s="15"/>
    </row>
    <row r="30" spans="1:16" ht="9.9499999999999993" customHeight="1" x14ac:dyDescent="0.2">
      <c r="A30" s="2" t="s">
        <v>38</v>
      </c>
      <c r="B30" s="14">
        <v>47897.743500000004</v>
      </c>
      <c r="C30" s="14"/>
      <c r="D30" s="14">
        <f t="shared" si="0"/>
        <v>47897.743500000004</v>
      </c>
      <c r="E30" s="14">
        <v>14500</v>
      </c>
      <c r="F30" s="14">
        <f t="shared" si="1"/>
        <v>33397.743500000004</v>
      </c>
      <c r="H30" s="120"/>
      <c r="I30" s="43"/>
      <c r="J30" s="43"/>
      <c r="K30" s="40"/>
      <c r="L30" s="40"/>
      <c r="M30" s="15"/>
      <c r="N30" s="15"/>
      <c r="O30" s="15"/>
      <c r="P30" s="15"/>
    </row>
    <row r="31" spans="1:16" ht="9.9499999999999993" customHeight="1" x14ac:dyDescent="0.15">
      <c r="A31" s="2" t="s">
        <v>39</v>
      </c>
      <c r="B31" s="14">
        <v>1782393.0283299999</v>
      </c>
      <c r="C31" s="14"/>
      <c r="D31" s="14">
        <f t="shared" si="0"/>
        <v>1782393.0283299999</v>
      </c>
      <c r="E31" s="14"/>
      <c r="F31" s="14">
        <f t="shared" si="1"/>
        <v>1782393.0283299999</v>
      </c>
      <c r="H31" s="15"/>
      <c r="I31" s="41"/>
      <c r="J31" s="41"/>
      <c r="K31" s="40"/>
      <c r="L31" s="40"/>
      <c r="M31" s="15"/>
      <c r="N31" s="15"/>
      <c r="O31" s="15"/>
      <c r="P31" s="15"/>
    </row>
    <row r="32" spans="1:16" ht="9.9499999999999993" customHeight="1" x14ac:dyDescent="0.15">
      <c r="A32" s="2" t="s">
        <v>40</v>
      </c>
      <c r="B32" s="14">
        <v>1662058.9807400003</v>
      </c>
      <c r="C32" s="14">
        <v>12423.759090000065</v>
      </c>
      <c r="D32" s="14">
        <f t="shared" si="0"/>
        <v>1649635.2216500002</v>
      </c>
      <c r="E32" s="14"/>
      <c r="F32" s="14">
        <f t="shared" si="1"/>
        <v>1649635.2216500002</v>
      </c>
      <c r="H32" s="15"/>
      <c r="I32" s="45"/>
      <c r="J32" s="45"/>
      <c r="K32" s="46"/>
      <c r="L32" s="46"/>
      <c r="M32" s="121"/>
      <c r="N32" s="121"/>
      <c r="O32" s="121"/>
      <c r="P32" s="15"/>
    </row>
    <row r="33" spans="1:32" ht="9.9499999999999993" customHeight="1" x14ac:dyDescent="0.15">
      <c r="A33" s="2" t="s">
        <v>41</v>
      </c>
      <c r="B33" s="14">
        <v>67389.666949999999</v>
      </c>
      <c r="C33" s="14"/>
      <c r="D33" s="14">
        <f t="shared" si="0"/>
        <v>67389.666949999999</v>
      </c>
      <c r="E33" s="14"/>
      <c r="F33" s="14">
        <f t="shared" si="1"/>
        <v>67389.666949999999</v>
      </c>
      <c r="H33" s="15"/>
      <c r="I33" s="45"/>
      <c r="J33" s="45"/>
      <c r="K33" s="46"/>
      <c r="L33" s="46"/>
      <c r="M33" s="121"/>
      <c r="N33" s="121"/>
      <c r="O33" s="121"/>
      <c r="P33" s="15"/>
    </row>
    <row r="34" spans="1:32" ht="9.9499999999999993" customHeight="1" x14ac:dyDescent="0.15">
      <c r="A34" s="2" t="s">
        <v>42</v>
      </c>
      <c r="B34" s="14">
        <v>0</v>
      </c>
      <c r="C34" s="14"/>
      <c r="D34" s="14">
        <f t="shared" si="0"/>
        <v>0</v>
      </c>
      <c r="E34" s="14"/>
      <c r="F34" s="14">
        <f t="shared" si="1"/>
        <v>0</v>
      </c>
      <c r="H34" s="15"/>
      <c r="I34" s="45"/>
      <c r="J34" s="45"/>
      <c r="K34" s="46"/>
      <c r="L34" s="46"/>
      <c r="M34" s="121"/>
      <c r="N34" s="45"/>
      <c r="O34" s="121"/>
      <c r="P34" s="15"/>
    </row>
    <row r="35" spans="1:32" ht="9.9499999999999993" customHeight="1" x14ac:dyDescent="0.15">
      <c r="A35" s="2" t="s">
        <v>43</v>
      </c>
      <c r="B35" s="14">
        <v>471563.54897999996</v>
      </c>
      <c r="C35" s="14"/>
      <c r="D35" s="14">
        <f t="shared" si="0"/>
        <v>471563.54897999996</v>
      </c>
      <c r="E35" s="14"/>
      <c r="F35" s="14">
        <f t="shared" si="1"/>
        <v>471563.54897999996</v>
      </c>
      <c r="H35" s="15"/>
      <c r="I35" s="121"/>
      <c r="J35" s="48"/>
      <c r="K35" s="48"/>
      <c r="L35" s="121"/>
      <c r="M35" s="121"/>
      <c r="N35" s="121"/>
      <c r="O35" s="121"/>
      <c r="P35" s="15"/>
    </row>
    <row r="36" spans="1:32" ht="9.9499999999999993" customHeight="1" x14ac:dyDescent="0.15">
      <c r="A36" s="2" t="s">
        <v>44</v>
      </c>
      <c r="B36" s="14">
        <v>97925.280979999996</v>
      </c>
      <c r="C36" s="14"/>
      <c r="D36" s="14">
        <f t="shared" si="0"/>
        <v>97925.280979999996</v>
      </c>
      <c r="E36" s="14"/>
      <c r="F36" s="14">
        <f t="shared" si="1"/>
        <v>97925.280979999996</v>
      </c>
      <c r="H36" s="15"/>
      <c r="I36" s="121"/>
      <c r="J36" s="45"/>
      <c r="K36" s="48"/>
      <c r="L36" s="121"/>
      <c r="M36" s="121"/>
      <c r="N36" s="121"/>
      <c r="O36" s="121"/>
      <c r="P36" s="15"/>
    </row>
    <row r="37" spans="1:32" ht="9.9499999999999993" customHeight="1" x14ac:dyDescent="0.15">
      <c r="A37" s="2" t="s">
        <v>45</v>
      </c>
      <c r="B37" s="14">
        <v>885818.39362999995</v>
      </c>
      <c r="C37" s="14"/>
      <c r="D37" s="14">
        <f t="shared" si="0"/>
        <v>885818.39362999995</v>
      </c>
      <c r="E37" s="14"/>
      <c r="F37" s="14">
        <f t="shared" si="1"/>
        <v>885818.39362999995</v>
      </c>
      <c r="H37" s="15"/>
      <c r="I37" s="45"/>
      <c r="J37" s="45"/>
      <c r="K37" s="48"/>
      <c r="L37" s="121"/>
      <c r="M37" s="121"/>
      <c r="N37" s="121"/>
      <c r="O37" s="121"/>
      <c r="P37" s="15"/>
    </row>
    <row r="38" spans="1:32" ht="9.9499999999999993" customHeight="1" x14ac:dyDescent="0.15">
      <c r="A38" s="2" t="s">
        <v>46</v>
      </c>
      <c r="B38" s="14">
        <v>457379.52737999998</v>
      </c>
      <c r="C38" s="14"/>
      <c r="D38" s="14">
        <f t="shared" si="0"/>
        <v>457379.52737999998</v>
      </c>
      <c r="E38" s="14"/>
      <c r="F38" s="14">
        <f t="shared" si="1"/>
        <v>457379.52737999998</v>
      </c>
      <c r="H38" s="15"/>
      <c r="I38" s="49"/>
      <c r="J38" s="41"/>
      <c r="K38" s="9"/>
      <c r="L38" s="15"/>
      <c r="M38" s="15"/>
      <c r="N38" s="15"/>
      <c r="O38" s="15"/>
      <c r="P38" s="15"/>
    </row>
    <row r="39" spans="1:32" ht="9.9499999999999993" customHeight="1" x14ac:dyDescent="0.15">
      <c r="A39" s="2" t="s">
        <v>47</v>
      </c>
      <c r="B39" s="14">
        <v>1055883.6994899998</v>
      </c>
      <c r="C39" s="14"/>
      <c r="D39" s="14">
        <f t="shared" si="0"/>
        <v>1055883.6994899998</v>
      </c>
      <c r="E39" s="14"/>
      <c r="F39" s="14">
        <f t="shared" si="1"/>
        <v>1055883.6994899998</v>
      </c>
      <c r="H39" s="15"/>
      <c r="I39" s="15"/>
      <c r="J39" s="41"/>
      <c r="K39" s="15"/>
      <c r="L39" s="15"/>
      <c r="M39" s="15"/>
      <c r="N39" s="15"/>
      <c r="O39" s="15"/>
      <c r="P39" s="15"/>
    </row>
    <row r="40" spans="1:32" ht="9.9499999999999993" customHeight="1" x14ac:dyDescent="0.15">
      <c r="A40" s="2" t="s">
        <v>48</v>
      </c>
      <c r="B40" s="14">
        <v>251008.31526999999</v>
      </c>
      <c r="C40" s="14"/>
      <c r="D40" s="14">
        <f t="shared" si="0"/>
        <v>251008.31526999999</v>
      </c>
      <c r="E40" s="14"/>
      <c r="F40" s="14">
        <f t="shared" si="1"/>
        <v>251008.31526999999</v>
      </c>
      <c r="H40" s="15"/>
      <c r="I40" s="15"/>
      <c r="J40" s="41"/>
      <c r="K40" s="15"/>
      <c r="L40" s="15"/>
      <c r="M40" s="15"/>
      <c r="N40" s="15"/>
      <c r="O40" s="15"/>
      <c r="P40" s="15"/>
    </row>
    <row r="41" spans="1:32" ht="9.9499999999999993" customHeight="1" x14ac:dyDescent="0.15">
      <c r="A41" s="2" t="s">
        <v>49</v>
      </c>
      <c r="B41" s="14">
        <v>17312.44857</v>
      </c>
      <c r="C41" s="14"/>
      <c r="D41" s="14">
        <f>B41-C41</f>
        <v>17312.44857</v>
      </c>
      <c r="E41" s="14"/>
      <c r="F41" s="14">
        <f>D41-E41</f>
        <v>17312.44857</v>
      </c>
      <c r="H41" s="55"/>
      <c r="I41" s="15"/>
      <c r="J41" s="41"/>
      <c r="K41" s="10"/>
      <c r="L41" s="10"/>
      <c r="M41" s="15"/>
      <c r="N41" s="15"/>
      <c r="O41" s="15"/>
      <c r="P41" s="15"/>
    </row>
    <row r="42" spans="1:32" ht="9.9499999999999993" customHeight="1" x14ac:dyDescent="0.15">
      <c r="A42" s="2" t="s">
        <v>50</v>
      </c>
      <c r="B42" s="14">
        <v>7786.1385300000002</v>
      </c>
      <c r="C42" s="14"/>
      <c r="D42" s="14">
        <f>B42-C42</f>
        <v>7786.1385300000002</v>
      </c>
      <c r="E42" s="14"/>
      <c r="F42" s="14">
        <f>D42-E42</f>
        <v>7786.1385300000002</v>
      </c>
      <c r="H42" s="15"/>
      <c r="I42" s="15"/>
      <c r="J42" s="9"/>
      <c r="K42" s="9"/>
      <c r="L42" s="15"/>
      <c r="M42" s="15"/>
      <c r="N42" s="15"/>
      <c r="O42" s="15"/>
      <c r="P42" s="15"/>
    </row>
    <row r="43" spans="1:32" ht="9.9499999999999993" customHeight="1" x14ac:dyDescent="0.15">
      <c r="A43" s="2" t="s">
        <v>51</v>
      </c>
      <c r="B43" s="14">
        <v>37367.507050000007</v>
      </c>
      <c r="C43" s="14"/>
      <c r="D43" s="14">
        <f>B43-C43</f>
        <v>37367.507050000007</v>
      </c>
      <c r="F43" s="14">
        <f>D43-E43</f>
        <v>37367.507050000007</v>
      </c>
      <c r="H43" s="15"/>
      <c r="I43" s="122"/>
      <c r="J43" s="123"/>
      <c r="K43" s="9"/>
      <c r="L43" s="15"/>
      <c r="M43" s="15"/>
      <c r="N43" s="15"/>
      <c r="O43" s="15"/>
      <c r="P43" s="15"/>
    </row>
    <row r="44" spans="1:32" ht="9.9499999999999993" customHeight="1" x14ac:dyDescent="0.15">
      <c r="F44" s="14"/>
    </row>
    <row r="45" spans="1:32" ht="9.9499999999999993" customHeight="1" x14ac:dyDescent="0.15">
      <c r="A45" s="2" t="s">
        <v>52</v>
      </c>
      <c r="B45" s="14">
        <f>SUM(B11:B43)</f>
        <v>75090937.151909992</v>
      </c>
      <c r="C45" s="14">
        <f>SUM(C11:C43)</f>
        <v>2629447.1551399995</v>
      </c>
      <c r="D45" s="14">
        <f>SUM(D11:D43)</f>
        <v>72461489.996770009</v>
      </c>
      <c r="E45" s="14">
        <f>SUM(E11:E43)</f>
        <v>240869.63907999999</v>
      </c>
      <c r="F45" s="14">
        <f>SUM(F11:F43)</f>
        <v>72220620.357690006</v>
      </c>
    </row>
    <row r="46" spans="1:32" ht="9.9499999999999993" customHeight="1" x14ac:dyDescent="0.15">
      <c r="A46" s="2" t="s">
        <v>53</v>
      </c>
      <c r="B46" s="14"/>
      <c r="C46" s="14"/>
      <c r="D46" s="14"/>
      <c r="E46" s="14"/>
      <c r="F46" s="14">
        <f>F11+F12+F13+F14+F15+F16+F17+F18+F20+F21+F23+F24+F25+F30+F31+F32+F33+F34+F35+F36+F37+F38+F39+F40+F41</f>
        <v>70354167.44817999</v>
      </c>
    </row>
    <row r="47" spans="1:32" ht="9.9499999999999993" customHeight="1" x14ac:dyDescent="0.15">
      <c r="W47" s="15"/>
      <c r="X47" s="15"/>
      <c r="Y47" s="15"/>
      <c r="Z47" s="15"/>
      <c r="AA47" s="15"/>
      <c r="AB47" s="15"/>
      <c r="AC47" s="15"/>
      <c r="AD47" s="15"/>
      <c r="AE47" s="15"/>
      <c r="AF47" s="15"/>
    </row>
    <row r="48" spans="1:32" ht="9.9499999999999993" customHeight="1" x14ac:dyDescent="0.2">
      <c r="K48" s="20"/>
      <c r="L48" s="20"/>
      <c r="M48" s="20"/>
      <c r="N48" s="20"/>
      <c r="O48" s="20"/>
      <c r="P48" s="20"/>
      <c r="Q48" s="20"/>
      <c r="R48" s="20"/>
      <c r="W48" s="15"/>
      <c r="X48" s="128"/>
      <c r="Y48" s="128"/>
      <c r="Z48" s="128"/>
      <c r="AA48" s="128"/>
      <c r="AB48" s="15"/>
      <c r="AC48" s="15"/>
      <c r="AD48" s="15"/>
      <c r="AE48" s="15"/>
      <c r="AF48" s="15"/>
    </row>
    <row r="49" spans="1:32" ht="9.9499999999999993" customHeight="1" x14ac:dyDescent="0.2">
      <c r="A49" s="1" t="s">
        <v>54</v>
      </c>
      <c r="J49" s="50"/>
      <c r="K49" s="51" t="s">
        <v>55</v>
      </c>
      <c r="L49" s="21" t="s">
        <v>56</v>
      </c>
      <c r="M49" s="52"/>
      <c r="N49" s="21" t="s">
        <v>57</v>
      </c>
      <c r="O49" s="21" t="s">
        <v>58</v>
      </c>
      <c r="P49" s="52"/>
      <c r="Q49" s="53" t="s">
        <v>59</v>
      </c>
      <c r="R49" s="52"/>
      <c r="S49" s="14"/>
      <c r="W49" s="15"/>
      <c r="X49" s="55"/>
      <c r="Y49" s="55"/>
      <c r="Z49" s="55"/>
      <c r="AA49" s="55"/>
      <c r="AB49" s="15"/>
      <c r="AC49" s="55"/>
      <c r="AD49" s="15"/>
      <c r="AE49" s="55"/>
      <c r="AF49" s="15"/>
    </row>
    <row r="50" spans="1:32" ht="9.9499999999999993" customHeight="1" x14ac:dyDescent="0.15">
      <c r="B50" s="20" t="s">
        <v>60</v>
      </c>
      <c r="C50" s="20" t="s">
        <v>11</v>
      </c>
      <c r="D50" s="20" t="s">
        <v>13</v>
      </c>
      <c r="E50" s="20"/>
      <c r="F50" s="20" t="s">
        <v>60</v>
      </c>
      <c r="G50" s="20" t="s">
        <v>11</v>
      </c>
      <c r="H50" s="20" t="s">
        <v>13</v>
      </c>
      <c r="I50" s="20"/>
      <c r="J50" s="20"/>
      <c r="K50" s="57" t="s">
        <v>13</v>
      </c>
      <c r="L50" s="58" t="s">
        <v>11</v>
      </c>
      <c r="M50" s="59" t="s">
        <v>13</v>
      </c>
      <c r="N50" s="58" t="s">
        <v>13</v>
      </c>
      <c r="O50" s="58" t="s">
        <v>11</v>
      </c>
      <c r="P50" s="59" t="s">
        <v>13</v>
      </c>
      <c r="Q50" s="42" t="s">
        <v>11</v>
      </c>
      <c r="R50" s="59" t="s">
        <v>13</v>
      </c>
      <c r="S50" s="60"/>
      <c r="T50" s="61" t="s">
        <v>11</v>
      </c>
      <c r="U50" s="62" t="s">
        <v>13</v>
      </c>
      <c r="W50" s="15"/>
      <c r="X50" s="63"/>
      <c r="Y50" s="42"/>
      <c r="Z50" s="42"/>
      <c r="AA50" s="42"/>
      <c r="AB50" s="42"/>
      <c r="AC50" s="42"/>
      <c r="AD50" s="42"/>
      <c r="AE50" s="42"/>
      <c r="AF50" s="42"/>
    </row>
    <row r="51" spans="1:32" ht="9.9499999999999993" customHeight="1" x14ac:dyDescent="0.15">
      <c r="J51" s="20" t="s">
        <v>61</v>
      </c>
      <c r="K51" s="64">
        <f>K20</f>
        <v>116787.91796397883</v>
      </c>
      <c r="L51" s="65">
        <f>K17</f>
        <v>667226.70799999998</v>
      </c>
      <c r="M51" s="66">
        <v>0</v>
      </c>
      <c r="N51" s="67" t="s">
        <v>62</v>
      </c>
      <c r="O51" s="67"/>
      <c r="P51" s="68"/>
      <c r="Q51" s="69"/>
      <c r="R51" s="30"/>
      <c r="S51" s="14"/>
      <c r="T51" s="32"/>
      <c r="U51" s="59" t="s">
        <v>63</v>
      </c>
      <c r="W51" s="15"/>
      <c r="X51" s="15"/>
      <c r="Y51" s="15"/>
      <c r="Z51" s="15"/>
      <c r="AA51" s="15"/>
      <c r="AB51" s="15"/>
      <c r="AC51" s="15"/>
      <c r="AD51" s="15"/>
      <c r="AE51" s="15"/>
      <c r="AF51" s="15"/>
    </row>
    <row r="52" spans="1:32" ht="9.9499999999999993" customHeight="1" x14ac:dyDescent="0.15">
      <c r="J52" s="20" t="s">
        <v>64</v>
      </c>
      <c r="K52" s="70"/>
      <c r="L52" s="71">
        <f>K11</f>
        <v>0</v>
      </c>
      <c r="M52" s="72">
        <f>K12</f>
        <v>0</v>
      </c>
      <c r="N52" s="73"/>
      <c r="O52" s="73"/>
      <c r="P52" s="30"/>
      <c r="Q52" s="69"/>
      <c r="R52" s="30"/>
      <c r="S52" s="14"/>
      <c r="T52" s="32"/>
      <c r="U52" s="56"/>
      <c r="W52" s="15"/>
      <c r="X52" s="15"/>
      <c r="Y52" s="15"/>
      <c r="Z52" s="15"/>
      <c r="AA52" s="15"/>
      <c r="AB52" s="15"/>
      <c r="AC52" s="15"/>
      <c r="AD52" s="15"/>
      <c r="AE52" s="15"/>
      <c r="AF52" s="15"/>
    </row>
    <row r="53" spans="1:32" ht="9.9499999999999993" customHeight="1" x14ac:dyDescent="0.15">
      <c r="A53" s="2" t="s">
        <v>10</v>
      </c>
      <c r="B53" s="74">
        <v>67.417000000000002</v>
      </c>
      <c r="C53" s="74">
        <v>20.7</v>
      </c>
      <c r="D53" s="74">
        <v>11.883000000000001</v>
      </c>
      <c r="E53" s="75"/>
      <c r="F53" s="13">
        <f t="shared" ref="F53:H59" si="2">B53*$F11/100</f>
        <v>1986997.8572949572</v>
      </c>
      <c r="G53" s="13">
        <f t="shared" si="2"/>
        <v>610096.20193728001</v>
      </c>
      <c r="H53" s="13">
        <f t="shared" si="2"/>
        <v>350230.58780776319</v>
      </c>
      <c r="I53" s="14"/>
      <c r="J53" s="50" t="s">
        <v>65</v>
      </c>
      <c r="K53" s="76">
        <f t="shared" ref="K53:K59" si="3">-F11*$J$20</f>
        <v>-4892.5589140864004</v>
      </c>
      <c r="L53" s="77">
        <f t="shared" ref="L53:L59" si="4">-SUM(L$51:L$52)/(SUM(G$53:G$84)-G$60-G$61)*G53</f>
        <v>-26594.34274607445</v>
      </c>
      <c r="M53" s="34"/>
      <c r="N53" s="77"/>
      <c r="O53" s="77"/>
      <c r="P53" s="34"/>
      <c r="Q53" s="41">
        <v>-5847.916666666667</v>
      </c>
      <c r="R53" s="34">
        <v>-4968.25</v>
      </c>
      <c r="S53" s="50" t="s">
        <v>66</v>
      </c>
      <c r="T53" s="77">
        <f>G53+L53+O53+Q53</f>
        <v>577653.94252453896</v>
      </c>
      <c r="U53" s="34">
        <f>H53+K53+M53+N53+P53+R53</f>
        <v>340369.77889367682</v>
      </c>
      <c r="W53" s="15"/>
      <c r="X53" s="78"/>
      <c r="Y53" s="78"/>
      <c r="Z53" s="78"/>
      <c r="AA53" s="78"/>
      <c r="AB53" s="78"/>
      <c r="AC53" s="78"/>
      <c r="AD53" s="78"/>
      <c r="AE53" s="78"/>
      <c r="AF53" s="78"/>
    </row>
    <row r="54" spans="1:32" ht="9.9499999999999993" customHeight="1" x14ac:dyDescent="0.15">
      <c r="A54" s="2" t="s">
        <v>12</v>
      </c>
      <c r="B54" s="74">
        <v>67.417000000000002</v>
      </c>
      <c r="C54" s="74">
        <v>20.7</v>
      </c>
      <c r="D54" s="74">
        <v>11.883000000000001</v>
      </c>
      <c r="E54" s="75"/>
      <c r="F54" s="13">
        <f t="shared" si="2"/>
        <v>16233563.895676792</v>
      </c>
      <c r="G54" s="13">
        <f t="shared" si="2"/>
        <v>4984421.9208880486</v>
      </c>
      <c r="H54" s="13">
        <f t="shared" si="2"/>
        <v>2861347.1345851542</v>
      </c>
      <c r="I54" s="14"/>
      <c r="J54" s="50" t="s">
        <v>67</v>
      </c>
      <c r="K54" s="76">
        <f t="shared" si="3"/>
        <v>-39971.692698908992</v>
      </c>
      <c r="L54" s="77">
        <f t="shared" si="4"/>
        <v>-217272.98831598187</v>
      </c>
      <c r="M54" s="34"/>
      <c r="N54" s="77">
        <v>0</v>
      </c>
      <c r="O54" s="77"/>
      <c r="P54" s="34"/>
      <c r="Q54" s="41">
        <v>-14228.083333333334</v>
      </c>
      <c r="R54" s="34">
        <v>-11156.25</v>
      </c>
      <c r="S54" s="50" t="s">
        <v>68</v>
      </c>
      <c r="T54" s="77">
        <f t="shared" ref="T54:T87" si="5">G54+L54+O54+Q54</f>
        <v>4752920.8492387338</v>
      </c>
      <c r="U54" s="34">
        <f t="shared" ref="U54:U87" si="6">H54+K54+M54+N54+P54+R54</f>
        <v>2810219.1918862453</v>
      </c>
      <c r="W54" s="15"/>
      <c r="X54" s="78"/>
      <c r="Y54" s="78"/>
      <c r="Z54" s="78"/>
      <c r="AA54" s="78"/>
      <c r="AB54" s="78"/>
      <c r="AC54" s="78"/>
      <c r="AD54" s="78"/>
      <c r="AE54" s="78"/>
      <c r="AF54" s="78"/>
    </row>
    <row r="55" spans="1:32" ht="9.9499999999999993" customHeight="1" x14ac:dyDescent="0.15">
      <c r="A55" s="2" t="s">
        <v>14</v>
      </c>
      <c r="B55" s="74">
        <v>67.417000000000002</v>
      </c>
      <c r="C55" s="74">
        <v>20.7</v>
      </c>
      <c r="D55" s="74">
        <v>11.883000000000001</v>
      </c>
      <c r="E55" s="75"/>
      <c r="F55" s="13">
        <f t="shared" si="2"/>
        <v>881984.43311534298</v>
      </c>
      <c r="G55" s="13">
        <f t="shared" si="2"/>
        <v>270808.21996659</v>
      </c>
      <c r="H55" s="13">
        <f t="shared" si="2"/>
        <v>155459.61728806712</v>
      </c>
      <c r="I55" s="14"/>
      <c r="J55" s="50" t="s">
        <v>14</v>
      </c>
      <c r="K55" s="76">
        <f t="shared" si="3"/>
        <v>-2171.6987688141999</v>
      </c>
      <c r="L55" s="77">
        <f t="shared" si="4"/>
        <v>-11804.640968714313</v>
      </c>
      <c r="M55" s="34"/>
      <c r="N55" s="77"/>
      <c r="O55" s="77"/>
      <c r="P55" s="34"/>
      <c r="Q55" s="41">
        <v>-226.33333333333337</v>
      </c>
      <c r="R55" s="34">
        <v>-1132.25</v>
      </c>
      <c r="S55" s="50" t="s">
        <v>69</v>
      </c>
      <c r="T55" s="77">
        <f t="shared" si="5"/>
        <v>258777.24566454234</v>
      </c>
      <c r="U55" s="34">
        <f t="shared" si="6"/>
        <v>152155.66851925291</v>
      </c>
      <c r="W55" s="15"/>
      <c r="X55" s="78"/>
      <c r="Y55" s="78"/>
      <c r="Z55" s="78"/>
      <c r="AA55" s="78"/>
      <c r="AB55" s="78"/>
      <c r="AC55" s="78"/>
      <c r="AD55" s="78"/>
      <c r="AE55" s="78"/>
      <c r="AF55" s="78"/>
    </row>
    <row r="56" spans="1:32" ht="9.9499999999999993" customHeight="1" x14ac:dyDescent="0.15">
      <c r="A56" s="2" t="s">
        <v>15</v>
      </c>
      <c r="B56" s="74">
        <v>67.417000000000002</v>
      </c>
      <c r="C56" s="74">
        <v>20.7</v>
      </c>
      <c r="D56" s="74">
        <v>11.883000000000001</v>
      </c>
      <c r="E56" s="75"/>
      <c r="F56" s="13">
        <f t="shared" si="2"/>
        <v>864068.36641704803</v>
      </c>
      <c r="G56" s="13">
        <f t="shared" si="2"/>
        <v>265307.19528950995</v>
      </c>
      <c r="H56" s="13">
        <f t="shared" si="2"/>
        <v>152301.71022344189</v>
      </c>
      <c r="I56" s="14"/>
      <c r="J56" s="50" t="s">
        <v>15</v>
      </c>
      <c r="K56" s="76">
        <f t="shared" si="3"/>
        <v>-2127.5842714037999</v>
      </c>
      <c r="L56" s="77">
        <f t="shared" si="4"/>
        <v>-11564.849055156525</v>
      </c>
      <c r="M56" s="34"/>
      <c r="N56" s="77"/>
      <c r="O56" s="77"/>
      <c r="P56" s="34"/>
      <c r="Q56" s="41"/>
      <c r="R56" s="34"/>
      <c r="S56" s="50" t="s">
        <v>70</v>
      </c>
      <c r="T56" s="77">
        <f t="shared" si="5"/>
        <v>253742.34623435343</v>
      </c>
      <c r="U56" s="34">
        <f t="shared" si="6"/>
        <v>150174.1259520381</v>
      </c>
      <c r="W56" s="15"/>
      <c r="X56" s="78"/>
      <c r="Y56" s="78"/>
      <c r="Z56" s="78"/>
      <c r="AA56" s="78"/>
      <c r="AB56" s="78"/>
      <c r="AC56" s="78"/>
      <c r="AD56" s="78"/>
      <c r="AE56" s="78"/>
      <c r="AF56" s="78"/>
    </row>
    <row r="57" spans="1:32" ht="9.9499999999999993" customHeight="1" x14ac:dyDescent="0.15">
      <c r="A57" s="2" t="s">
        <v>17</v>
      </c>
      <c r="B57" s="74">
        <v>67.417000000000002</v>
      </c>
      <c r="C57" s="74">
        <v>20.7</v>
      </c>
      <c r="D57" s="74">
        <v>11.883000000000001</v>
      </c>
      <c r="E57" s="75"/>
      <c r="F57" s="13">
        <f t="shared" si="2"/>
        <v>483468.62252278312</v>
      </c>
      <c r="G57" s="13">
        <f t="shared" si="2"/>
        <v>148446.24480801</v>
      </c>
      <c r="H57" s="13">
        <f t="shared" si="2"/>
        <v>85216.750099206896</v>
      </c>
      <c r="I57" s="14"/>
      <c r="J57" s="50" t="s">
        <v>71</v>
      </c>
      <c r="K57" s="76">
        <f t="shared" si="3"/>
        <v>-1190.4384849338001</v>
      </c>
      <c r="L57" s="77">
        <f t="shared" si="4"/>
        <v>-6470.8324707744096</v>
      </c>
      <c r="M57" s="34"/>
      <c r="N57" s="77"/>
      <c r="O57" s="77"/>
      <c r="P57" s="34"/>
      <c r="Q57" s="41"/>
      <c r="R57" s="34"/>
      <c r="S57" s="50" t="s">
        <v>72</v>
      </c>
      <c r="T57" s="77">
        <f>G57+L57+O57+Q57</f>
        <v>141975.41233723558</v>
      </c>
      <c r="U57" s="34">
        <f>H57+K57+M57+N57+P57+R57</f>
        <v>84026.311614273101</v>
      </c>
      <c r="W57" s="15"/>
      <c r="X57" s="78"/>
      <c r="Y57" s="78"/>
      <c r="Z57" s="78"/>
      <c r="AA57" s="78"/>
      <c r="AB57" s="78"/>
      <c r="AC57" s="78"/>
      <c r="AD57" s="78"/>
      <c r="AE57" s="78"/>
      <c r="AF57" s="78"/>
    </row>
    <row r="58" spans="1:32" ht="9.9499999999999993" customHeight="1" x14ac:dyDescent="0.15">
      <c r="A58" s="2" t="s">
        <v>19</v>
      </c>
      <c r="B58" s="74">
        <v>67.417000000000002</v>
      </c>
      <c r="C58" s="74">
        <v>20.7</v>
      </c>
      <c r="D58" s="74">
        <v>11.883000000000001</v>
      </c>
      <c r="E58" s="75"/>
      <c r="F58" s="13">
        <f t="shared" si="2"/>
        <v>4057161.9290304873</v>
      </c>
      <c r="G58" s="13">
        <f t="shared" si="2"/>
        <v>1245728.1090960898</v>
      </c>
      <c r="H58" s="13">
        <f t="shared" si="2"/>
        <v>715120.1507434221</v>
      </c>
      <c r="I58" s="14"/>
      <c r="J58" s="50" t="s">
        <v>73</v>
      </c>
      <c r="K58" s="76">
        <f t="shared" si="3"/>
        <v>-9989.8969135242005</v>
      </c>
      <c r="L58" s="77">
        <f t="shared" si="4"/>
        <v>-54301.797317411336</v>
      </c>
      <c r="M58" s="34"/>
      <c r="N58" s="77"/>
      <c r="O58" s="77"/>
      <c r="P58" s="34"/>
      <c r="Q58" s="41"/>
      <c r="R58" s="34"/>
      <c r="S58" s="50" t="s">
        <v>74</v>
      </c>
      <c r="T58" s="77">
        <f t="shared" si="5"/>
        <v>1191426.3117786786</v>
      </c>
      <c r="U58" s="34">
        <f t="shared" si="6"/>
        <v>705130.25382989785</v>
      </c>
      <c r="W58" s="15"/>
      <c r="X58" s="78"/>
      <c r="Y58" s="78"/>
      <c r="Z58" s="78"/>
      <c r="AA58" s="78"/>
      <c r="AB58" s="78"/>
      <c r="AC58" s="78"/>
      <c r="AD58" s="78"/>
      <c r="AE58" s="78"/>
      <c r="AF58" s="78"/>
    </row>
    <row r="59" spans="1:32" ht="9.9499999999999993" customHeight="1" x14ac:dyDescent="0.15">
      <c r="A59" s="2" t="s">
        <v>21</v>
      </c>
      <c r="B59" s="74">
        <v>67.417000000000002</v>
      </c>
      <c r="C59" s="74">
        <v>20.7</v>
      </c>
      <c r="D59" s="74">
        <v>11.883000000000001</v>
      </c>
      <c r="E59" s="75"/>
      <c r="F59" s="13">
        <f t="shared" si="2"/>
        <v>15312900.298764782</v>
      </c>
      <c r="G59" s="13">
        <f t="shared" si="2"/>
        <v>4701737.4873463809</v>
      </c>
      <c r="H59" s="13">
        <f t="shared" si="2"/>
        <v>2699069.8822288429</v>
      </c>
      <c r="I59" s="14"/>
      <c r="J59" s="50" t="s">
        <v>75</v>
      </c>
      <c r="K59" s="76">
        <f t="shared" si="3"/>
        <v>-37704.754729444408</v>
      </c>
      <c r="L59" s="77">
        <f t="shared" si="4"/>
        <v>-204950.65834455242</v>
      </c>
      <c r="M59" s="34"/>
      <c r="N59" s="77">
        <f>-K15</f>
        <v>-147275.29631363644</v>
      </c>
      <c r="O59" s="77">
        <v>20000</v>
      </c>
      <c r="P59" s="34">
        <v>0</v>
      </c>
      <c r="Q59" s="41"/>
      <c r="R59" s="34">
        <v>-7631.75</v>
      </c>
      <c r="S59" s="50" t="s">
        <v>76</v>
      </c>
      <c r="T59" s="77">
        <f t="shared" si="5"/>
        <v>4516786.8290018281</v>
      </c>
      <c r="U59" s="34">
        <f t="shared" si="6"/>
        <v>2506458.0811857618</v>
      </c>
      <c r="W59" s="15"/>
      <c r="X59" s="78"/>
      <c r="Y59" s="78"/>
      <c r="Z59" s="78"/>
      <c r="AA59" s="78"/>
      <c r="AB59" s="78"/>
      <c r="AC59" s="78"/>
      <c r="AD59" s="78"/>
      <c r="AE59" s="78"/>
      <c r="AF59" s="78"/>
    </row>
    <row r="60" spans="1:32" ht="9.9499999999999993" customHeight="1" x14ac:dyDescent="0.15">
      <c r="A60" s="2" t="s">
        <v>77</v>
      </c>
      <c r="B60" s="74"/>
      <c r="C60" s="74"/>
      <c r="D60" s="74"/>
      <c r="E60" s="75"/>
      <c r="F60" s="13">
        <f>-G60-H60</f>
        <v>-111350.738</v>
      </c>
      <c r="G60" s="13">
        <v>79005</v>
      </c>
      <c r="H60" s="13">
        <v>32345.738000000001</v>
      </c>
      <c r="I60" s="14"/>
      <c r="J60" s="50" t="s">
        <v>78</v>
      </c>
      <c r="K60" s="76"/>
      <c r="L60" s="77"/>
      <c r="M60" s="34"/>
      <c r="N60" s="77"/>
      <c r="O60" s="77"/>
      <c r="P60" s="34"/>
      <c r="Q60" s="41"/>
      <c r="R60" s="34"/>
      <c r="S60" s="50" t="s">
        <v>79</v>
      </c>
      <c r="T60" s="77">
        <f>G60+L60+O60+Q60</f>
        <v>79005</v>
      </c>
      <c r="U60" s="34">
        <f>H60+K60+M60+N60+P60+R60</f>
        <v>32345.738000000001</v>
      </c>
      <c r="W60" s="15"/>
      <c r="X60" s="78"/>
      <c r="Y60" s="78"/>
      <c r="Z60" s="78"/>
      <c r="AA60" s="78"/>
      <c r="AB60" s="78"/>
      <c r="AC60" s="78"/>
      <c r="AD60" s="78"/>
      <c r="AE60" s="78"/>
      <c r="AF60" s="78"/>
    </row>
    <row r="61" spans="1:32" ht="9.9499999999999993" customHeight="1" x14ac:dyDescent="0.15">
      <c r="A61" s="2" t="s">
        <v>80</v>
      </c>
      <c r="B61" s="74"/>
      <c r="C61" s="74"/>
      <c r="D61" s="74"/>
      <c r="E61" s="75"/>
      <c r="F61" s="13">
        <f>-G61-H61</f>
        <v>371814</v>
      </c>
      <c r="G61" s="13">
        <v>-244655.85499999998</v>
      </c>
      <c r="H61" s="13">
        <v>-127158.145</v>
      </c>
      <c r="I61" s="14"/>
      <c r="J61" s="50" t="s">
        <v>81</v>
      </c>
      <c r="K61" s="76"/>
      <c r="L61" s="77"/>
      <c r="M61" s="34"/>
      <c r="N61" s="77"/>
      <c r="O61" s="77"/>
      <c r="P61" s="34"/>
      <c r="Q61" s="41"/>
      <c r="R61" s="34"/>
      <c r="S61" s="50" t="s">
        <v>194</v>
      </c>
      <c r="T61" s="77">
        <f>G61+L61+O61+Q61</f>
        <v>-244655.85499999998</v>
      </c>
      <c r="U61" s="34">
        <f>H61+K61+M61+N61+P61+R61</f>
        <v>-127158.145</v>
      </c>
      <c r="W61" s="15"/>
      <c r="X61" s="78"/>
      <c r="Y61" s="78"/>
      <c r="Z61" s="78"/>
      <c r="AA61" s="78"/>
      <c r="AB61" s="78"/>
      <c r="AC61" s="78"/>
      <c r="AD61" s="78"/>
      <c r="AE61" s="78"/>
      <c r="AF61" s="78"/>
    </row>
    <row r="62" spans="1:32" ht="9.9499999999999993" customHeight="1" x14ac:dyDescent="0.2">
      <c r="A62" s="2" t="s">
        <v>23</v>
      </c>
      <c r="B62" s="74">
        <v>67.417000000000002</v>
      </c>
      <c r="C62" s="74">
        <v>20.7</v>
      </c>
      <c r="D62" s="74">
        <v>11.883000000000001</v>
      </c>
      <c r="E62" s="75"/>
      <c r="F62" s="13">
        <f t="shared" ref="F62:H77" si="7">B62*$F18/100</f>
        <v>130150.10418154851</v>
      </c>
      <c r="G62" s="13">
        <f t="shared" si="7"/>
        <v>39961.836874350003</v>
      </c>
      <c r="H62" s="13">
        <f t="shared" si="7"/>
        <v>22940.410994101501</v>
      </c>
      <c r="I62" s="14"/>
      <c r="J62" s="50" t="s">
        <v>82</v>
      </c>
      <c r="K62" s="76">
        <f>-F18*$J$20</f>
        <v>-320.46690440300006</v>
      </c>
      <c r="L62" s="77">
        <f t="shared" ref="L62:L84" si="8">-SUM(L$51:L$52)/(SUM(G$53:G$84)-G$60-G$61)*G62</f>
        <v>-1741.9527989594594</v>
      </c>
      <c r="M62" s="34"/>
      <c r="N62" s="77"/>
      <c r="O62" s="77"/>
      <c r="P62" s="34"/>
      <c r="Q62" s="79"/>
      <c r="R62" s="80"/>
      <c r="S62" s="50" t="s">
        <v>83</v>
      </c>
      <c r="T62" s="77">
        <f t="shared" si="5"/>
        <v>38219.884075390546</v>
      </c>
      <c r="U62" s="34">
        <f t="shared" si="6"/>
        <v>22619.9440896985</v>
      </c>
      <c r="W62" s="15"/>
      <c r="X62" s="78"/>
      <c r="Y62" s="78"/>
      <c r="Z62" s="78"/>
      <c r="AA62" s="78"/>
      <c r="AB62" s="78"/>
      <c r="AC62" s="78"/>
      <c r="AD62" s="78"/>
      <c r="AE62" s="78"/>
      <c r="AF62" s="78"/>
    </row>
    <row r="63" spans="1:32" ht="9.9499999999999993" customHeight="1" x14ac:dyDescent="0.15">
      <c r="A63" s="2" t="s">
        <v>25</v>
      </c>
      <c r="B63" s="74">
        <v>38.600999999999999</v>
      </c>
      <c r="C63" s="74">
        <v>33.887</v>
      </c>
      <c r="D63" s="74">
        <v>27.512</v>
      </c>
      <c r="E63" s="75"/>
      <c r="F63" s="13">
        <f t="shared" si="7"/>
        <v>0</v>
      </c>
      <c r="G63" s="13">
        <f t="shared" si="7"/>
        <v>0</v>
      </c>
      <c r="H63" s="13">
        <f t="shared" si="7"/>
        <v>0</v>
      </c>
      <c r="I63" s="14"/>
      <c r="J63" s="50" t="s">
        <v>84</v>
      </c>
      <c r="K63" s="76"/>
      <c r="L63" s="77">
        <f t="shared" si="8"/>
        <v>0</v>
      </c>
      <c r="M63" s="34"/>
      <c r="N63" s="77"/>
      <c r="O63" s="77"/>
      <c r="P63" s="34"/>
      <c r="Q63" s="41"/>
      <c r="R63" s="34"/>
      <c r="S63" s="50" t="s">
        <v>85</v>
      </c>
      <c r="T63" s="77">
        <f t="shared" si="5"/>
        <v>0</v>
      </c>
      <c r="U63" s="34">
        <f t="shared" si="6"/>
        <v>0</v>
      </c>
      <c r="W63" s="15"/>
      <c r="X63" s="78"/>
      <c r="Y63" s="78"/>
      <c r="Z63" s="78"/>
      <c r="AA63" s="78"/>
      <c r="AB63" s="78"/>
      <c r="AC63" s="78"/>
      <c r="AD63" s="78"/>
      <c r="AE63" s="78"/>
      <c r="AF63" s="78"/>
    </row>
    <row r="64" spans="1:32" ht="9.9499999999999993" customHeight="1" x14ac:dyDescent="0.15">
      <c r="A64" s="2" t="s">
        <v>27</v>
      </c>
      <c r="B64" s="74">
        <v>67.417000000000002</v>
      </c>
      <c r="C64" s="74">
        <v>20.7</v>
      </c>
      <c r="D64" s="74">
        <v>11.883000000000001</v>
      </c>
      <c r="E64" s="75"/>
      <c r="F64" s="13">
        <f t="shared" si="7"/>
        <v>720.30954085510007</v>
      </c>
      <c r="G64" s="13">
        <f t="shared" si="7"/>
        <v>221.16687921000002</v>
      </c>
      <c r="H64" s="13">
        <f t="shared" si="7"/>
        <v>126.96260993490002</v>
      </c>
      <c r="I64" s="14"/>
      <c r="J64" s="50" t="s">
        <v>86</v>
      </c>
      <c r="K64" s="76">
        <f>-F20*$J$20</f>
        <v>-1.7736087897999999</v>
      </c>
      <c r="L64" s="77">
        <f t="shared" si="8"/>
        <v>-9.6407546401920658</v>
      </c>
      <c r="M64" s="34"/>
      <c r="N64" s="77"/>
      <c r="O64" s="77"/>
      <c r="P64" s="34"/>
      <c r="Q64" s="41"/>
      <c r="R64" s="34"/>
      <c r="S64" s="50" t="s">
        <v>87</v>
      </c>
      <c r="T64" s="77">
        <f t="shared" si="5"/>
        <v>211.52612456980796</v>
      </c>
      <c r="U64" s="34">
        <f t="shared" si="6"/>
        <v>125.18900114510002</v>
      </c>
      <c r="W64" s="15"/>
      <c r="X64" s="78"/>
      <c r="Y64" s="78"/>
      <c r="Z64" s="78"/>
      <c r="AA64" s="78"/>
      <c r="AB64" s="78"/>
      <c r="AC64" s="78"/>
      <c r="AD64" s="78"/>
      <c r="AE64" s="78"/>
      <c r="AF64" s="78"/>
    </row>
    <row r="65" spans="1:32" ht="9.9499999999999993" customHeight="1" x14ac:dyDescent="0.15">
      <c r="A65" s="2" t="s">
        <v>29</v>
      </c>
      <c r="B65" s="74">
        <v>67.417000000000002</v>
      </c>
      <c r="C65" s="74">
        <v>20.7</v>
      </c>
      <c r="D65" s="74">
        <v>11.883000000000001</v>
      </c>
      <c r="E65" s="75"/>
      <c r="F65" s="13">
        <f t="shared" si="7"/>
        <v>87321.1310540751</v>
      </c>
      <c r="G65" s="13">
        <f t="shared" si="7"/>
        <v>26811.448341210002</v>
      </c>
      <c r="H65" s="13">
        <f t="shared" si="7"/>
        <v>15391.325634714904</v>
      </c>
      <c r="I65" s="14"/>
      <c r="J65" s="50" t="s">
        <v>88</v>
      </c>
      <c r="K65" s="76">
        <f>-F21*$J$20</f>
        <v>-215.00968234980002</v>
      </c>
      <c r="L65" s="77">
        <f t="shared" si="8"/>
        <v>-1168.7219891562449</v>
      </c>
      <c r="M65" s="34"/>
      <c r="N65" s="77"/>
      <c r="O65" s="77"/>
      <c r="P65" s="34"/>
      <c r="Q65" s="41"/>
      <c r="R65" s="34"/>
      <c r="S65" s="50" t="s">
        <v>89</v>
      </c>
      <c r="T65" s="77">
        <f t="shared" si="5"/>
        <v>25642.726352053756</v>
      </c>
      <c r="U65" s="34">
        <f t="shared" si="6"/>
        <v>15176.315952365103</v>
      </c>
      <c r="W65" s="15"/>
      <c r="X65" s="78"/>
      <c r="Y65" s="78"/>
      <c r="Z65" s="78"/>
      <c r="AA65" s="78"/>
      <c r="AB65" s="78"/>
      <c r="AC65" s="78"/>
      <c r="AD65" s="78"/>
      <c r="AE65" s="78"/>
      <c r="AF65" s="78"/>
    </row>
    <row r="66" spans="1:32" ht="9.9499999999999993" customHeight="1" x14ac:dyDescent="0.15">
      <c r="A66" s="2" t="s">
        <v>30</v>
      </c>
      <c r="B66" s="74">
        <v>40</v>
      </c>
      <c r="C66" s="74">
        <v>30</v>
      </c>
      <c r="D66" s="74">
        <v>30</v>
      </c>
      <c r="E66" s="75"/>
      <c r="F66" s="13">
        <f t="shared" si="7"/>
        <v>5.3134840000000008</v>
      </c>
      <c r="G66" s="13">
        <f t="shared" si="7"/>
        <v>3.9851130000000001</v>
      </c>
      <c r="H66" s="13">
        <f t="shared" si="7"/>
        <v>3.9851130000000001</v>
      </c>
      <c r="I66" s="14"/>
      <c r="J66" s="50" t="s">
        <v>90</v>
      </c>
      <c r="K66" s="76"/>
      <c r="L66" s="77">
        <f t="shared" si="8"/>
        <v>-0.17371270410683895</v>
      </c>
      <c r="M66" s="34"/>
      <c r="N66" s="77"/>
      <c r="O66" s="77"/>
      <c r="P66" s="34"/>
      <c r="Q66" s="41"/>
      <c r="R66" s="34"/>
      <c r="S66" s="50" t="s">
        <v>91</v>
      </c>
      <c r="T66" s="77">
        <f t="shared" si="5"/>
        <v>3.811400295893161</v>
      </c>
      <c r="U66" s="34">
        <f t="shared" si="6"/>
        <v>3.9851130000000001</v>
      </c>
      <c r="W66" s="15"/>
      <c r="X66" s="78"/>
      <c r="Y66" s="78"/>
      <c r="Z66" s="78"/>
      <c r="AA66" s="78"/>
      <c r="AB66" s="78"/>
      <c r="AC66" s="78"/>
      <c r="AD66" s="78"/>
      <c r="AE66" s="78"/>
      <c r="AF66" s="78"/>
    </row>
    <row r="67" spans="1:32" ht="9.9499999999999993" customHeight="1" x14ac:dyDescent="0.15">
      <c r="A67" s="2" t="s">
        <v>31</v>
      </c>
      <c r="B67" s="74">
        <v>67.417000000000002</v>
      </c>
      <c r="C67" s="74">
        <v>20.7</v>
      </c>
      <c r="D67" s="74">
        <v>11.883000000000001</v>
      </c>
      <c r="E67" s="75"/>
      <c r="F67" s="13">
        <f t="shared" si="7"/>
        <v>2808235.7360414015</v>
      </c>
      <c r="G67" s="13">
        <f t="shared" si="7"/>
        <v>862252.54366193991</v>
      </c>
      <c r="H67" s="13">
        <f t="shared" si="7"/>
        <v>494982.94571665861</v>
      </c>
      <c r="I67" s="14"/>
      <c r="J67" s="50" t="s">
        <v>92</v>
      </c>
      <c r="K67" s="76">
        <f>-F23*$J$20</f>
        <v>-6914.6822341972002</v>
      </c>
      <c r="L67" s="77">
        <f t="shared" si="8"/>
        <v>-37585.940720505496</v>
      </c>
      <c r="M67" s="34"/>
      <c r="N67" s="77"/>
      <c r="O67" s="77"/>
      <c r="P67" s="34"/>
      <c r="Q67" s="41"/>
      <c r="R67" s="34"/>
      <c r="S67" s="50" t="s">
        <v>93</v>
      </c>
      <c r="T67" s="77">
        <f t="shared" si="5"/>
        <v>824666.60294143436</v>
      </c>
      <c r="U67" s="34">
        <f t="shared" si="6"/>
        <v>488068.26348246139</v>
      </c>
      <c r="W67" s="15"/>
      <c r="X67" s="78"/>
      <c r="Y67" s="78"/>
      <c r="Z67" s="78"/>
      <c r="AA67" s="78"/>
      <c r="AB67" s="78"/>
      <c r="AC67" s="78"/>
      <c r="AD67" s="78"/>
      <c r="AE67" s="78"/>
      <c r="AF67" s="78"/>
    </row>
    <row r="68" spans="1:32" ht="9.9499999999999993" customHeight="1" x14ac:dyDescent="0.15">
      <c r="A68" s="2" t="s">
        <v>32</v>
      </c>
      <c r="B68" s="74">
        <v>67.417000000000002</v>
      </c>
      <c r="C68" s="74">
        <v>20.7</v>
      </c>
      <c r="D68" s="74">
        <v>11.883000000000001</v>
      </c>
      <c r="E68" s="75"/>
      <c r="F68" s="13">
        <f t="shared" si="7"/>
        <v>12903.223738721399</v>
      </c>
      <c r="G68" s="13">
        <f t="shared" si="7"/>
        <v>3961.8602339399995</v>
      </c>
      <c r="H68" s="13">
        <f t="shared" si="7"/>
        <v>2274.3374473385998</v>
      </c>
      <c r="I68" s="14"/>
      <c r="J68" s="50" t="s">
        <v>94</v>
      </c>
      <c r="K68" s="76">
        <f>-F24*$J$20</f>
        <v>-31.771439557199997</v>
      </c>
      <c r="L68" s="77">
        <f t="shared" si="8"/>
        <v>-172.69910653250508</v>
      </c>
      <c r="M68" s="34"/>
      <c r="N68" s="77"/>
      <c r="O68" s="77"/>
      <c r="P68" s="34"/>
      <c r="Q68" s="41"/>
      <c r="R68" s="34"/>
      <c r="S68" s="50" t="s">
        <v>95</v>
      </c>
      <c r="T68" s="77">
        <f t="shared" si="5"/>
        <v>3789.1611274074944</v>
      </c>
      <c r="U68" s="34">
        <f t="shared" si="6"/>
        <v>2242.5660077813995</v>
      </c>
      <c r="W68" s="15"/>
      <c r="X68" s="78"/>
      <c r="Y68" s="78"/>
      <c r="Z68" s="78"/>
      <c r="AA68" s="78"/>
      <c r="AB68" s="78"/>
      <c r="AC68" s="78"/>
      <c r="AD68" s="78"/>
      <c r="AE68" s="78"/>
      <c r="AF68" s="78"/>
    </row>
    <row r="69" spans="1:32" ht="9.9499999999999993" customHeight="1" x14ac:dyDescent="0.15">
      <c r="A69" s="2" t="s">
        <v>33</v>
      </c>
      <c r="B69" s="74">
        <v>67.417000000000002</v>
      </c>
      <c r="C69" s="74">
        <v>20.7</v>
      </c>
      <c r="D69" s="74">
        <v>11.883000000000001</v>
      </c>
      <c r="E69" s="75"/>
      <c r="F69" s="13">
        <f t="shared" si="7"/>
        <v>7259.8774239929007</v>
      </c>
      <c r="G69" s="13">
        <f t="shared" si="7"/>
        <v>2229.10338159</v>
      </c>
      <c r="H69" s="13">
        <f t="shared" si="7"/>
        <v>1279.6345644171001</v>
      </c>
      <c r="I69" s="14"/>
      <c r="J69" s="50" t="s">
        <v>33</v>
      </c>
      <c r="K69" s="76">
        <f>-F25*$J$20</f>
        <v>-17.875901514200002</v>
      </c>
      <c r="L69" s="77">
        <f t="shared" si="8"/>
        <v>-97.167527282086553</v>
      </c>
      <c r="M69" s="34"/>
      <c r="N69" s="77"/>
      <c r="O69" s="77"/>
      <c r="P69" s="34"/>
      <c r="Q69" s="41"/>
      <c r="R69" s="34"/>
      <c r="S69" s="50" t="s">
        <v>96</v>
      </c>
      <c r="T69" s="77">
        <f>G69+L69+O69+Q69</f>
        <v>2131.9358543079134</v>
      </c>
      <c r="U69" s="34">
        <f>H69+K69+M69+N69+P69+R69</f>
        <v>1261.7586629029001</v>
      </c>
      <c r="W69" s="15"/>
      <c r="X69" s="78"/>
      <c r="Y69" s="78"/>
      <c r="Z69" s="78"/>
      <c r="AA69" s="78"/>
      <c r="AB69" s="78"/>
      <c r="AC69" s="78"/>
      <c r="AD69" s="78"/>
      <c r="AE69" s="78"/>
      <c r="AF69" s="78"/>
    </row>
    <row r="70" spans="1:32" ht="9.9499999999999993" customHeight="1" x14ac:dyDescent="0.15">
      <c r="A70" s="2" t="s">
        <v>34</v>
      </c>
      <c r="B70" s="74">
        <v>4</v>
      </c>
      <c r="C70" s="74">
        <v>9.0830000000000002</v>
      </c>
      <c r="D70" s="74">
        <v>86.917000000000002</v>
      </c>
      <c r="E70" s="75"/>
      <c r="F70" s="13">
        <f t="shared" si="7"/>
        <v>4408.4680295999997</v>
      </c>
      <c r="G70" s="13">
        <f t="shared" si="7"/>
        <v>10010.5287782142</v>
      </c>
      <c r="H70" s="13">
        <f t="shared" si="7"/>
        <v>95792.703932185803</v>
      </c>
      <c r="I70" s="14"/>
      <c r="J70" s="50" t="s">
        <v>34</v>
      </c>
      <c r="K70" s="76"/>
      <c r="L70" s="77">
        <f t="shared" si="8"/>
        <v>-436.36304004501739</v>
      </c>
      <c r="M70" s="34"/>
      <c r="N70" s="77"/>
      <c r="O70" s="77"/>
      <c r="P70" s="34"/>
      <c r="Q70" s="41"/>
      <c r="R70" s="34"/>
      <c r="S70" s="50" t="s">
        <v>97</v>
      </c>
      <c r="T70" s="77">
        <f t="shared" si="5"/>
        <v>9574.1657381691839</v>
      </c>
      <c r="U70" s="34">
        <f t="shared" si="6"/>
        <v>95792.703932185803</v>
      </c>
      <c r="W70" s="15"/>
      <c r="X70" s="78"/>
      <c r="Y70" s="78"/>
      <c r="Z70" s="78"/>
      <c r="AA70" s="78"/>
      <c r="AB70" s="78"/>
      <c r="AC70" s="78"/>
      <c r="AD70" s="78"/>
      <c r="AE70" s="78"/>
      <c r="AF70" s="78"/>
    </row>
    <row r="71" spans="1:32" ht="9.9499999999999993" customHeight="1" x14ac:dyDescent="0.15">
      <c r="A71" s="2" t="s">
        <v>98</v>
      </c>
      <c r="B71" s="74">
        <v>19.450000000000003</v>
      </c>
      <c r="C71" s="74">
        <v>80.55</v>
      </c>
      <c r="D71" s="74">
        <v>0</v>
      </c>
      <c r="E71" s="75"/>
      <c r="F71" s="13">
        <f t="shared" si="7"/>
        <v>177956.90535354504</v>
      </c>
      <c r="G71" s="13">
        <f t="shared" si="7"/>
        <v>736988.62345645507</v>
      </c>
      <c r="H71" s="13">
        <f t="shared" si="7"/>
        <v>0</v>
      </c>
      <c r="I71" s="14"/>
      <c r="J71" s="50" t="s">
        <v>98</v>
      </c>
      <c r="K71" s="76"/>
      <c r="L71" s="77">
        <f t="shared" si="8"/>
        <v>-32125.635252149117</v>
      </c>
      <c r="M71" s="34"/>
      <c r="N71" s="77"/>
      <c r="O71" s="77"/>
      <c r="P71" s="34"/>
      <c r="Q71" s="41"/>
      <c r="R71" s="34"/>
      <c r="S71" s="50" t="s">
        <v>99</v>
      </c>
      <c r="T71" s="77">
        <f>G71+L71+O71+Q71</f>
        <v>704862.98820430599</v>
      </c>
      <c r="U71" s="34">
        <f>H71+K71+M71+N71+P71+R71</f>
        <v>0</v>
      </c>
      <c r="W71" s="15"/>
      <c r="X71" s="78"/>
      <c r="Y71" s="78"/>
      <c r="Z71" s="78"/>
      <c r="AA71" s="78"/>
      <c r="AB71" s="78"/>
      <c r="AC71" s="78"/>
      <c r="AD71" s="78"/>
      <c r="AE71" s="78"/>
      <c r="AF71" s="78"/>
    </row>
    <row r="72" spans="1:32" ht="9.9499999999999993" customHeight="1" x14ac:dyDescent="0.15">
      <c r="A72" s="2" t="s">
        <v>36</v>
      </c>
      <c r="B72" s="74">
        <v>4</v>
      </c>
      <c r="C72" s="74">
        <v>0</v>
      </c>
      <c r="D72" s="74">
        <v>96</v>
      </c>
      <c r="E72" s="75"/>
      <c r="F72" s="13">
        <f t="shared" si="7"/>
        <v>31611.220985200001</v>
      </c>
      <c r="G72" s="13">
        <f t="shared" si="7"/>
        <v>0</v>
      </c>
      <c r="H72" s="13">
        <f t="shared" si="7"/>
        <v>758669.30364480009</v>
      </c>
      <c r="I72" s="14"/>
      <c r="J72" s="50" t="s">
        <v>100</v>
      </c>
      <c r="K72" s="76"/>
      <c r="L72" s="77">
        <f t="shared" si="8"/>
        <v>0</v>
      </c>
      <c r="M72" s="34"/>
      <c r="N72" s="77"/>
      <c r="O72" s="77"/>
      <c r="P72" s="34"/>
      <c r="Q72" s="41"/>
      <c r="R72" s="34"/>
      <c r="S72" s="50" t="s">
        <v>101</v>
      </c>
      <c r="T72" s="77">
        <f t="shared" si="5"/>
        <v>0</v>
      </c>
      <c r="U72" s="34">
        <f t="shared" si="6"/>
        <v>758669.30364480009</v>
      </c>
      <c r="W72" s="15"/>
      <c r="X72" s="78"/>
      <c r="Y72" s="78"/>
      <c r="Z72" s="78"/>
      <c r="AA72" s="78"/>
      <c r="AB72" s="78"/>
      <c r="AC72" s="78"/>
      <c r="AD72" s="78"/>
      <c r="AE72" s="78"/>
      <c r="AF72" s="78"/>
    </row>
    <row r="73" spans="1:32" ht="9.9499999999999993" customHeight="1" x14ac:dyDescent="0.15">
      <c r="A73" s="2" t="s">
        <v>37</v>
      </c>
      <c r="B73" s="74">
        <v>4</v>
      </c>
      <c r="C73" s="74">
        <v>0</v>
      </c>
      <c r="D73" s="74">
        <v>96</v>
      </c>
      <c r="E73" s="75"/>
      <c r="F73" s="13">
        <f t="shared" si="7"/>
        <v>233.92904160000001</v>
      </c>
      <c r="G73" s="13">
        <f t="shared" si="7"/>
        <v>0</v>
      </c>
      <c r="H73" s="13">
        <f t="shared" si="7"/>
        <v>5614.2969984000001</v>
      </c>
      <c r="I73" s="14"/>
      <c r="J73" s="50" t="s">
        <v>102</v>
      </c>
      <c r="K73" s="76"/>
      <c r="L73" s="77">
        <f t="shared" si="8"/>
        <v>0</v>
      </c>
      <c r="M73" s="34"/>
      <c r="N73" s="77"/>
      <c r="O73" s="77"/>
      <c r="P73" s="34"/>
      <c r="Q73" s="41"/>
      <c r="R73" s="34"/>
      <c r="S73" s="50" t="s">
        <v>103</v>
      </c>
      <c r="T73" s="77">
        <f t="shared" si="5"/>
        <v>0</v>
      </c>
      <c r="U73" s="34">
        <f t="shared" si="6"/>
        <v>5614.2969984000001</v>
      </c>
      <c r="W73" s="15"/>
      <c r="X73" s="78"/>
      <c r="Y73" s="78"/>
      <c r="Z73" s="78"/>
      <c r="AA73" s="78"/>
      <c r="AB73" s="78"/>
      <c r="AC73" s="78"/>
      <c r="AD73" s="78"/>
      <c r="AE73" s="78"/>
      <c r="AF73" s="78"/>
    </row>
    <row r="74" spans="1:32" ht="9.9499999999999993" customHeight="1" x14ac:dyDescent="0.15">
      <c r="A74" s="2" t="s">
        <v>38</v>
      </c>
      <c r="B74" s="74">
        <v>67.417000000000002</v>
      </c>
      <c r="C74" s="74">
        <v>20.7</v>
      </c>
      <c r="D74" s="74">
        <v>11.883000000000001</v>
      </c>
      <c r="E74" s="75"/>
      <c r="F74" s="13">
        <f t="shared" si="7"/>
        <v>22515.756735395003</v>
      </c>
      <c r="G74" s="13">
        <f t="shared" si="7"/>
        <v>6913.332904500001</v>
      </c>
      <c r="H74" s="13">
        <f t="shared" si="7"/>
        <v>3968.6538601050006</v>
      </c>
      <c r="I74" s="14"/>
      <c r="J74" s="50" t="s">
        <v>104</v>
      </c>
      <c r="K74" s="76">
        <f t="shared" ref="K74:K85" si="9">-F30*$J$20</f>
        <v>-55.440254210000006</v>
      </c>
      <c r="L74" s="77">
        <f t="shared" si="8"/>
        <v>-301.35500630257718</v>
      </c>
      <c r="M74" s="34"/>
      <c r="N74" s="77"/>
      <c r="O74" s="77"/>
      <c r="P74" s="34"/>
      <c r="Q74" s="41"/>
      <c r="R74" s="34"/>
      <c r="S74" s="50" t="s">
        <v>105</v>
      </c>
      <c r="T74" s="77">
        <f t="shared" si="5"/>
        <v>6611.9778981974241</v>
      </c>
      <c r="U74" s="34">
        <f t="shared" si="6"/>
        <v>3913.2136058950005</v>
      </c>
      <c r="W74" s="15"/>
      <c r="X74" s="78"/>
      <c r="Y74" s="78"/>
      <c r="Z74" s="78"/>
      <c r="AA74" s="78"/>
      <c r="AB74" s="78"/>
      <c r="AC74" s="78"/>
      <c r="AD74" s="78"/>
      <c r="AE74" s="78"/>
      <c r="AF74" s="78"/>
    </row>
    <row r="75" spans="1:32" ht="9.9499999999999993" customHeight="1" x14ac:dyDescent="0.15">
      <c r="A75" s="2" t="s">
        <v>39</v>
      </c>
      <c r="B75" s="74">
        <v>67.417000000000002</v>
      </c>
      <c r="C75" s="74">
        <v>20.7</v>
      </c>
      <c r="D75" s="74">
        <v>11.883000000000001</v>
      </c>
      <c r="E75" s="75"/>
      <c r="F75" s="13">
        <f t="shared" si="7"/>
        <v>1201635.9079092361</v>
      </c>
      <c r="G75" s="13">
        <f t="shared" si="7"/>
        <v>368955.35686430999</v>
      </c>
      <c r="H75" s="13">
        <f t="shared" si="7"/>
        <v>211801.76355645389</v>
      </c>
      <c r="I75" s="14"/>
      <c r="J75" s="50" t="s">
        <v>106</v>
      </c>
      <c r="K75" s="76">
        <f t="shared" si="9"/>
        <v>-2958.7724270277999</v>
      </c>
      <c r="L75" s="77">
        <f t="shared" si="8"/>
        <v>-16082.914771953281</v>
      </c>
      <c r="M75" s="34"/>
      <c r="N75" s="77"/>
      <c r="O75" s="77"/>
      <c r="P75" s="34"/>
      <c r="Q75" s="41"/>
      <c r="R75" s="34"/>
      <c r="S75" s="50" t="s">
        <v>107</v>
      </c>
      <c r="T75" s="77">
        <f t="shared" si="5"/>
        <v>352872.44209235668</v>
      </c>
      <c r="U75" s="34">
        <f t="shared" si="6"/>
        <v>208842.99112942608</v>
      </c>
      <c r="W75" s="15"/>
      <c r="X75" s="78"/>
      <c r="Y75" s="78"/>
      <c r="Z75" s="78"/>
      <c r="AA75" s="78"/>
      <c r="AB75" s="78"/>
      <c r="AC75" s="78"/>
      <c r="AD75" s="78"/>
      <c r="AE75" s="78"/>
      <c r="AF75" s="78"/>
    </row>
    <row r="76" spans="1:32" ht="9.9499999999999993" customHeight="1" x14ac:dyDescent="0.15">
      <c r="A76" s="2" t="s">
        <v>40</v>
      </c>
      <c r="B76" s="74">
        <v>67.417000000000002</v>
      </c>
      <c r="C76" s="74">
        <v>20.7</v>
      </c>
      <c r="D76" s="74">
        <v>11.883000000000001</v>
      </c>
      <c r="E76" s="75"/>
      <c r="F76" s="13">
        <f t="shared" si="7"/>
        <v>1112134.5773797808</v>
      </c>
      <c r="G76" s="13">
        <f t="shared" si="7"/>
        <v>341474.49088155001</v>
      </c>
      <c r="H76" s="13">
        <f t="shared" si="7"/>
        <v>196026.15338866954</v>
      </c>
      <c r="I76" s="14"/>
      <c r="J76" s="50" t="s">
        <v>40</v>
      </c>
      <c r="K76" s="76">
        <f t="shared" si="9"/>
        <v>-2738.3944679390002</v>
      </c>
      <c r="L76" s="77">
        <f t="shared" si="8"/>
        <v>-14885.012594257722</v>
      </c>
      <c r="M76" s="34"/>
      <c r="N76" s="77"/>
      <c r="O76" s="77"/>
      <c r="P76" s="34"/>
      <c r="Q76" s="41"/>
      <c r="R76" s="34"/>
      <c r="S76" s="50" t="s">
        <v>108</v>
      </c>
      <c r="T76" s="77">
        <f t="shared" si="5"/>
        <v>326589.4782872923</v>
      </c>
      <c r="U76" s="34">
        <f t="shared" si="6"/>
        <v>193287.75892073053</v>
      </c>
      <c r="W76" s="15"/>
      <c r="X76" s="78"/>
      <c r="Y76" s="78"/>
      <c r="Z76" s="78"/>
      <c r="AA76" s="78"/>
      <c r="AB76" s="78"/>
      <c r="AC76" s="78"/>
      <c r="AD76" s="78"/>
      <c r="AE76" s="78"/>
      <c r="AF76" s="78"/>
    </row>
    <row r="77" spans="1:32" ht="9.9499999999999993" customHeight="1" x14ac:dyDescent="0.15">
      <c r="A77" s="2" t="s">
        <v>41</v>
      </c>
      <c r="B77" s="74">
        <v>67.417000000000002</v>
      </c>
      <c r="C77" s="74">
        <v>20.7</v>
      </c>
      <c r="D77" s="74">
        <v>11.883000000000001</v>
      </c>
      <c r="E77" s="75"/>
      <c r="F77" s="13">
        <f t="shared" si="7"/>
        <v>45432.091767681501</v>
      </c>
      <c r="G77" s="13">
        <f t="shared" si="7"/>
        <v>13949.661058649997</v>
      </c>
      <c r="H77" s="13">
        <f t="shared" si="7"/>
        <v>8007.9141236685009</v>
      </c>
      <c r="I77" s="14"/>
      <c r="J77" s="50" t="s">
        <v>41</v>
      </c>
      <c r="K77" s="76">
        <f t="shared" si="9"/>
        <v>-111.86684713699999</v>
      </c>
      <c r="L77" s="77">
        <f t="shared" si="8"/>
        <v>-608.07142579695005</v>
      </c>
      <c r="M77" s="34"/>
      <c r="N77" s="77"/>
      <c r="O77" s="77"/>
      <c r="P77" s="34"/>
      <c r="Q77" s="41"/>
      <c r="R77" s="34"/>
      <c r="S77" s="50" t="s">
        <v>109</v>
      </c>
      <c r="T77" s="77">
        <f t="shared" si="5"/>
        <v>13341.589632853047</v>
      </c>
      <c r="U77" s="34">
        <f t="shared" si="6"/>
        <v>7896.0472765315008</v>
      </c>
      <c r="W77" s="15"/>
      <c r="X77" s="78"/>
      <c r="Y77" s="78"/>
      <c r="Z77" s="78"/>
      <c r="AA77" s="78"/>
      <c r="AB77" s="78"/>
      <c r="AC77" s="78"/>
      <c r="AD77" s="78"/>
      <c r="AE77" s="78"/>
      <c r="AF77" s="78"/>
    </row>
    <row r="78" spans="1:32" ht="9.9499999999999993" customHeight="1" x14ac:dyDescent="0.15">
      <c r="A78" s="2" t="s">
        <v>42</v>
      </c>
      <c r="B78" s="74">
        <v>67.417000000000002</v>
      </c>
      <c r="C78" s="74">
        <v>20.7</v>
      </c>
      <c r="D78" s="74">
        <v>11.883000000000001</v>
      </c>
      <c r="E78" s="75"/>
      <c r="F78" s="13">
        <f t="shared" ref="F78:H87" si="10">B78*$F34/100</f>
        <v>0</v>
      </c>
      <c r="G78" s="13">
        <f t="shared" si="10"/>
        <v>0</v>
      </c>
      <c r="H78" s="13">
        <f t="shared" si="10"/>
        <v>0</v>
      </c>
      <c r="I78" s="14"/>
      <c r="J78" s="50" t="s">
        <v>110</v>
      </c>
      <c r="K78" s="76">
        <f t="shared" si="9"/>
        <v>0</v>
      </c>
      <c r="L78" s="77">
        <f t="shared" si="8"/>
        <v>0</v>
      </c>
      <c r="M78" s="34"/>
      <c r="N78" s="77"/>
      <c r="O78" s="77"/>
      <c r="P78" s="34"/>
      <c r="Q78" s="41"/>
      <c r="R78" s="34"/>
      <c r="S78" s="50" t="s">
        <v>111</v>
      </c>
      <c r="T78" s="77">
        <f>G78+L78+O78+Q78</f>
        <v>0</v>
      </c>
      <c r="U78" s="34">
        <f>H78+K78+M78+N78+P78+R78</f>
        <v>0</v>
      </c>
      <c r="W78" s="15"/>
      <c r="X78" s="78"/>
      <c r="Y78" s="78"/>
      <c r="Z78" s="78"/>
      <c r="AA78" s="78"/>
      <c r="AB78" s="78"/>
      <c r="AC78" s="78"/>
      <c r="AD78" s="78"/>
      <c r="AE78" s="78"/>
      <c r="AF78" s="78"/>
    </row>
    <row r="79" spans="1:32" ht="9.9499999999999993" customHeight="1" x14ac:dyDescent="0.15">
      <c r="A79" s="2" t="s">
        <v>43</v>
      </c>
      <c r="B79" s="74">
        <v>67.417000000000002</v>
      </c>
      <c r="C79" s="74">
        <v>20.7</v>
      </c>
      <c r="D79" s="74">
        <v>11.883000000000001</v>
      </c>
      <c r="E79" s="75"/>
      <c r="F79" s="13">
        <f t="shared" si="10"/>
        <v>317913.99781584658</v>
      </c>
      <c r="G79" s="13">
        <f t="shared" si="10"/>
        <v>97613.654638859982</v>
      </c>
      <c r="H79" s="13">
        <f t="shared" si="10"/>
        <v>56035.896525293399</v>
      </c>
      <c r="I79" s="14"/>
      <c r="J79" s="50" t="s">
        <v>43</v>
      </c>
      <c r="K79" s="76">
        <f t="shared" si="9"/>
        <v>-782.79549130679993</v>
      </c>
      <c r="L79" s="77">
        <f t="shared" si="8"/>
        <v>-4255.0190935783885</v>
      </c>
      <c r="M79" s="34"/>
      <c r="N79" s="77"/>
      <c r="O79" s="77"/>
      <c r="P79" s="34"/>
      <c r="Q79" s="41"/>
      <c r="R79" s="34"/>
      <c r="S79" s="50" t="s">
        <v>112</v>
      </c>
      <c r="T79" s="77">
        <f>G79+L79+O79+Q79</f>
        <v>93358.635545281591</v>
      </c>
      <c r="U79" s="34">
        <f>H79+K79+M79+N79+P79+R79</f>
        <v>55253.101033986597</v>
      </c>
      <c r="W79" s="15"/>
      <c r="X79" s="78"/>
      <c r="Y79" s="78"/>
      <c r="Z79" s="78"/>
      <c r="AA79" s="78"/>
      <c r="AB79" s="78"/>
      <c r="AC79" s="78"/>
      <c r="AD79" s="78"/>
      <c r="AE79" s="78"/>
      <c r="AF79" s="78"/>
    </row>
    <row r="80" spans="1:32" ht="9.9499999999999993" customHeight="1" x14ac:dyDescent="0.15">
      <c r="A80" s="2" t="s">
        <v>44</v>
      </c>
      <c r="B80" s="74">
        <v>67.417000000000002</v>
      </c>
      <c r="C80" s="74">
        <v>20.7</v>
      </c>
      <c r="D80" s="74">
        <v>11.883000000000001</v>
      </c>
      <c r="E80" s="75"/>
      <c r="F80" s="13">
        <f t="shared" si="10"/>
        <v>66018.286678286589</v>
      </c>
      <c r="G80" s="13">
        <f t="shared" si="10"/>
        <v>20270.53316286</v>
      </c>
      <c r="H80" s="13">
        <f t="shared" si="10"/>
        <v>11636.461138853401</v>
      </c>
      <c r="I80" s="14"/>
      <c r="J80" s="50" t="s">
        <v>44</v>
      </c>
      <c r="K80" s="76">
        <f t="shared" si="9"/>
        <v>-162.55596642679998</v>
      </c>
      <c r="L80" s="77">
        <f t="shared" si="8"/>
        <v>-883.60082371761234</v>
      </c>
      <c r="M80" s="34"/>
      <c r="N80" s="77"/>
      <c r="O80" s="77"/>
      <c r="P80" s="34"/>
      <c r="Q80" s="41"/>
      <c r="R80" s="34"/>
      <c r="S80" s="50" t="s">
        <v>113</v>
      </c>
      <c r="T80" s="77">
        <f>G80+L80+O80+Q80</f>
        <v>19386.932339142386</v>
      </c>
      <c r="U80" s="34">
        <f>H80+K80+M80+N80+P80+R80</f>
        <v>11473.905172426601</v>
      </c>
      <c r="W80" s="15"/>
      <c r="X80" s="78"/>
      <c r="Y80" s="78"/>
      <c r="Z80" s="78"/>
      <c r="AA80" s="78"/>
      <c r="AB80" s="78"/>
      <c r="AC80" s="78"/>
      <c r="AD80" s="78"/>
      <c r="AE80" s="78"/>
      <c r="AF80" s="78"/>
    </row>
    <row r="81" spans="1:34" ht="9.9499999999999993" customHeight="1" x14ac:dyDescent="0.15">
      <c r="A81" s="2" t="s">
        <v>45</v>
      </c>
      <c r="B81" s="74">
        <v>67.417000000000002</v>
      </c>
      <c r="C81" s="74">
        <v>20.7</v>
      </c>
      <c r="D81" s="74">
        <v>11.883000000000001</v>
      </c>
      <c r="E81" s="75"/>
      <c r="F81" s="13">
        <f t="shared" si="10"/>
        <v>597192.18643353705</v>
      </c>
      <c r="G81" s="13">
        <f t="shared" si="10"/>
        <v>183364.40748140999</v>
      </c>
      <c r="H81" s="13">
        <f t="shared" si="10"/>
        <v>105261.7997150529</v>
      </c>
      <c r="I81" s="14"/>
      <c r="J81" s="50" t="s">
        <v>45</v>
      </c>
      <c r="K81" s="76">
        <f t="shared" si="9"/>
        <v>-1470.4585334257999</v>
      </c>
      <c r="L81" s="77">
        <f t="shared" si="8"/>
        <v>-7992.9294503177252</v>
      </c>
      <c r="M81" s="34"/>
      <c r="N81" s="77"/>
      <c r="O81" s="77"/>
      <c r="P81" s="34"/>
      <c r="Q81" s="41"/>
      <c r="R81" s="34"/>
      <c r="S81" s="50" t="s">
        <v>114</v>
      </c>
      <c r="T81" s="77">
        <f t="shared" si="5"/>
        <v>175371.47803109227</v>
      </c>
      <c r="U81" s="34">
        <f t="shared" si="6"/>
        <v>103791.3411816271</v>
      </c>
      <c r="W81" s="15"/>
      <c r="X81" s="78"/>
      <c r="Y81" s="78"/>
      <c r="Z81" s="78"/>
      <c r="AA81" s="78"/>
      <c r="AB81" s="78"/>
      <c r="AC81" s="78"/>
      <c r="AD81" s="78"/>
      <c r="AE81" s="78"/>
      <c r="AF81" s="78"/>
    </row>
    <row r="82" spans="1:34" ht="9.9499999999999993" customHeight="1" x14ac:dyDescent="0.15">
      <c r="A82" s="2" t="s">
        <v>46</v>
      </c>
      <c r="B82" s="74">
        <v>67.417000000000002</v>
      </c>
      <c r="C82" s="74">
        <v>20.7</v>
      </c>
      <c r="D82" s="74">
        <v>11.883000000000001</v>
      </c>
      <c r="E82" s="75"/>
      <c r="F82" s="13">
        <f t="shared" si="10"/>
        <v>308351.55597377458</v>
      </c>
      <c r="G82" s="13">
        <f t="shared" si="10"/>
        <v>94677.562167659999</v>
      </c>
      <c r="H82" s="13">
        <f t="shared" si="10"/>
        <v>54350.409238565408</v>
      </c>
      <c r="I82" s="14"/>
      <c r="J82" s="50" t="s">
        <v>46</v>
      </c>
      <c r="K82" s="76">
        <f t="shared" si="9"/>
        <v>-759.25001545079999</v>
      </c>
      <c r="L82" s="77">
        <f t="shared" si="8"/>
        <v>-4127.033622983231</v>
      </c>
      <c r="M82" s="34"/>
      <c r="N82" s="77"/>
      <c r="O82" s="77"/>
      <c r="P82" s="34"/>
      <c r="Q82" s="41"/>
      <c r="R82" s="34"/>
      <c r="S82" s="50" t="s">
        <v>115</v>
      </c>
      <c r="T82" s="77">
        <f t="shared" si="5"/>
        <v>90550.528544676767</v>
      </c>
      <c r="U82" s="34">
        <f t="shared" si="6"/>
        <v>53591.159223114606</v>
      </c>
      <c r="W82" s="15"/>
      <c r="X82" s="78"/>
      <c r="Y82" s="78"/>
      <c r="Z82" s="78"/>
      <c r="AA82" s="78"/>
      <c r="AB82" s="78"/>
      <c r="AC82" s="78"/>
      <c r="AD82" s="78"/>
      <c r="AE82" s="78"/>
      <c r="AF82" s="78"/>
    </row>
    <row r="83" spans="1:34" ht="9.9499999999999993" customHeight="1" x14ac:dyDescent="0.15">
      <c r="A83" s="2" t="s">
        <v>47</v>
      </c>
      <c r="B83" s="74">
        <v>67.417000000000002</v>
      </c>
      <c r="C83" s="74">
        <v>20.7</v>
      </c>
      <c r="D83" s="74">
        <v>11.883000000000001</v>
      </c>
      <c r="E83" s="75"/>
      <c r="F83" s="13">
        <f t="shared" si="10"/>
        <v>711845.11368517322</v>
      </c>
      <c r="G83" s="13">
        <f t="shared" si="10"/>
        <v>218567.92579442996</v>
      </c>
      <c r="H83" s="13">
        <f t="shared" si="10"/>
        <v>125470.66001039669</v>
      </c>
      <c r="I83" s="14"/>
      <c r="J83" s="50" t="s">
        <v>47</v>
      </c>
      <c r="K83" s="76">
        <f t="shared" si="9"/>
        <v>-1752.7669411533998</v>
      </c>
      <c r="L83" s="77">
        <f t="shared" si="8"/>
        <v>-9527.4651987969592</v>
      </c>
      <c r="M83" s="34"/>
      <c r="N83" s="77"/>
      <c r="O83" s="77"/>
      <c r="P83" s="34"/>
      <c r="Q83" s="41"/>
      <c r="R83" s="34"/>
      <c r="S83" s="50" t="s">
        <v>116</v>
      </c>
      <c r="T83" s="77">
        <f t="shared" si="5"/>
        <v>209040.46059563299</v>
      </c>
      <c r="U83" s="34">
        <f t="shared" si="6"/>
        <v>123717.89306924329</v>
      </c>
      <c r="W83" s="15"/>
      <c r="X83" s="78"/>
      <c r="Y83" s="78"/>
      <c r="Z83" s="78"/>
      <c r="AA83" s="78"/>
      <c r="AB83" s="78"/>
      <c r="AC83" s="78"/>
      <c r="AD83" s="78"/>
      <c r="AE83" s="78"/>
      <c r="AF83" s="78"/>
    </row>
    <row r="84" spans="1:34" ht="9.9499999999999993" customHeight="1" x14ac:dyDescent="0.15">
      <c r="A84" s="2" t="s">
        <v>48</v>
      </c>
      <c r="B84" s="74">
        <v>67.417000000000002</v>
      </c>
      <c r="C84" s="74">
        <v>20.7</v>
      </c>
      <c r="D84" s="74">
        <v>11.883000000000001</v>
      </c>
      <c r="E84" s="75"/>
      <c r="F84" s="13">
        <f t="shared" si="10"/>
        <v>169222.27590557589</v>
      </c>
      <c r="G84" s="13">
        <f t="shared" si="10"/>
        <v>51958.721260889994</v>
      </c>
      <c r="H84" s="13">
        <f t="shared" si="10"/>
        <v>29827.3181035341</v>
      </c>
      <c r="I84" s="14"/>
      <c r="J84" s="50" t="s">
        <v>48</v>
      </c>
      <c r="K84" s="76">
        <f t="shared" si="9"/>
        <v>-416.67380334820001</v>
      </c>
      <c r="L84" s="77">
        <f t="shared" si="8"/>
        <v>-2264.9018916559471</v>
      </c>
      <c r="M84" s="34"/>
      <c r="N84" s="77"/>
      <c r="O84" s="77"/>
      <c r="P84" s="34"/>
      <c r="Q84" s="41"/>
      <c r="R84" s="34"/>
      <c r="S84" s="50" t="s">
        <v>117</v>
      </c>
      <c r="T84" s="77">
        <f t="shared" si="5"/>
        <v>49693.819369234043</v>
      </c>
      <c r="U84" s="34">
        <f t="shared" si="6"/>
        <v>29410.644300185901</v>
      </c>
      <c r="W84" s="15"/>
      <c r="X84" s="78"/>
      <c r="Y84" s="78"/>
      <c r="Z84" s="78"/>
      <c r="AA84" s="78"/>
      <c r="AB84" s="78"/>
      <c r="AC84" s="78"/>
      <c r="AD84" s="78"/>
      <c r="AE84" s="78"/>
      <c r="AF84" s="78"/>
    </row>
    <row r="85" spans="1:34" ht="9.9499999999999993" customHeight="1" x14ac:dyDescent="0.15">
      <c r="A85" s="2" t="s">
        <v>118</v>
      </c>
      <c r="B85" s="74">
        <v>67.417000000000002</v>
      </c>
      <c r="C85" s="74">
        <v>20.7</v>
      </c>
      <c r="D85" s="74">
        <v>11.883000000000001</v>
      </c>
      <c r="E85" s="75"/>
      <c r="F85" s="13">
        <f t="shared" si="10"/>
        <v>11671.533452436901</v>
      </c>
      <c r="G85" s="13">
        <f t="shared" si="10"/>
        <v>3583.6768539899999</v>
      </c>
      <c r="H85" s="13">
        <f t="shared" si="10"/>
        <v>2057.2382635731001</v>
      </c>
      <c r="I85" s="14"/>
      <c r="J85" s="50" t="s">
        <v>119</v>
      </c>
      <c r="K85" s="76">
        <f t="shared" si="9"/>
        <v>-28.738664626200002</v>
      </c>
      <c r="L85" s="81"/>
      <c r="M85" s="82"/>
      <c r="N85" s="81"/>
      <c r="O85" s="81"/>
      <c r="P85" s="82"/>
      <c r="Q85" s="83"/>
      <c r="R85" s="82"/>
      <c r="S85" s="50" t="s">
        <v>120</v>
      </c>
      <c r="T85" s="77">
        <f t="shared" si="5"/>
        <v>3583.6768539899999</v>
      </c>
      <c r="U85" s="34">
        <f t="shared" si="6"/>
        <v>2028.4995989469001</v>
      </c>
      <c r="W85" s="15"/>
      <c r="X85" s="78"/>
      <c r="Y85" s="78"/>
      <c r="Z85" s="78"/>
      <c r="AA85" s="78"/>
      <c r="AB85" s="78"/>
      <c r="AC85" s="78"/>
      <c r="AD85" s="78"/>
      <c r="AE85" s="78"/>
      <c r="AF85" s="78"/>
    </row>
    <row r="86" spans="1:34" ht="9.9499999999999993" customHeight="1" x14ac:dyDescent="0.15">
      <c r="A86" s="2" t="s">
        <v>121</v>
      </c>
      <c r="B86" s="74">
        <v>49</v>
      </c>
      <c r="C86" s="74">
        <v>7</v>
      </c>
      <c r="D86" s="74">
        <v>44</v>
      </c>
      <c r="E86" s="75"/>
      <c r="F86" s="13">
        <f t="shared" si="10"/>
        <v>3815.2078796999999</v>
      </c>
      <c r="G86" s="13">
        <f t="shared" si="10"/>
        <v>545.02969710000002</v>
      </c>
      <c r="H86" s="13">
        <f t="shared" si="10"/>
        <v>3425.9009532</v>
      </c>
      <c r="I86" s="14"/>
      <c r="J86" s="50" t="s">
        <v>122</v>
      </c>
      <c r="K86" s="84"/>
      <c r="L86" s="81"/>
      <c r="M86" s="82"/>
      <c r="N86" s="81"/>
      <c r="O86" s="81"/>
      <c r="P86" s="82"/>
      <c r="Q86" s="83"/>
      <c r="R86" s="82"/>
      <c r="S86" s="50" t="s">
        <v>123</v>
      </c>
      <c r="T86" s="77">
        <f t="shared" si="5"/>
        <v>545.02969710000002</v>
      </c>
      <c r="U86" s="34">
        <f t="shared" si="6"/>
        <v>3425.9009532</v>
      </c>
      <c r="W86" s="15"/>
      <c r="X86" s="78"/>
      <c r="Y86" s="78"/>
      <c r="Z86" s="78"/>
      <c r="AA86" s="78"/>
      <c r="AB86" s="78"/>
      <c r="AC86" s="78"/>
      <c r="AD86" s="78"/>
      <c r="AE86" s="78"/>
      <c r="AF86" s="78"/>
    </row>
    <row r="87" spans="1:34" ht="9.9499999999999993" customHeight="1" x14ac:dyDescent="0.15">
      <c r="A87" s="2" t="s">
        <v>124</v>
      </c>
      <c r="B87" s="74">
        <v>61</v>
      </c>
      <c r="C87" s="74">
        <v>20</v>
      </c>
      <c r="D87" s="74">
        <v>19</v>
      </c>
      <c r="E87" s="75"/>
      <c r="F87" s="13">
        <f t="shared" si="10"/>
        <v>22794.179300500007</v>
      </c>
      <c r="G87" s="13">
        <f t="shared" si="10"/>
        <v>7473.5014100000017</v>
      </c>
      <c r="H87" s="13">
        <f t="shared" si="10"/>
        <v>7099.8263395000013</v>
      </c>
      <c r="I87" s="14"/>
      <c r="J87" s="50" t="s">
        <v>125</v>
      </c>
      <c r="K87" s="84"/>
      <c r="L87" s="81"/>
      <c r="M87" s="82"/>
      <c r="N87" s="81"/>
      <c r="O87" s="81"/>
      <c r="P87" s="82"/>
      <c r="Q87" s="83"/>
      <c r="R87" s="82"/>
      <c r="S87" s="50" t="s">
        <v>126</v>
      </c>
      <c r="T87" s="77">
        <f t="shared" si="5"/>
        <v>7473.5014100000017</v>
      </c>
      <c r="U87" s="34">
        <f t="shared" si="6"/>
        <v>7099.8263395000013</v>
      </c>
      <c r="W87" s="15"/>
      <c r="X87" s="78"/>
      <c r="Y87" s="78"/>
      <c r="Z87" s="78"/>
      <c r="AA87" s="78"/>
      <c r="AB87" s="78"/>
      <c r="AC87" s="78"/>
      <c r="AD87" s="78"/>
      <c r="AE87" s="78"/>
      <c r="AF87" s="78"/>
    </row>
    <row r="88" spans="1:34" ht="9.9499999999999993" customHeight="1" x14ac:dyDescent="0.15">
      <c r="F88" s="13"/>
      <c r="G88" s="13"/>
      <c r="H88" s="13"/>
      <c r="K88" s="54"/>
      <c r="L88" s="77"/>
      <c r="M88" s="34"/>
      <c r="N88" s="77"/>
      <c r="O88" s="77"/>
      <c r="P88" s="34"/>
      <c r="Q88" s="41"/>
      <c r="R88" s="34"/>
      <c r="S88" s="50"/>
      <c r="T88" s="77"/>
      <c r="U88" s="34"/>
      <c r="V88" s="85"/>
      <c r="W88" s="15"/>
      <c r="X88" s="15"/>
      <c r="Y88" s="15"/>
      <c r="Z88" s="15"/>
      <c r="AA88" s="15"/>
      <c r="AB88" s="15"/>
      <c r="AC88" s="15"/>
      <c r="AD88" s="15"/>
      <c r="AE88" s="15"/>
      <c r="AF88" s="15"/>
    </row>
    <row r="89" spans="1:34" ht="9.9499999999999993" customHeight="1" x14ac:dyDescent="0.15">
      <c r="A89" s="2" t="s">
        <v>52</v>
      </c>
      <c r="F89" s="13">
        <f>SUM(F53:F87)</f>
        <v>47931957.554613665</v>
      </c>
      <c r="G89" s="13">
        <f>SUM(G53:G87)</f>
        <v>15152683.47522803</v>
      </c>
      <c r="H89" s="13">
        <f>SUM(H53:H87)</f>
        <v>9135979.327848319</v>
      </c>
      <c r="I89" s="13"/>
      <c r="J89" s="2" t="s">
        <v>52</v>
      </c>
      <c r="K89" s="86">
        <f>SUM(K53:K87)</f>
        <v>-116787.91796397879</v>
      </c>
      <c r="L89" s="87">
        <f>SUM(L53:L85)</f>
        <v>-667226.70799999998</v>
      </c>
      <c r="M89" s="39">
        <f>SUM(M53:M85)</f>
        <v>0</v>
      </c>
      <c r="N89" s="87">
        <f>SUM(N53:N85)</f>
        <v>-147275.29631363644</v>
      </c>
      <c r="O89" s="87">
        <f>SUM(O53:O87)</f>
        <v>20000</v>
      </c>
      <c r="P89" s="39">
        <f>SUM(P53:P87)</f>
        <v>0</v>
      </c>
      <c r="Q89" s="88">
        <f>SUM(Q53:Q87)</f>
        <v>-20302.333333333332</v>
      </c>
      <c r="R89" s="87">
        <f>SUM(R53:R87)</f>
        <v>-24888.5</v>
      </c>
      <c r="S89" s="14" t="s">
        <v>127</v>
      </c>
      <c r="T89" s="87">
        <f>SUM(T53:T87)</f>
        <v>14485154.433894699</v>
      </c>
      <c r="U89" s="39">
        <f>SUM(U53:U87)</f>
        <v>8847027.6135706995</v>
      </c>
      <c r="V89" s="89"/>
      <c r="W89" s="15"/>
      <c r="X89" s="41"/>
      <c r="Y89" s="41"/>
      <c r="Z89" s="41"/>
      <c r="AA89" s="41"/>
      <c r="AB89" s="41"/>
      <c r="AC89" s="41"/>
      <c r="AD89" s="41"/>
      <c r="AE89" s="41"/>
      <c r="AF89" s="41"/>
    </row>
    <row r="90" spans="1:34" ht="9.9499999999999993" customHeight="1" x14ac:dyDescent="0.15">
      <c r="F90" s="13"/>
      <c r="G90" s="13"/>
      <c r="H90" s="13"/>
      <c r="K90" s="14"/>
      <c r="L90" s="14"/>
      <c r="M90" s="14"/>
      <c r="N90" s="14"/>
      <c r="O90" s="14"/>
      <c r="P90" s="14"/>
      <c r="Q90" s="14"/>
      <c r="R90" s="14"/>
      <c r="S90" s="14"/>
      <c r="U90" s="89"/>
      <c r="V90" s="89"/>
      <c r="W90" s="40"/>
      <c r="X90" s="15"/>
      <c r="Y90" s="69"/>
      <c r="Z90" s="41"/>
      <c r="AA90" s="15"/>
      <c r="AB90" s="15"/>
      <c r="AC90" s="55"/>
      <c r="AD90" s="41"/>
      <c r="AE90" s="15"/>
      <c r="AF90" s="41"/>
      <c r="AG90" s="1"/>
      <c r="AH90" s="14"/>
    </row>
    <row r="91" spans="1:34" ht="9.9499999999999993" customHeight="1" x14ac:dyDescent="0.15">
      <c r="F91" s="13"/>
      <c r="G91" s="13"/>
      <c r="H91" s="13"/>
      <c r="K91" s="14"/>
      <c r="L91" s="14"/>
      <c r="M91" s="14"/>
      <c r="N91" s="14"/>
      <c r="O91" s="14"/>
      <c r="P91" s="14"/>
      <c r="Q91" s="14"/>
      <c r="R91" s="60"/>
      <c r="S91" s="60"/>
      <c r="T91" s="8"/>
      <c r="U91" s="60"/>
      <c r="V91" s="60"/>
      <c r="W91" s="41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ht="9.9499999999999993" customHeight="1" x14ac:dyDescent="0.2">
      <c r="A92"/>
      <c r="B92"/>
      <c r="F92" s="13"/>
      <c r="G92" s="13"/>
      <c r="H92" s="13"/>
      <c r="K92" s="14"/>
      <c r="L92" s="14"/>
      <c r="M92" s="14"/>
      <c r="N92" s="14"/>
      <c r="O92" s="14"/>
      <c r="P92" s="14"/>
      <c r="Q92" s="14"/>
      <c r="R92" s="91"/>
      <c r="S92" s="8"/>
      <c r="T92" s="8"/>
      <c r="U92" s="14"/>
      <c r="V92" s="14"/>
      <c r="X92" s="92"/>
      <c r="Y92" s="92"/>
      <c r="AB92" s="92"/>
      <c r="AC92" s="92"/>
      <c r="AF92" s="92"/>
      <c r="AG92" s="92"/>
    </row>
    <row r="93" spans="1:34" ht="9.9499999999999993" customHeight="1" x14ac:dyDescent="0.2">
      <c r="A93"/>
      <c r="B93"/>
      <c r="F93" s="93"/>
      <c r="G93" s="14"/>
      <c r="H93" s="14"/>
      <c r="I93" s="14"/>
      <c r="P93" s="14"/>
      <c r="R93" s="94"/>
      <c r="S93" s="17"/>
    </row>
    <row r="94" spans="1:34" ht="9.9499999999999993" customHeight="1" x14ac:dyDescent="0.2">
      <c r="A94"/>
      <c r="B94"/>
      <c r="G94" s="14"/>
      <c r="H94" s="14"/>
      <c r="I94" s="14"/>
      <c r="Q94" s="14"/>
      <c r="R94" s="94"/>
      <c r="S94" s="13"/>
    </row>
    <row r="95" spans="1:34" ht="9.9499999999999993" customHeight="1" x14ac:dyDescent="0.15">
      <c r="H95" s="14"/>
      <c r="I95" s="14"/>
      <c r="J95" s="14"/>
      <c r="L95" s="1" t="s">
        <v>128</v>
      </c>
    </row>
    <row r="96" spans="1:34" ht="9.9499999999999993" customHeight="1" x14ac:dyDescent="0.15">
      <c r="H96" s="14"/>
      <c r="I96" s="14"/>
      <c r="J96" s="14"/>
    </row>
    <row r="97" spans="1:22" ht="9.9499999999999993" customHeight="1" x14ac:dyDescent="0.15">
      <c r="A97" s="1" t="s">
        <v>128</v>
      </c>
      <c r="H97" s="14"/>
      <c r="I97" s="14"/>
      <c r="J97" s="14"/>
      <c r="M97" s="20" t="s">
        <v>129</v>
      </c>
      <c r="N97" s="20" t="s">
        <v>130</v>
      </c>
      <c r="O97" s="20" t="s">
        <v>131</v>
      </c>
      <c r="P97" s="20" t="s">
        <v>132</v>
      </c>
      <c r="Q97" s="20" t="s">
        <v>133</v>
      </c>
      <c r="R97" s="20" t="s">
        <v>134</v>
      </c>
      <c r="S97" s="20" t="s">
        <v>135</v>
      </c>
      <c r="T97" s="20" t="s">
        <v>136</v>
      </c>
      <c r="U97" s="20" t="s">
        <v>137</v>
      </c>
      <c r="V97" s="60" t="s">
        <v>52</v>
      </c>
    </row>
    <row r="98" spans="1:22" ht="9.9499999999999993" customHeight="1" x14ac:dyDescent="0.15">
      <c r="E98" s="94" t="s">
        <v>138</v>
      </c>
      <c r="F98" s="95" t="s">
        <v>139</v>
      </c>
      <c r="G98" s="94"/>
      <c r="I98" s="94"/>
      <c r="J98" s="94"/>
      <c r="L98" s="47" t="s">
        <v>140</v>
      </c>
    </row>
    <row r="99" spans="1:22" ht="9.9499999999999993" customHeight="1" x14ac:dyDescent="0.2">
      <c r="A99" s="2" t="s">
        <v>140</v>
      </c>
      <c r="B99" s="96">
        <v>0.17235</v>
      </c>
      <c r="C99" s="97" t="s">
        <v>141</v>
      </c>
      <c r="D99" s="97"/>
      <c r="E99" s="14">
        <f>(U89-U60-U61-U63-U66-U70-U71-U72-U73-U86-U87)*B99</f>
        <v>1391077.1805186695</v>
      </c>
      <c r="F99" s="98">
        <f t="shared" ref="F99:F104" si="11">E99/$E$146</f>
        <v>0.15723667216601178</v>
      </c>
      <c r="G99"/>
      <c r="J99" s="99"/>
      <c r="L99" s="47" t="s">
        <v>141</v>
      </c>
      <c r="M99" s="14">
        <f>$E99/100*B237</f>
        <v>47299.77651786089</v>
      </c>
      <c r="N99" s="14">
        <f>$E99/100*C237</f>
        <v>92083.443671415182</v>
      </c>
      <c r="O99" s="14">
        <f>$E99/100*D237</f>
        <v>267338.56536028965</v>
      </c>
      <c r="P99" s="14">
        <f>$E99/100*E237</f>
        <v>234071.18556957506</v>
      </c>
      <c r="Q99" s="14">
        <f>$E99/100*F237</f>
        <v>87595.441003897955</v>
      </c>
      <c r="R99" s="14">
        <f>$E99/100*G237</f>
        <v>200099.15608125637</v>
      </c>
      <c r="S99" s="14">
        <f>$E99/100*H237</f>
        <v>117439.24315197706</v>
      </c>
      <c r="T99" s="14">
        <f>$E99/100*I237</f>
        <v>61332.338811195506</v>
      </c>
      <c r="U99" s="14">
        <f>$E99/100*J237</f>
        <v>283818.03035120189</v>
      </c>
      <c r="V99" s="14">
        <f t="shared" ref="V99:V104" si="12">SUM(M99:U99)</f>
        <v>1391077.1805186695</v>
      </c>
    </row>
    <row r="100" spans="1:22" ht="9.9499999999999993" customHeight="1" x14ac:dyDescent="0.2">
      <c r="B100" s="96">
        <v>0.58514999999999995</v>
      </c>
      <c r="C100" s="97" t="s">
        <v>142</v>
      </c>
      <c r="D100" s="100"/>
      <c r="E100" s="14">
        <f>(U89-U60-U61-U63-U66-U70-U71-U72-U73-U86-U87)*B100</f>
        <v>4722882.5772004612</v>
      </c>
      <c r="F100" s="98">
        <f t="shared" si="11"/>
        <v>0.53383834475162051</v>
      </c>
      <c r="G100" s="101"/>
      <c r="J100" s="99"/>
      <c r="L100" s="47" t="s">
        <v>142</v>
      </c>
      <c r="M100" s="14">
        <f>$E100/100*B238</f>
        <v>140123.0715754299</v>
      </c>
      <c r="N100" s="14">
        <f>$E100/100*C238</f>
        <v>306693.31373606983</v>
      </c>
      <c r="O100" s="14">
        <f>$E100/100*D238</f>
        <v>816851.70314200304</v>
      </c>
      <c r="P100" s="14">
        <f>$E100/100*E238</f>
        <v>750756.45413813356</v>
      </c>
      <c r="Q100" s="14">
        <f>$E100/100*F238</f>
        <v>291099.36625922204</v>
      </c>
      <c r="R100" s="14">
        <f>$E100/100*G238</f>
        <v>648367.78809707845</v>
      </c>
      <c r="S100" s="14">
        <f>$E100/100*H238</f>
        <v>370934.55431871052</v>
      </c>
      <c r="T100" s="14">
        <f>$E100/100*I238</f>
        <v>196167.49039268235</v>
      </c>
      <c r="U100" s="14">
        <f>$E100/100*J238</f>
        <v>1201888.8355411314</v>
      </c>
      <c r="V100" s="14">
        <f t="shared" si="12"/>
        <v>4722882.5772004612</v>
      </c>
    </row>
    <row r="101" spans="1:22" ht="9.9499999999999993" customHeight="1" x14ac:dyDescent="0.15">
      <c r="B101" s="96">
        <v>0.24249999999999999</v>
      </c>
      <c r="C101" s="97" t="s">
        <v>143</v>
      </c>
      <c r="D101" s="97"/>
      <c r="E101" s="14">
        <f>(U89-U60-U61-U63-U66-U70-U71-U72-U73-U86-U87)*B101-E102</f>
        <v>1524165.5863063911</v>
      </c>
      <c r="F101" s="98">
        <f t="shared" si="11"/>
        <v>0.17227996259087419</v>
      </c>
      <c r="G101" s="101"/>
      <c r="J101" s="99"/>
      <c r="L101" s="47" t="s">
        <v>143</v>
      </c>
      <c r="M101" s="14">
        <f>$E101/100*B248</f>
        <v>19204.486387460529</v>
      </c>
      <c r="N101" s="14">
        <f>$E101/100*C248</f>
        <v>80643.601171471135</v>
      </c>
      <c r="O101" s="14">
        <f>$E101/100*D248</f>
        <v>206509.19528865293</v>
      </c>
      <c r="P101" s="14">
        <f>$E101/100*E248</f>
        <v>251472.08008469149</v>
      </c>
      <c r="Q101" s="14">
        <f>$E101/100*F248</f>
        <v>125758.90252614031</v>
      </c>
      <c r="R101" s="14">
        <f>$E101/100*G248</f>
        <v>142326.58244929084</v>
      </c>
      <c r="S101" s="14">
        <f>$E101/100*H248</f>
        <v>136245.16175992833</v>
      </c>
      <c r="T101" s="14">
        <f>$E101/100*I248</f>
        <v>91160.343716985255</v>
      </c>
      <c r="U101" s="14">
        <f>$E101/100*J248</f>
        <v>470845.23292177037</v>
      </c>
      <c r="V101" s="14">
        <f t="shared" si="12"/>
        <v>1524165.5863063913</v>
      </c>
    </row>
    <row r="102" spans="1:22" ht="9.9499999999999993" customHeight="1" x14ac:dyDescent="0.15">
      <c r="B102" s="102">
        <v>1.8880000000000001E-2</v>
      </c>
      <c r="C102" s="2" t="s">
        <v>144</v>
      </c>
      <c r="D102" s="97"/>
      <c r="E102" s="14">
        <f>D17*B102</f>
        <v>433108.65956408973</v>
      </c>
      <c r="F102" s="98">
        <f t="shared" si="11"/>
        <v>4.8955273848103789E-2</v>
      </c>
      <c r="G102" s="101"/>
      <c r="J102" s="99"/>
      <c r="L102" s="47" t="s">
        <v>145</v>
      </c>
      <c r="M102" s="14">
        <f>$E102/100*B245</f>
        <v>10849.371922080447</v>
      </c>
      <c r="N102" s="14">
        <f>$E102/100*C245</f>
        <v>36796.91171656506</v>
      </c>
      <c r="O102" s="14">
        <f>$E102/100*D245</f>
        <v>65767.549954807022</v>
      </c>
      <c r="P102" s="14">
        <f>$E102/100*E245</f>
        <v>63177.56017061376</v>
      </c>
      <c r="Q102" s="14">
        <f>$E102/100*F245</f>
        <v>40824.822250511097</v>
      </c>
      <c r="R102" s="14">
        <f>$E102/100*G245</f>
        <v>56676.599190556786</v>
      </c>
      <c r="S102" s="14">
        <f>$E102/100*H245</f>
        <v>62852.7286759407</v>
      </c>
      <c r="T102" s="14">
        <f>$E102/100*I245</f>
        <v>20836.857611628355</v>
      </c>
      <c r="U102" s="14">
        <f>$E102/100*J245</f>
        <v>75326.258071386474</v>
      </c>
      <c r="V102" s="14">
        <f t="shared" si="12"/>
        <v>433108.65956408973</v>
      </c>
    </row>
    <row r="103" spans="1:22" ht="9.9499999999999993" customHeight="1" x14ac:dyDescent="0.15">
      <c r="B103" s="102"/>
      <c r="C103" s="2" t="s">
        <v>77</v>
      </c>
      <c r="D103" s="97"/>
      <c r="E103" s="14">
        <f>U60</f>
        <v>32345.738000000001</v>
      </c>
      <c r="F103" s="98">
        <f t="shared" si="11"/>
        <v>3.6561136025374196E-3</v>
      </c>
      <c r="G103" s="101"/>
      <c r="J103" s="99"/>
      <c r="L103" s="47" t="s">
        <v>78</v>
      </c>
      <c r="M103" s="14">
        <f>B230</f>
        <v>671.29899999999998</v>
      </c>
      <c r="N103" s="14">
        <f t="shared" ref="N103:U103" si="13">C230</f>
        <v>3004.4290000000001</v>
      </c>
      <c r="O103" s="14">
        <f t="shared" si="13"/>
        <v>6184.1880000000001</v>
      </c>
      <c r="P103" s="14">
        <f t="shared" si="13"/>
        <v>7013.6</v>
      </c>
      <c r="Q103" s="14">
        <f t="shared" si="13"/>
        <v>4155.6000000000004</v>
      </c>
      <c r="R103" s="14">
        <f t="shared" si="13"/>
        <v>5338.1880000000001</v>
      </c>
      <c r="S103" s="14">
        <f t="shared" si="13"/>
        <v>3010.0160000000001</v>
      </c>
      <c r="T103" s="14">
        <f t="shared" si="13"/>
        <v>2968.4180000000001</v>
      </c>
      <c r="U103" s="14">
        <f t="shared" si="13"/>
        <v>0</v>
      </c>
      <c r="V103" s="14">
        <f t="shared" si="12"/>
        <v>32345.738000000005</v>
      </c>
    </row>
    <row r="104" spans="1:22" ht="9.9499999999999993" customHeight="1" x14ac:dyDescent="0.15">
      <c r="B104" s="102"/>
      <c r="C104" s="2" t="s">
        <v>80</v>
      </c>
      <c r="D104" s="97"/>
      <c r="E104" s="14">
        <f>U61</f>
        <v>-127158.145</v>
      </c>
      <c r="F104" s="98">
        <f t="shared" si="11"/>
        <v>-1.4372979327536926E-2</v>
      </c>
      <c r="G104" s="101"/>
      <c r="J104" s="99"/>
      <c r="L104" s="47" t="s">
        <v>146</v>
      </c>
      <c r="M104" s="14">
        <f>-B232</f>
        <v>-6376</v>
      </c>
      <c r="N104" s="14">
        <f t="shared" ref="N104:U104" si="14">-C232</f>
        <v>-12324.5</v>
      </c>
      <c r="O104" s="14">
        <f t="shared" si="14"/>
        <v>-35492</v>
      </c>
      <c r="P104" s="14">
        <f t="shared" si="14"/>
        <v>-19788.580000000002</v>
      </c>
      <c r="Q104" s="14">
        <f t="shared" si="14"/>
        <v>-9267.5</v>
      </c>
      <c r="R104" s="14">
        <f t="shared" si="14"/>
        <v>-27473.764999999999</v>
      </c>
      <c r="S104" s="14">
        <f t="shared" si="14"/>
        <v>-10549</v>
      </c>
      <c r="T104" s="14">
        <f t="shared" si="14"/>
        <v>-5886.8</v>
      </c>
      <c r="U104" s="14">
        <f t="shared" si="14"/>
        <v>0</v>
      </c>
      <c r="V104" s="14">
        <f t="shared" si="12"/>
        <v>-127158.145</v>
      </c>
    </row>
    <row r="105" spans="1:22" ht="9.9499999999999993" customHeight="1" x14ac:dyDescent="0.15">
      <c r="B105" s="96"/>
      <c r="C105" s="97"/>
      <c r="D105" s="97"/>
      <c r="E105" s="14"/>
      <c r="F105" s="98"/>
      <c r="G105" s="101"/>
      <c r="J105" s="99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9.9499999999999993" customHeight="1" x14ac:dyDescent="0.15">
      <c r="A106" s="74"/>
      <c r="B106" s="96"/>
      <c r="C106" s="97"/>
      <c r="D106" s="97"/>
      <c r="E106" s="14"/>
      <c r="F106" s="98"/>
      <c r="G106" s="101"/>
      <c r="J106" s="99"/>
      <c r="L106" s="74" t="s">
        <v>52</v>
      </c>
      <c r="M106" s="14">
        <f>SUM(M99:M105)</f>
        <v>211772.00540283174</v>
      </c>
      <c r="N106" s="14">
        <f t="shared" ref="N106:U106" si="15">SUM(N99:N105)</f>
        <v>506897.19929552125</v>
      </c>
      <c r="O106" s="14">
        <f t="shared" si="15"/>
        <v>1327159.2017457527</v>
      </c>
      <c r="P106" s="14">
        <f t="shared" si="15"/>
        <v>1286702.2999630137</v>
      </c>
      <c r="Q106" s="14">
        <f t="shared" si="15"/>
        <v>540166.63203977142</v>
      </c>
      <c r="R106" s="14">
        <f t="shared" si="15"/>
        <v>1025334.5488181823</v>
      </c>
      <c r="S106" s="14">
        <f t="shared" si="15"/>
        <v>679932.70390655659</v>
      </c>
      <c r="T106" s="14">
        <f t="shared" si="15"/>
        <v>366578.64853249153</v>
      </c>
      <c r="U106" s="14">
        <f t="shared" si="15"/>
        <v>2031878.3568854902</v>
      </c>
      <c r="V106" s="14">
        <f>SUM(M106:U106)</f>
        <v>7976421.5965896109</v>
      </c>
    </row>
    <row r="107" spans="1:22" ht="9.9499999999999993" customHeight="1" x14ac:dyDescent="0.15">
      <c r="A107" s="74"/>
      <c r="B107" s="96"/>
      <c r="C107" s="97"/>
      <c r="D107" s="97"/>
      <c r="E107" s="14"/>
      <c r="F107" s="98"/>
      <c r="G107" s="101"/>
      <c r="I107" s="98"/>
      <c r="J107" s="99"/>
      <c r="L107" s="74"/>
      <c r="M107" s="14"/>
      <c r="N107" s="14"/>
      <c r="O107" s="14"/>
      <c r="P107" s="14"/>
      <c r="Q107" s="14"/>
      <c r="R107" s="14"/>
      <c r="S107" s="14"/>
      <c r="T107" s="14"/>
      <c r="U107" s="14"/>
      <c r="V107" s="90"/>
    </row>
    <row r="108" spans="1:22" ht="9.9499999999999993" customHeight="1" x14ac:dyDescent="0.15">
      <c r="A108" s="1" t="s">
        <v>147</v>
      </c>
      <c r="B108" s="96"/>
      <c r="C108" s="97"/>
      <c r="D108" s="97"/>
      <c r="E108" s="14"/>
      <c r="F108" s="98"/>
      <c r="G108" s="101"/>
      <c r="H108" s="15"/>
      <c r="I108" s="41"/>
      <c r="J108" s="103"/>
      <c r="L108" s="1" t="s">
        <v>147</v>
      </c>
      <c r="M108" s="20" t="s">
        <v>129</v>
      </c>
      <c r="N108" s="20" t="s">
        <v>130</v>
      </c>
      <c r="O108" s="20" t="s">
        <v>131</v>
      </c>
      <c r="P108" s="20" t="s">
        <v>132</v>
      </c>
      <c r="Q108" s="20" t="s">
        <v>133</v>
      </c>
      <c r="R108" s="20" t="s">
        <v>134</v>
      </c>
      <c r="S108" s="20" t="s">
        <v>135</v>
      </c>
      <c r="T108" s="20" t="s">
        <v>136</v>
      </c>
      <c r="U108" s="20" t="s">
        <v>137</v>
      </c>
      <c r="V108" s="60" t="s">
        <v>52</v>
      </c>
    </row>
    <row r="109" spans="1:22" ht="9.9499999999999993" customHeight="1" x14ac:dyDescent="0.15">
      <c r="B109" s="96"/>
      <c r="C109" s="97"/>
      <c r="D109" s="97"/>
      <c r="E109" s="14"/>
      <c r="F109" s="98"/>
      <c r="G109" s="101"/>
      <c r="H109" s="15"/>
      <c r="I109" s="41"/>
      <c r="J109" s="103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1:22" ht="9.9499999999999993" customHeight="1" x14ac:dyDescent="0.15">
      <c r="A110" s="2" t="s">
        <v>10</v>
      </c>
      <c r="B110" s="96"/>
      <c r="C110" s="97"/>
      <c r="D110" s="97"/>
      <c r="E110" s="14">
        <f t="shared" ref="E110:E117" si="16">U53</f>
        <v>340369.77889367682</v>
      </c>
      <c r="F110" s="98"/>
      <c r="G110" s="101"/>
      <c r="H110" s="15"/>
      <c r="I110" s="41"/>
      <c r="J110" s="103"/>
      <c r="L110" s="2" t="s">
        <v>10</v>
      </c>
      <c r="M110" s="14">
        <f>$E110*$B$99*B$237/100+$E110*$B$100*B$238/100+$E110*$B$101*B$248/100</f>
        <v>8943.7569970127697</v>
      </c>
      <c r="N110" s="14">
        <f>$E110*$B$99*C$237/100+$E110*$B$100*C$238/100+$E110*$B$101*C$248/100</f>
        <v>21183.878458044819</v>
      </c>
      <c r="O110" s="14">
        <f>$E110*$B$99*D$237/100+$E110*$B$100*D$238/100+$E110*$B$101*D$248/100</f>
        <v>56904.388301259707</v>
      </c>
      <c r="P110" s="14">
        <f>$E110*$B$99*E$237/100+$E110*$B$100*E$238/100+$E110*$B$101*E$248/100</f>
        <v>55149.114644354187</v>
      </c>
      <c r="Q110" s="14">
        <f>$E110*$B$99*F$237/100+$E110*$B$100*F$238/100+$E110*$B$101*F$248/100</f>
        <v>22780.182360520543</v>
      </c>
      <c r="R110" s="14">
        <f>$E110*$B$99*G$237/100+$E110*$B$100*G$238/100+$E110*$B$101*G$248/100</f>
        <v>43488.019565206101</v>
      </c>
      <c r="S110" s="14">
        <f>$E110*$B$99*H$237/100+$E110*$B$100*H$238/100+$E110*$B$101*H$248/100</f>
        <v>27973.297688786668</v>
      </c>
      <c r="T110" s="14">
        <f>$E110*$B$99*I$237/100+$E110*$B$100*I$238/100+$E110*$B$101*I$248/100</f>
        <v>15795.651889440869</v>
      </c>
      <c r="U110" s="14">
        <f>$E110*$B$99*J$237/100+$E110*$B$100*J$238/100+$E110*$B$101*J$248/100</f>
        <v>88151.488989051169</v>
      </c>
      <c r="V110" s="14">
        <f>SUM(M110:U110)</f>
        <v>340369.77889367682</v>
      </c>
    </row>
    <row r="111" spans="1:22" ht="9.9499999999999993" customHeight="1" x14ac:dyDescent="0.15">
      <c r="A111" s="2" t="s">
        <v>12</v>
      </c>
      <c r="B111" s="96"/>
      <c r="C111" s="97"/>
      <c r="D111" s="97"/>
      <c r="E111" s="14">
        <f t="shared" si="16"/>
        <v>2810219.1918862453</v>
      </c>
      <c r="F111" s="98"/>
      <c r="G111" s="101"/>
      <c r="H111" s="15"/>
      <c r="I111" s="41"/>
      <c r="J111" s="103"/>
      <c r="L111" s="2" t="s">
        <v>12</v>
      </c>
      <c r="M111" s="14">
        <f>$E111*$B$99*B$237/100+$E111*$B$100*B$238/100+$E111*$B$101*B$248/100</f>
        <v>73842.976430711249</v>
      </c>
      <c r="N111" s="14">
        <f>$E111*$B$99*C$237/100+$E111*$B$100*C$238/100+$E111*$B$101*C$248/100</f>
        <v>174901.96102274777</v>
      </c>
      <c r="O111" s="14">
        <f>$E111*$B$99*D$237/100+$E111*$B$100*D$238/100+$E111*$B$101*D$248/100</f>
        <v>469823.74471236562</v>
      </c>
      <c r="P111" s="14">
        <f>$E111*$B$99*E$237/100+$E111*$B$100*E$238/100+$E111*$B$101*E$248/100</f>
        <v>455331.55409050337</v>
      </c>
      <c r="Q111" s="14">
        <f>$E111*$B$99*F$237/100+$E111*$B$100*F$238/100+$E111*$B$101*F$248/100</f>
        <v>188081.63836484664</v>
      </c>
      <c r="R111" s="14">
        <f>$E111*$B$99*G$237/100+$E111*$B$100*G$238/100+$E111*$B$101*G$248/100</f>
        <v>359053.22616037063</v>
      </c>
      <c r="S111" s="14">
        <f>$E111*$B$99*H$237/100+$E111*$B$100*H$238/100+$E111*$B$101*H$248/100</f>
        <v>230957.92546826435</v>
      </c>
      <c r="T111" s="14">
        <f>$E111*$B$99*I$237/100+$E111*$B$100*I$238/100+$E111*$B$101*I$248/100</f>
        <v>130414.76312127897</v>
      </c>
      <c r="U111" s="14">
        <f>$E111*$B$99*J$237/100+$E111*$B$100*J$238/100+$E111*$B$101*J$248/100</f>
        <v>727811.40251515643</v>
      </c>
      <c r="V111" s="14">
        <f t="shared" ref="V111:V144" si="17">SUM(M111:U111)</f>
        <v>2810219.1918862448</v>
      </c>
    </row>
    <row r="112" spans="1:22" ht="9.9499999999999993" customHeight="1" x14ac:dyDescent="0.15">
      <c r="A112" s="2" t="s">
        <v>14</v>
      </c>
      <c r="B112" s="96"/>
      <c r="C112" s="97"/>
      <c r="D112" s="97"/>
      <c r="E112" s="14">
        <f t="shared" si="16"/>
        <v>152155.66851925291</v>
      </c>
      <c r="F112" s="98"/>
      <c r="G112" s="101"/>
      <c r="H112" s="15"/>
      <c r="I112" s="41"/>
      <c r="J112" s="103"/>
      <c r="L112" s="2" t="s">
        <v>14</v>
      </c>
      <c r="M112" s="14">
        <f>$E112*$B$99*B$237/100+$E112*$B$100*B$238/100+$E112*$B$101*B$248/100</f>
        <v>3998.1320591312488</v>
      </c>
      <c r="N112" s="14">
        <f>$E112*$B$99*C$237/100+$E112*$B$100*C$238/100+$E112*$B$101*C$248/100</f>
        <v>9469.839534788056</v>
      </c>
      <c r="O112" s="14">
        <f>$E112*$B$99*D$237/100+$E112*$B$100*D$238/100+$E112*$B$101*D$248/100</f>
        <v>25437.996498396449</v>
      </c>
      <c r="P112" s="14">
        <f>$E112*$B$99*E$237/100+$E112*$B$100*E$238/100+$E112*$B$101*E$248/100</f>
        <v>24653.335658151518</v>
      </c>
      <c r="Q112" s="14">
        <f>$E112*$B$99*F$237/100+$E112*$B$100*F$238/100+$E112*$B$101*F$248/100</f>
        <v>10183.436048058284</v>
      </c>
      <c r="R112" s="14">
        <f>$E112*$B$99*G$237/100+$E112*$B$100*G$238/100+$E112*$B$101*G$248/100</f>
        <v>19440.470628825293</v>
      </c>
      <c r="S112" s="14">
        <f>$E112*$B$99*H$237/100+$E112*$B$100*H$238/100+$E112*$B$101*H$248/100</f>
        <v>12504.916929933926</v>
      </c>
      <c r="T112" s="14">
        <f>$E112*$B$99*I$237/100+$E112*$B$100*I$238/100+$E112*$B$101*I$248/100</f>
        <v>7061.1379798382113</v>
      </c>
      <c r="U112" s="14">
        <f>$E112*$B$99*J$237/100+$E112*$B$100*J$238/100+$E112*$B$101*J$248/100</f>
        <v>39406.403182129921</v>
      </c>
      <c r="V112" s="14">
        <f t="shared" si="17"/>
        <v>152155.66851925291</v>
      </c>
    </row>
    <row r="113" spans="1:22" ht="9.9499999999999993" customHeight="1" x14ac:dyDescent="0.15">
      <c r="A113" s="2" t="s">
        <v>15</v>
      </c>
      <c r="B113" s="96"/>
      <c r="C113" s="97"/>
      <c r="D113" s="97"/>
      <c r="E113" s="14">
        <f t="shared" si="16"/>
        <v>150174.1259520381</v>
      </c>
      <c r="F113" s="98"/>
      <c r="G113" s="101"/>
      <c r="H113" s="15"/>
      <c r="I113" s="41"/>
      <c r="J113" s="103"/>
      <c r="L113" s="2" t="s">
        <v>15</v>
      </c>
      <c r="M113" s="14">
        <f>$E113*$B$99*B$237/100+$E113*$B$100*B$238/100+$E113*$B$101*B$248/100</f>
        <v>3946.0638782897813</v>
      </c>
      <c r="N113" s="14">
        <f>$E113*$B$99*C$237/100+$E113*$B$100*C$238/100+$E113*$B$101*C$248/100</f>
        <v>9346.5126135797145</v>
      </c>
      <c r="O113" s="14">
        <f>$E113*$B$99*D$237/100+$E113*$B$100*D$238/100+$E113*$B$101*D$248/100</f>
        <v>25106.714244000155</v>
      </c>
      <c r="P113" s="14">
        <f>$E113*$B$99*E$237/100+$E113*$B$100*E$238/100+$E113*$B$101*E$248/100</f>
        <v>24332.272141386908</v>
      </c>
      <c r="Q113" s="14">
        <f>$E113*$B$99*F$237/100+$E113*$B$100*F$238/100+$E113*$B$101*F$248/100</f>
        <v>10050.81586896069</v>
      </c>
      <c r="R113" s="14">
        <f>$E113*$B$99*G$237/100+$E113*$B$100*G$238/100+$E113*$B$101*G$248/100</f>
        <v>19187.294914423088</v>
      </c>
      <c r="S113" s="14">
        <f>$E113*$B$99*H$237/100+$E113*$B$100*H$238/100+$E113*$B$101*H$248/100</f>
        <v>12342.06381090594</v>
      </c>
      <c r="T113" s="14">
        <f>$E113*$B$99*I$237/100+$E113*$B$100*I$238/100+$E113*$B$101*I$248/100</f>
        <v>6969.1798844468703</v>
      </c>
      <c r="U113" s="14">
        <f>$E113*$B$99*J$237/100+$E113*$B$100*J$238/100+$E113*$B$101*J$248/100</f>
        <v>38893.208596044948</v>
      </c>
      <c r="V113" s="14">
        <f t="shared" si="17"/>
        <v>150174.1259520381</v>
      </c>
    </row>
    <row r="114" spans="1:22" ht="9.9499999999999993" customHeight="1" x14ac:dyDescent="0.15">
      <c r="A114" s="2" t="s">
        <v>17</v>
      </c>
      <c r="B114" s="96"/>
      <c r="C114" s="97"/>
      <c r="D114" s="97"/>
      <c r="E114" s="14">
        <f t="shared" si="16"/>
        <v>84026.311614273101</v>
      </c>
      <c r="F114" s="98"/>
      <c r="G114" s="101"/>
      <c r="H114" s="15"/>
      <c r="I114" s="41"/>
      <c r="J114" s="103"/>
      <c r="L114" s="2" t="s">
        <v>148</v>
      </c>
      <c r="M114" s="14">
        <f>$E114*$B$99*B$237/100+$E114*$B$100*B$238/100+$E114*$B$101*B$248/100</f>
        <v>2207.9249070702135</v>
      </c>
      <c r="N114" s="14">
        <f>$E114*$B$99*C$237/100+$E114*$B$100*C$238/100+$E114*$B$101*C$248/100</f>
        <v>5229.6157969729466</v>
      </c>
      <c r="O114" s="14">
        <f>$E114*$B$99*D$237/100+$E114*$B$100*D$238/100+$E114*$B$101*D$248/100</f>
        <v>14047.856655084697</v>
      </c>
      <c r="P114" s="14">
        <f>$E114*$B$99*E$237/100+$E114*$B$100*E$238/100+$E114*$B$101*E$248/100</f>
        <v>13614.53624766527</v>
      </c>
      <c r="Q114" s="14">
        <f>$E114*$B$99*F$237/100+$E114*$B$100*F$238/100+$E114*$B$101*F$248/100</f>
        <v>5623.6917034076505</v>
      </c>
      <c r="R114" s="14">
        <f>$E114*$B$99*G$237/100+$E114*$B$100*G$238/100+$E114*$B$101*G$248/100</f>
        <v>10735.788281059688</v>
      </c>
      <c r="S114" s="14">
        <f>$E114*$B$99*H$237/100+$E114*$B$100*H$238/100+$E114*$B$101*H$248/100</f>
        <v>6905.7042494100233</v>
      </c>
      <c r="T114" s="14">
        <f>$E114*$B$99*I$237/100+$E114*$B$100*I$238/100+$E114*$B$101*I$248/100</f>
        <v>3899.4365837260211</v>
      </c>
      <c r="U114" s="14">
        <f>$E114*$B$99*J$237/100+$E114*$B$100*J$238/100+$E114*$B$101*J$248/100</f>
        <v>21761.757189876596</v>
      </c>
      <c r="V114" s="14">
        <f t="shared" si="17"/>
        <v>84026.311614273101</v>
      </c>
    </row>
    <row r="115" spans="1:22" ht="9.9499999999999993" customHeight="1" x14ac:dyDescent="0.15">
      <c r="A115" s="2" t="s">
        <v>19</v>
      </c>
      <c r="B115" s="96"/>
      <c r="C115" s="97"/>
      <c r="D115" s="97"/>
      <c r="E115" s="14">
        <f t="shared" si="16"/>
        <v>705130.25382989785</v>
      </c>
      <c r="F115" s="98"/>
      <c r="G115" s="101"/>
      <c r="H115" s="15"/>
      <c r="I115" s="41"/>
      <c r="J115" s="103"/>
      <c r="L115" s="2" t="s">
        <v>19</v>
      </c>
      <c r="M115" s="14">
        <f>$E115*$B$99*B$237/100+$E115*$B$100*B$238/100+$E115*$B$101*B$248/100</f>
        <v>18528.418304336414</v>
      </c>
      <c r="N115" s="14">
        <f>$E115*$B$99*C$237/100+$E115*$B$100*C$238/100+$E115*$B$101*C$248/100</f>
        <v>43885.781054871273</v>
      </c>
      <c r="O115" s="14">
        <f>$E115*$B$99*D$237/100+$E115*$B$100*D$238/100+$E115*$B$101*D$248/100</f>
        <v>117886.51124469073</v>
      </c>
      <c r="P115" s="14">
        <f>$E115*$B$99*E$237/100+$E115*$B$100*E$238/100+$E115*$B$101*E$248/100</f>
        <v>114250.18206394595</v>
      </c>
      <c r="Q115" s="14">
        <f>$E115*$B$99*F$237/100+$E115*$B$100*F$238/100+$E115*$B$101*F$248/100</f>
        <v>47192.779048644326</v>
      </c>
      <c r="R115" s="14">
        <f>$E115*$B$99*G$237/100+$E115*$B$100*G$238/100+$E115*$B$101*G$248/100</f>
        <v>90092.364763536316</v>
      </c>
      <c r="S115" s="14">
        <f>$E115*$B$99*H$237/100+$E115*$B$100*H$238/100+$E115*$B$101*H$248/100</f>
        <v>57951.145262855382</v>
      </c>
      <c r="T115" s="14">
        <f>$E115*$B$99*I$237/100+$E115*$B$100*I$238/100+$E115*$B$101*I$248/100</f>
        <v>32723.210804474449</v>
      </c>
      <c r="U115" s="14">
        <f>$E115*$B$99*J$237/100+$E115*$B$100*J$238/100+$E115*$B$101*J$248/100</f>
        <v>182619.86128254299</v>
      </c>
      <c r="V115" s="14">
        <f t="shared" si="17"/>
        <v>705130.25382989785</v>
      </c>
    </row>
    <row r="116" spans="1:22" ht="9.9499999999999993" customHeight="1" x14ac:dyDescent="0.15">
      <c r="A116" s="2" t="s">
        <v>21</v>
      </c>
      <c r="B116" s="96"/>
      <c r="C116" s="97"/>
      <c r="D116" s="97"/>
      <c r="E116" s="14">
        <f>U59</f>
        <v>2506458.0811857618</v>
      </c>
      <c r="F116" s="98"/>
      <c r="G116" s="101"/>
      <c r="I116" s="98"/>
      <c r="J116" s="103"/>
      <c r="L116" s="2" t="s">
        <v>21</v>
      </c>
      <c r="M116" s="14">
        <f>$E116*$B$99*B$237/100+$E116*$B$100*B$238/100+($E116*$B$101-$E$102)*B$248/100+M102</f>
        <v>71253.373195700726</v>
      </c>
      <c r="N116" s="14">
        <f>$E116*$B$99*C$237/100+$E116*$B$100*C$238/100+($E116*$B$101-$E$102)*C$248/100+N102</f>
        <v>169877.65938875696</v>
      </c>
      <c r="O116" s="14">
        <f>$E116*$B$99*D$237/100+$E116*$B$100*D$238/100+($E116*$B$101-$E$102)*D$248/100+O102</f>
        <v>426125.39843775483</v>
      </c>
      <c r="P116" s="14">
        <f>$E116*$B$99*E$237/100+$E116*$B$100*E$238/100+($E116*$B$101-$E$102)*E$248/100+P102</f>
        <v>397832.99675931199</v>
      </c>
      <c r="Q116" s="14">
        <f>$E116*$B$99*F$237/100+$E116*$B$100*F$238/100+($E116*$B$101-$E$102)*F$248/100+Q102</f>
        <v>172840.61842761023</v>
      </c>
      <c r="R116" s="14">
        <f>$E116*$B$99*G$237/100+$E116*$B$100*G$238/100+($E116*$B$101-$E$102)*G$248/100+R102</f>
        <v>336475.49822205381</v>
      </c>
      <c r="S116" s="14">
        <f>$E116*$B$99*H$237/100+$E116*$B$100*H$238/100+($E116*$B$101-$E$102)*H$248/100+S102</f>
        <v>230130.4575694729</v>
      </c>
      <c r="T116" s="14">
        <f>$E116*$B$99*I$237/100+$E116*$B$100*I$238/100+($E116*$B$101-$E$102)*I$248/100+T102</f>
        <v>111250.65037871465</v>
      </c>
      <c r="U116" s="14">
        <f>$E116*$B$99*J$237/100+$E116*$B$100*J$238/100+($E116*$B$101-$E$102)*J$248/100+U102</f>
        <v>590671.42880638537</v>
      </c>
      <c r="V116" s="14">
        <f t="shared" si="17"/>
        <v>2506458.0811857614</v>
      </c>
    </row>
    <row r="117" spans="1:22" ht="9.9499999999999993" customHeight="1" x14ac:dyDescent="0.15">
      <c r="A117" s="2" t="s">
        <v>77</v>
      </c>
      <c r="B117" s="96"/>
      <c r="C117" s="97"/>
      <c r="D117" s="97"/>
      <c r="E117" s="14">
        <f t="shared" si="16"/>
        <v>32345.738000000001</v>
      </c>
      <c r="F117" s="98"/>
      <c r="G117" s="101"/>
      <c r="J117" s="103"/>
      <c r="L117" s="2" t="s">
        <v>77</v>
      </c>
      <c r="M117" s="14">
        <f>B230</f>
        <v>671.29899999999998</v>
      </c>
      <c r="N117" s="14">
        <f t="shared" ref="N117:U117" si="18">C230</f>
        <v>3004.4290000000001</v>
      </c>
      <c r="O117" s="14">
        <f t="shared" si="18"/>
        <v>6184.1880000000001</v>
      </c>
      <c r="P117" s="14">
        <f t="shared" si="18"/>
        <v>7013.6</v>
      </c>
      <c r="Q117" s="14">
        <f t="shared" si="18"/>
        <v>4155.6000000000004</v>
      </c>
      <c r="R117" s="14">
        <f t="shared" si="18"/>
        <v>5338.1880000000001</v>
      </c>
      <c r="S117" s="14">
        <f t="shared" si="18"/>
        <v>3010.0160000000001</v>
      </c>
      <c r="T117" s="14">
        <f t="shared" si="18"/>
        <v>2968.4180000000001</v>
      </c>
      <c r="U117" s="14">
        <f t="shared" si="18"/>
        <v>0</v>
      </c>
      <c r="V117" s="14">
        <f t="shared" si="17"/>
        <v>32345.738000000005</v>
      </c>
    </row>
    <row r="118" spans="1:22" ht="9.9499999999999993" customHeight="1" x14ac:dyDescent="0.15">
      <c r="A118" s="2" t="s">
        <v>23</v>
      </c>
      <c r="B118" s="96"/>
      <c r="C118" s="97"/>
      <c r="D118" s="97"/>
      <c r="E118" s="14">
        <f>U62</f>
        <v>22619.9440896985</v>
      </c>
      <c r="F118" s="98"/>
      <c r="G118" s="101"/>
      <c r="H118" s="15"/>
      <c r="I118" s="41"/>
      <c r="J118" s="103"/>
      <c r="L118" s="2" t="s">
        <v>23</v>
      </c>
      <c r="M118" s="14">
        <f>$E118*$B$99*B$237/100+$E118*$B$100*B$238/100+$E118*$B$101*B$248/100</f>
        <v>594.37498793767611</v>
      </c>
      <c r="N118" s="14">
        <f>$E118*$B$99*C$237/100+$E118*$B$100*C$238/100+$E118*$B$101*C$248/100</f>
        <v>1407.8163692482985</v>
      </c>
      <c r="O118" s="14">
        <f>$E118*$B$99*D$237/100+$E118*$B$100*D$238/100+$E118*$B$101*D$248/100</f>
        <v>3781.6932102984078</v>
      </c>
      <c r="P118" s="14">
        <f>$E118*$B$99*E$237/100+$E118*$B$100*E$238/100+$E118*$B$101*E$248/100</f>
        <v>3665.0430420303073</v>
      </c>
      <c r="Q118" s="14">
        <f>$E118*$B$99*F$237/100+$E118*$B$100*F$238/100+$E118*$B$101*F$248/100</f>
        <v>1513.9018893597881</v>
      </c>
      <c r="R118" s="14">
        <f>$E118*$B$99*G$237/100+$E118*$B$100*G$238/100+$E118*$B$101*G$248/100</f>
        <v>2890.0819994478975</v>
      </c>
      <c r="S118" s="14">
        <f>$E118*$B$99*H$237/100+$E118*$B$100*H$238/100+$E118*$B$101*H$248/100</f>
        <v>1859.0205974852533</v>
      </c>
      <c r="T118" s="14">
        <f>$E118*$B$99*I$237/100+$E118*$B$100*I$238/100+$E118*$B$101*I$248/100</f>
        <v>1049.7311593315799</v>
      </c>
      <c r="U118" s="14">
        <f>$E118*$B$99*J$237/100+$E118*$B$100*J$238/100+$E118*$B$101*J$248/100</f>
        <v>5858.2808345592912</v>
      </c>
      <c r="V118" s="14">
        <f t="shared" si="17"/>
        <v>22619.944089698496</v>
      </c>
    </row>
    <row r="119" spans="1:22" ht="9.9499999999999993" customHeight="1" x14ac:dyDescent="0.15">
      <c r="A119" s="2" t="s">
        <v>27</v>
      </c>
      <c r="B119" s="96"/>
      <c r="C119" s="97"/>
      <c r="D119" s="97"/>
      <c r="E119" s="14">
        <f>U64</f>
        <v>125.18900114510002</v>
      </c>
      <c r="F119" s="98"/>
      <c r="G119" s="101"/>
      <c r="H119" s="15"/>
      <c r="I119" s="41"/>
      <c r="J119" s="103"/>
      <c r="L119" s="2" t="s">
        <v>27</v>
      </c>
      <c r="M119" s="14">
        <f>$E119*$B$99*B$237/100+$E119*$B$100*B$238/100+$E119*$B$101*B$248/100</f>
        <v>3.2895400072821461</v>
      </c>
      <c r="N119" s="14">
        <f>$E119*$B$99*C$237/100+$E119*$B$100*C$238/100+$E119*$B$101*C$248/100</f>
        <v>7.7914925148811429</v>
      </c>
      <c r="O119" s="14">
        <f>$E119*$B$99*D$237/100+$E119*$B$100*D$238/100+$E119*$B$101*D$248/100</f>
        <v>20.929600610731423</v>
      </c>
      <c r="P119" s="14">
        <f>$E119*$B$99*E$237/100+$E119*$B$100*E$238/100+$E119*$B$101*E$248/100</f>
        <v>20.284005820974983</v>
      </c>
      <c r="Q119" s="14">
        <f>$E119*$B$99*F$237/100+$E119*$B$100*F$238/100+$E119*$B$101*F$248/100</f>
        <v>8.3786177635577772</v>
      </c>
      <c r="R119" s="14">
        <f>$E119*$B$99*G$237/100+$E119*$B$100*G$238/100+$E119*$B$101*G$248/100</f>
        <v>15.995020911792993</v>
      </c>
      <c r="S119" s="14">
        <f>$E119*$B$99*H$237/100+$E119*$B$100*H$238/100+$E119*$B$101*H$248/100</f>
        <v>10.288660784680477</v>
      </c>
      <c r="T119" s="14">
        <f>$E119*$B$99*I$237/100+$E119*$B$100*I$238/100+$E119*$B$101*I$248/100</f>
        <v>5.8096870083536967</v>
      </c>
      <c r="U119" s="14">
        <f>$E119*$B$99*J$237/100+$E119*$B$100*J$238/100+$E119*$B$101*J$248/100</f>
        <v>32.422375722845388</v>
      </c>
      <c r="V119" s="14">
        <f t="shared" si="17"/>
        <v>125.18900114510002</v>
      </c>
    </row>
    <row r="120" spans="1:22" ht="9.9499999999999993" customHeight="1" x14ac:dyDescent="0.15">
      <c r="A120" s="2" t="s">
        <v>29</v>
      </c>
      <c r="B120" s="96"/>
      <c r="C120" s="97"/>
      <c r="D120" s="97"/>
      <c r="E120" s="14">
        <f>U65</f>
        <v>15176.315952365103</v>
      </c>
      <c r="F120" s="98"/>
      <c r="G120" s="101"/>
      <c r="H120" s="15"/>
      <c r="I120" s="41"/>
      <c r="J120" s="103"/>
      <c r="L120" s="2" t="s">
        <v>29</v>
      </c>
      <c r="M120" s="14">
        <f>$E120*$B$99*B$237/100+$E120*$B$100*B$238/100+$E120*$B$101*B$248/100</f>
        <v>398.7818261333997</v>
      </c>
      <c r="N120" s="14">
        <f>$E120*$B$99*C$237/100+$E120*$B$100*C$238/100+$E120*$B$101*C$248/100</f>
        <v>944.54106243144349</v>
      </c>
      <c r="O120" s="14">
        <f>$E120*$B$99*D$237/100+$E120*$B$100*D$238/100+$E120*$B$101*D$248/100</f>
        <v>2537.237526618816</v>
      </c>
      <c r="P120" s="14">
        <f>$E120*$B$99*E$237/100+$E120*$B$100*E$238/100+$E120*$B$101*E$248/100</f>
        <v>2458.9738579504447</v>
      </c>
      <c r="Q120" s="14">
        <f>$E120*$B$99*F$237/100+$E120*$B$100*F$238/100+$E120*$B$101*F$248/100</f>
        <v>1015.7166305406574</v>
      </c>
      <c r="R120" s="14">
        <f>$E120*$B$99*G$237/100+$E120*$B$100*G$238/100+$E120*$B$101*G$248/100</f>
        <v>1939.0320938874158</v>
      </c>
      <c r="S120" s="14">
        <f>$E120*$B$99*H$237/100+$E120*$B$100*H$238/100+$E120*$B$101*H$248/100</f>
        <v>1247.2658569584823</v>
      </c>
      <c r="T120" s="14">
        <f>$E120*$B$99*I$237/100+$E120*$B$100*I$238/100+$E120*$B$101*I$248/100</f>
        <v>704.29226862297321</v>
      </c>
      <c r="U120" s="14">
        <f>$E120*$B$99*J$237/100+$E120*$B$100*J$238/100+$E120*$B$101*J$248/100</f>
        <v>3930.4748292214708</v>
      </c>
      <c r="V120" s="14">
        <f t="shared" si="17"/>
        <v>15176.315952365105</v>
      </c>
    </row>
    <row r="121" spans="1:22" ht="9.9499999999999993" customHeight="1" x14ac:dyDescent="0.15">
      <c r="A121" s="2" t="s">
        <v>31</v>
      </c>
      <c r="B121" s="96"/>
      <c r="C121" s="97"/>
      <c r="D121" s="97"/>
      <c r="E121" s="14">
        <f>U67</f>
        <v>488068.26348246139</v>
      </c>
      <c r="F121" s="98"/>
      <c r="G121" s="101"/>
      <c r="H121" s="15"/>
      <c r="I121" s="41"/>
      <c r="J121" s="103"/>
      <c r="L121" s="2" t="s">
        <v>31</v>
      </c>
      <c r="M121" s="14">
        <f>$E121*$B$99*B$237/100+$E121*$B$100*B$238/100+$E121*$B$101*B$248/100</f>
        <v>12824.769463168783</v>
      </c>
      <c r="N121" s="14">
        <f>$E121*$B$99*C$237/100+$E121*$B$100*C$238/100+$E121*$B$101*C$248/100</f>
        <v>30376.312510609714</v>
      </c>
      <c r="O121" s="14">
        <f>$E121*$B$99*D$237/100+$E121*$B$100*D$238/100+$E121*$B$101*D$248/100</f>
        <v>81597.214867314033</v>
      </c>
      <c r="P121" s="14">
        <f>$E121*$B$99*E$237/100+$E121*$B$100*E$238/100+$E121*$B$101*E$248/100</f>
        <v>79080.265893621516</v>
      </c>
      <c r="Q121" s="14">
        <f>$E121*$B$99*F$237/100+$E121*$B$100*F$238/100+$E121*$B$101*F$248/100</f>
        <v>32665.309131296697</v>
      </c>
      <c r="R121" s="14">
        <f>$E121*$B$99*G$237/100+$E121*$B$100*G$238/100+$E121*$B$101*G$248/100</f>
        <v>62359.009253026699</v>
      </c>
      <c r="S121" s="14">
        <f>$E121*$B$99*H$237/100+$E121*$B$100*H$238/100+$E121*$B$101*H$248/100</f>
        <v>40111.900860354828</v>
      </c>
      <c r="T121" s="14">
        <f>$E121*$B$99*I$237/100+$E121*$B$100*I$238/100+$E121*$B$101*I$248/100</f>
        <v>22649.943873721761</v>
      </c>
      <c r="U121" s="14">
        <f>$E121*$B$99*J$237/100+$E121*$B$100*J$238/100+$E121*$B$101*J$248/100</f>
        <v>126403.53762934738</v>
      </c>
      <c r="V121" s="14">
        <f t="shared" si="17"/>
        <v>488068.26348246145</v>
      </c>
    </row>
    <row r="122" spans="1:22" ht="9.9499999999999993" customHeight="1" x14ac:dyDescent="0.15">
      <c r="A122" s="2" t="s">
        <v>32</v>
      </c>
      <c r="B122" s="96"/>
      <c r="C122" s="97"/>
      <c r="D122" s="97"/>
      <c r="E122" s="14">
        <f>U68</f>
        <v>2242.5660077813995</v>
      </c>
      <c r="F122" s="98"/>
      <c r="G122" s="101"/>
      <c r="H122" s="15"/>
      <c r="I122" s="41"/>
      <c r="J122" s="103"/>
      <c r="L122" s="2" t="s">
        <v>32</v>
      </c>
      <c r="M122" s="14">
        <f>$E122*$B$99*B$237/100+$E122*$B$100*B$238/100+$E122*$B$101*B$248/100</f>
        <v>58.926986668881646</v>
      </c>
      <c r="N122" s="14">
        <f>$E122*$B$99*C$237/100+$E122*$B$100*C$238/100+$E122*$B$101*C$248/100</f>
        <v>139.57245527906795</v>
      </c>
      <c r="O122" s="14">
        <f>$E122*$B$99*D$237/100+$E122*$B$100*D$238/100+$E122*$B$101*D$248/100</f>
        <v>374.92120279533214</v>
      </c>
      <c r="P122" s="14">
        <f>$E122*$B$99*E$237/100+$E122*$B$100*E$238/100+$E122*$B$101*E$248/100</f>
        <v>363.35637747469139</v>
      </c>
      <c r="Q122" s="14">
        <f>$E122*$B$99*F$237/100+$E122*$B$100*F$238/100+$E122*$B$101*F$248/100</f>
        <v>150.08988982163086</v>
      </c>
      <c r="R122" s="14">
        <f>$E122*$B$99*G$237/100+$E122*$B$100*G$238/100+$E122*$B$101*G$248/100</f>
        <v>286.52589175118266</v>
      </c>
      <c r="S122" s="14">
        <f>$E122*$B$99*H$237/100+$E122*$B$100*H$238/100+$E122*$B$101*H$248/100</f>
        <v>184.3053361738643</v>
      </c>
      <c r="T122" s="14">
        <f>$E122*$B$99*I$237/100+$E122*$B$100*I$238/100+$E122*$B$101*I$248/100</f>
        <v>104.07149575131153</v>
      </c>
      <c r="U122" s="14">
        <f>$E122*$B$99*J$237/100+$E122*$B$100*J$238/100+$E122*$B$101*J$248/100</f>
        <v>580.79637206543714</v>
      </c>
      <c r="V122" s="14">
        <f t="shared" si="17"/>
        <v>2242.5660077813995</v>
      </c>
    </row>
    <row r="123" spans="1:22" ht="9.9499999999999993" customHeight="1" x14ac:dyDescent="0.15">
      <c r="A123" s="2" t="s">
        <v>33</v>
      </c>
      <c r="B123" s="96"/>
      <c r="C123" s="97"/>
      <c r="D123" s="97"/>
      <c r="E123" s="14">
        <f>U69</f>
        <v>1261.7586629029001</v>
      </c>
      <c r="F123" s="98"/>
      <c r="G123" s="101"/>
      <c r="H123" s="15"/>
      <c r="I123" s="41"/>
      <c r="J123" s="103"/>
      <c r="L123" s="2" t="s">
        <v>33</v>
      </c>
      <c r="M123" s="14">
        <f>$E123*$B$99*B$237/100+$E123*$B$100*B$238/100+$E123*$B$101*B$248/100</f>
        <v>33.154714577067089</v>
      </c>
      <c r="N123" s="14">
        <f>$E123*$B$99*C$237/100+$E123*$B$100*C$238/100+$E123*$B$101*C$248/100</f>
        <v>78.529128658833258</v>
      </c>
      <c r="O123" s="14">
        <f>$E123*$B$99*D$237/100+$E123*$B$100*D$238/100+$E123*$B$101*D$248/100</f>
        <v>210.94588694001916</v>
      </c>
      <c r="P123" s="14">
        <f>$E123*$B$99*E$237/100+$E123*$B$100*E$238/100+$E123*$B$101*E$248/100</f>
        <v>204.43904679232901</v>
      </c>
      <c r="Q123" s="14">
        <f>$E123*$B$99*F$237/100+$E123*$B$100*F$238/100+$E123*$B$101*F$248/100</f>
        <v>84.446664240638327</v>
      </c>
      <c r="R123" s="14">
        <f>$E123*$B$99*G$237/100+$E123*$B$100*G$238/100+$E123*$B$101*G$248/100</f>
        <v>161.21109693475481</v>
      </c>
      <c r="S123" s="14">
        <f>$E123*$B$99*H$237/100+$E123*$B$100*H$238/100+$E123*$B$101*H$248/100</f>
        <v>103.69766318123594</v>
      </c>
      <c r="T123" s="14">
        <f>$E123*$B$99*I$237/100+$E123*$B$100*I$238/100+$E123*$B$101*I$248/100</f>
        <v>58.554847826035449</v>
      </c>
      <c r="U123" s="14">
        <f>$E123*$B$99*J$237/100+$E123*$B$100*J$238/100+$E123*$B$101*J$248/100</f>
        <v>326.77961375198703</v>
      </c>
      <c r="V123" s="14">
        <f>SUM(M123:U123)</f>
        <v>1261.7586629029001</v>
      </c>
    </row>
    <row r="124" spans="1:22" ht="9.9499999999999993" customHeight="1" x14ac:dyDescent="0.15">
      <c r="A124" s="2" t="s">
        <v>38</v>
      </c>
      <c r="B124" s="96"/>
      <c r="C124" s="97"/>
      <c r="D124" s="97"/>
      <c r="E124" s="14">
        <f t="shared" ref="E124:E135" si="19">U74</f>
        <v>3913.2136058950005</v>
      </c>
      <c r="F124" s="98"/>
      <c r="G124" s="101"/>
      <c r="H124" s="15"/>
      <c r="I124" s="41"/>
      <c r="J124" s="103"/>
      <c r="L124" s="2" t="s">
        <v>38</v>
      </c>
      <c r="M124" s="14">
        <f>$E124*$B$99*B$237/100+$E124*$B$100*B$238/100+$E124*$B$101*B$248/100</f>
        <v>102.82590799420461</v>
      </c>
      <c r="N124" s="14">
        <f>$E124*$B$99*C$237/100+$E124*$B$100*C$238/100+$E124*$B$101*C$248/100</f>
        <v>243.54994640561785</v>
      </c>
      <c r="O124" s="14">
        <f>$E124*$B$99*D$237/100+$E124*$B$100*D$238/100+$E124*$B$101*D$248/100</f>
        <v>654.22678611305628</v>
      </c>
      <c r="P124" s="14">
        <f>$E124*$B$99*E$237/100+$E124*$B$100*E$238/100+$E124*$B$101*E$248/100</f>
        <v>634.04649637464968</v>
      </c>
      <c r="Q124" s="14">
        <f>$E124*$B$99*F$237/100+$E124*$B$100*F$238/100+$E124*$B$101*F$248/100</f>
        <v>261.90256916376995</v>
      </c>
      <c r="R124" s="14">
        <f>$E124*$B$99*G$237/100+$E124*$B$100*G$238/100+$E124*$B$101*G$248/100</f>
        <v>499.97949409354544</v>
      </c>
      <c r="S124" s="14">
        <f>$E124*$B$99*H$237/100+$E124*$B$100*H$238/100+$E124*$B$101*H$248/100</f>
        <v>321.60754539757619</v>
      </c>
      <c r="T124" s="14">
        <f>$E124*$B$99*I$237/100+$E124*$B$100*I$238/100+$E124*$B$101*I$248/100</f>
        <v>181.60178641197624</v>
      </c>
      <c r="U124" s="14">
        <f>$E124*$B$99*J$237/100+$E124*$B$100*J$238/100+$E124*$B$101*J$248/100</f>
        <v>1013.473073940604</v>
      </c>
      <c r="V124" s="14">
        <f t="shared" si="17"/>
        <v>3913.2136058950005</v>
      </c>
    </row>
    <row r="125" spans="1:22" ht="9.9499999999999993" customHeight="1" x14ac:dyDescent="0.15">
      <c r="A125" s="2" t="s">
        <v>39</v>
      </c>
      <c r="B125" s="96"/>
      <c r="C125" s="97"/>
      <c r="D125" s="97"/>
      <c r="E125" s="14">
        <f t="shared" si="19"/>
        <v>208842.99112942608</v>
      </c>
      <c r="F125" s="98"/>
      <c r="G125" s="101"/>
      <c r="H125" s="15"/>
      <c r="I125" s="41"/>
      <c r="J125" s="103"/>
      <c r="L125" s="2" t="s">
        <v>39</v>
      </c>
      <c r="M125" s="14">
        <f>$E125*$B$99*B$237/100+$E125*$B$100*B$238/100+$E125*$B$101*B$248/100</f>
        <v>5487.6815716778083</v>
      </c>
      <c r="N125" s="14">
        <f>$E125*$B$99*C$237/100+$E125*$B$100*C$238/100+$E125*$B$101*C$248/100</f>
        <v>12997.935819332175</v>
      </c>
      <c r="O125" s="14">
        <f>$E125*$B$99*D$237/100+$E125*$B$100*D$238/100+$E125*$B$101*D$248/100</f>
        <v>34915.211038573718</v>
      </c>
      <c r="P125" s="14">
        <f>$E125*$B$99*E$237/100+$E125*$B$100*E$238/100+$E125*$B$101*E$248/100</f>
        <v>33838.215889502782</v>
      </c>
      <c r="Q125" s="14">
        <f>$E125*$B$99*F$237/100+$E125*$B$100*F$238/100+$E125*$B$101*F$248/100</f>
        <v>13977.390819209659</v>
      </c>
      <c r="R125" s="14">
        <f>$E125*$B$99*G$237/100+$E125*$B$100*G$238/100+$E125*$B$101*G$248/100</f>
        <v>26683.23878169481</v>
      </c>
      <c r="S125" s="14">
        <f>$E125*$B$99*H$237/100+$E125*$B$100*H$238/100+$E125*$B$101*H$248/100</f>
        <v>17163.76577282725</v>
      </c>
      <c r="T125" s="14">
        <f>$E125*$B$99*I$237/100+$E125*$B$100*I$238/100+$E125*$B$101*I$248/100</f>
        <v>9691.8451401658349</v>
      </c>
      <c r="U125" s="14">
        <f>$E125*$B$99*J$237/100+$E125*$B$100*J$238/100+$E125*$B$101*J$248/100</f>
        <v>54087.706296442055</v>
      </c>
      <c r="V125" s="14">
        <f t="shared" si="17"/>
        <v>208842.99112942608</v>
      </c>
    </row>
    <row r="126" spans="1:22" ht="9.9499999999999993" customHeight="1" x14ac:dyDescent="0.15">
      <c r="A126" s="2" t="s">
        <v>40</v>
      </c>
      <c r="B126" s="96"/>
      <c r="C126" s="97"/>
      <c r="D126" s="97"/>
      <c r="E126" s="14">
        <f t="shared" si="19"/>
        <v>193287.75892073053</v>
      </c>
      <c r="F126" s="98"/>
      <c r="G126" s="101"/>
      <c r="H126" s="15"/>
      <c r="I126" s="41"/>
      <c r="J126" s="103"/>
      <c r="L126" s="2" t="s">
        <v>40</v>
      </c>
      <c r="M126" s="14">
        <f>$E126*$B$99*B$237/100+$E126*$B$100*B$238/100+$E126*$B$101*B$248/100</f>
        <v>5078.9431185787216</v>
      </c>
      <c r="N126" s="14">
        <f>$E126*$B$99*C$237/100+$E126*$B$100*C$238/100+$E126*$B$101*C$248/100</f>
        <v>12029.811829103874</v>
      </c>
      <c r="O126" s="14">
        <f>$E126*$B$99*D$237/100+$E126*$B$100*D$238/100+$E126*$B$101*D$248/100</f>
        <v>32314.624768555965</v>
      </c>
      <c r="P126" s="14">
        <f>$E126*$B$99*E$237/100+$E126*$B$100*E$238/100+$E126*$B$101*E$248/100</f>
        <v>31317.847344489044</v>
      </c>
      <c r="Q126" s="14">
        <f>$E126*$B$99*F$237/100+$E126*$B$100*F$238/100+$E126*$B$101*F$248/100</f>
        <v>12936.314177428785</v>
      </c>
      <c r="R126" s="14">
        <f>$E126*$B$99*G$237/100+$E126*$B$100*G$238/100+$E126*$B$101*G$248/100</f>
        <v>24695.793701136146</v>
      </c>
      <c r="S126" s="14">
        <f>$E126*$B$99*H$237/100+$E126*$B$100*H$238/100+$E126*$B$101*H$248/100</f>
        <v>15885.358675092617</v>
      </c>
      <c r="T126" s="14">
        <f>$E126*$B$99*I$237/100+$E126*$B$100*I$238/100+$E126*$B$101*I$248/100</f>
        <v>8969.9683806409375</v>
      </c>
      <c r="U126" s="14">
        <f>$E126*$B$99*J$237/100+$E126*$B$100*J$238/100+$E126*$B$101*J$248/100</f>
        <v>50059.096925704434</v>
      </c>
      <c r="V126" s="14">
        <f t="shared" si="17"/>
        <v>193287.7589207305</v>
      </c>
    </row>
    <row r="127" spans="1:22" ht="9.9499999999999993" customHeight="1" x14ac:dyDescent="0.15">
      <c r="A127" s="2" t="s">
        <v>41</v>
      </c>
      <c r="B127" s="96"/>
      <c r="C127" s="97"/>
      <c r="D127" s="97"/>
      <c r="E127" s="14">
        <f t="shared" si="19"/>
        <v>7896.0472765315008</v>
      </c>
      <c r="F127" s="98"/>
      <c r="G127" s="101"/>
      <c r="H127" s="15"/>
      <c r="I127" s="41"/>
      <c r="J127" s="103"/>
      <c r="L127" s="2" t="s">
        <v>41</v>
      </c>
      <c r="M127" s="14">
        <f>$E127*$B$99*B$237/100+$E127*$B$100*B$238/100+$E127*$B$101*B$248/100</f>
        <v>207.48119385852496</v>
      </c>
      <c r="N127" s="14">
        <f>$E127*$B$99*C$237/100+$E127*$B$100*C$238/100+$E127*$B$101*C$248/100</f>
        <v>491.43289497881602</v>
      </c>
      <c r="O127" s="14">
        <f>$E127*$B$99*D$237/100+$E127*$B$100*D$238/100+$E127*$B$101*D$248/100</f>
        <v>1320.0929345998406</v>
      </c>
      <c r="P127" s="14">
        <f>$E127*$B$99*E$237/100+$E127*$B$100*E$238/100+$E127*$B$101*E$248/100</f>
        <v>1279.3733271681072</v>
      </c>
      <c r="Q127" s="14">
        <f>$E127*$B$99*F$237/100+$E127*$B$100*F$238/100+$E127*$B$101*F$248/100</f>
        <v>528.46465238873986</v>
      </c>
      <c r="R127" s="14">
        <f>$E127*$B$99*G$237/100+$E127*$B$100*G$238/100+$E127*$B$101*G$248/100</f>
        <v>1008.854133776838</v>
      </c>
      <c r="S127" s="14">
        <f>$E127*$B$99*H$237/100+$E127*$B$100*H$238/100+$E127*$B$101*H$248/100</f>
        <v>648.93681733167591</v>
      </c>
      <c r="T127" s="14">
        <f>$E127*$B$99*I$237/100+$E127*$B$100*I$238/100+$E127*$B$101*I$248/100</f>
        <v>366.43445398723168</v>
      </c>
      <c r="U127" s="14">
        <f>$E127*$B$99*J$237/100+$E127*$B$100*J$238/100+$E127*$B$101*J$248/100</f>
        <v>2044.9768684417263</v>
      </c>
      <c r="V127" s="14">
        <f t="shared" si="17"/>
        <v>7896.0472765315008</v>
      </c>
    </row>
    <row r="128" spans="1:22" ht="9.9499999999999993" customHeight="1" x14ac:dyDescent="0.15">
      <c r="A128" s="2" t="s">
        <v>42</v>
      </c>
      <c r="B128" s="96"/>
      <c r="C128" s="97"/>
      <c r="D128" s="97"/>
      <c r="E128" s="14">
        <f t="shared" si="19"/>
        <v>0</v>
      </c>
      <c r="F128" s="98"/>
      <c r="G128" s="101"/>
      <c r="H128" s="15"/>
      <c r="I128" s="41"/>
      <c r="J128" s="103"/>
      <c r="L128" s="2" t="s">
        <v>149</v>
      </c>
      <c r="M128" s="14">
        <f>$E128*$B$99*B$237/100+$E128*$B$100*B$238/100+$E128*$B$101*B$248/100</f>
        <v>0</v>
      </c>
      <c r="N128" s="14">
        <f>$E128*$B$99*C$237/100+$E128*$B$100*C$238/100+$E128*$B$101*C$248/100</f>
        <v>0</v>
      </c>
      <c r="O128" s="14">
        <f>$E128*$B$99*D$237/100+$E128*$B$100*D$238/100+$E128*$B$101*D$248/100</f>
        <v>0</v>
      </c>
      <c r="P128" s="14">
        <f>$E128*$B$99*E$237/100+$E128*$B$100*E$238/100+$E128*$B$101*E$248/100</f>
        <v>0</v>
      </c>
      <c r="Q128" s="14">
        <f>$E128*$B$99*F$237/100+$E128*$B$100*F$238/100+$E128*$B$101*F$248/100</f>
        <v>0</v>
      </c>
      <c r="R128" s="14">
        <f>$E128*$B$99*G$237/100+$E128*$B$100*G$238/100+$E128*$B$101*G$248/100</f>
        <v>0</v>
      </c>
      <c r="S128" s="14">
        <f>$E128*$B$99*H$237/100+$E128*$B$100*H$238/100+$E128*$B$101*H$248/100</f>
        <v>0</v>
      </c>
      <c r="T128" s="14">
        <f>$E128*$B$99*I$237/100+$E128*$B$100*I$238/100+$E128*$B$101*I$248/100</f>
        <v>0</v>
      </c>
      <c r="U128" s="14">
        <f>$E128*$B$99*J$237/100+$E128*$B$100*J$238/100+$E128*$B$101*J$248/100</f>
        <v>0</v>
      </c>
      <c r="V128" s="14">
        <f>SUM(M128:U128)</f>
        <v>0</v>
      </c>
    </row>
    <row r="129" spans="1:23" ht="9.9499999999999993" customHeight="1" x14ac:dyDescent="0.15">
      <c r="A129" s="2" t="s">
        <v>43</v>
      </c>
      <c r="B129" s="96"/>
      <c r="C129" s="97"/>
      <c r="D129" s="97"/>
      <c r="E129" s="14">
        <f t="shared" si="19"/>
        <v>55253.101033986597</v>
      </c>
      <c r="F129" s="98"/>
      <c r="G129" s="101"/>
      <c r="H129" s="15"/>
      <c r="I129" s="41"/>
      <c r="J129" s="103"/>
      <c r="L129" s="2" t="s">
        <v>43</v>
      </c>
      <c r="M129" s="14">
        <f>$E129*$B$99*B$237/100+$E129*$B$100*B$238/100+$E129*$B$101*B$248/100</f>
        <v>1451.8630607734942</v>
      </c>
      <c r="N129" s="14">
        <f>$E129*$B$99*C$237/100+$E129*$B$100*C$238/100+$E129*$B$101*C$248/100</f>
        <v>3438.8334373824364</v>
      </c>
      <c r="O129" s="14">
        <f>$E129*$B$99*D$237/100+$E129*$B$100*D$238/100+$E129*$B$101*D$248/100</f>
        <v>9237.4356099013748</v>
      </c>
      <c r="P129" s="14">
        <f>$E129*$B$99*E$237/100+$E129*$B$100*E$238/100+$E129*$B$101*E$248/100</f>
        <v>8952.4975257314763</v>
      </c>
      <c r="Q129" s="14">
        <f>$E129*$B$99*F$237/100+$E129*$B$100*F$238/100+$E129*$B$101*F$248/100</f>
        <v>3697.9655527280529</v>
      </c>
      <c r="R129" s="14">
        <f>$E129*$B$99*G$237/100+$E129*$B$100*G$238/100+$E129*$B$101*G$248/100</f>
        <v>7059.5219899205822</v>
      </c>
      <c r="S129" s="14">
        <f>$E129*$B$99*H$237/100+$E129*$B$100*H$238/100+$E129*$B$101*H$248/100</f>
        <v>4540.9773114290638</v>
      </c>
      <c r="T129" s="14">
        <f>$E129*$B$99*I$237/100+$E129*$B$100*I$238/100+$E129*$B$101*I$248/100</f>
        <v>2564.1487695580222</v>
      </c>
      <c r="U129" s="14">
        <f>$E129*$B$99*J$237/100+$E129*$B$100*J$238/100+$E129*$B$101*J$248/100</f>
        <v>14309.857776562094</v>
      </c>
      <c r="V129" s="14">
        <f>SUM(M129:U129)</f>
        <v>55253.101033986597</v>
      </c>
    </row>
    <row r="130" spans="1:23" ht="9.9499999999999993" customHeight="1" x14ac:dyDescent="0.15">
      <c r="A130" s="2" t="s">
        <v>44</v>
      </c>
      <c r="B130" s="96"/>
      <c r="C130" s="97"/>
      <c r="D130" s="97"/>
      <c r="E130" s="14">
        <f t="shared" si="19"/>
        <v>11473.905172426601</v>
      </c>
      <c r="F130" s="98"/>
      <c r="G130" s="101"/>
      <c r="H130" s="15"/>
      <c r="I130" s="41"/>
      <c r="J130" s="103"/>
      <c r="L130" s="2" t="s">
        <v>44</v>
      </c>
      <c r="M130" s="14">
        <f>$E130*$B$99*B$237/100+$E130*$B$100*B$238/100+$E130*$B$101*B$248/100</f>
        <v>301.49509748633511</v>
      </c>
      <c r="N130" s="14">
        <f>$E130*$B$99*C$237/100+$E130*$B$100*C$238/100+$E130*$B$101*C$248/100</f>
        <v>714.11102772359652</v>
      </c>
      <c r="O130" s="14">
        <f>$E130*$B$99*D$237/100+$E130*$B$100*D$238/100+$E130*$B$101*D$248/100</f>
        <v>1918.2536046114433</v>
      </c>
      <c r="P130" s="14">
        <f>$E130*$B$99*E$237/100+$E130*$B$100*E$238/100+$E130*$B$101*E$248/100</f>
        <v>1859.083123740744</v>
      </c>
      <c r="Q130" s="14">
        <f>$E130*$B$99*F$237/100+$E130*$B$100*F$238/100+$E130*$B$101*F$248/100</f>
        <v>767.92261952506033</v>
      </c>
      <c r="R130" s="14">
        <f>$E130*$B$99*G$237/100+$E130*$B$100*G$238/100+$E130*$B$101*G$248/100</f>
        <v>1465.9862407575138</v>
      </c>
      <c r="S130" s="14">
        <f>$E130*$B$99*H$237/100+$E130*$B$100*H$238/100+$E130*$B$101*H$248/100</f>
        <v>942.98314640166495</v>
      </c>
      <c r="T130" s="14">
        <f>$E130*$B$99*I$237/100+$E130*$B$100*I$238/100+$E130*$B$101*I$248/100</f>
        <v>532.47327804834231</v>
      </c>
      <c r="U130" s="14">
        <f>$E130*$B$99*J$237/100+$E130*$B$100*J$238/100+$E130*$B$101*J$248/100</f>
        <v>2971.5970341319007</v>
      </c>
      <c r="V130" s="14">
        <f>SUM(M130:U130)</f>
        <v>11473.905172426601</v>
      </c>
    </row>
    <row r="131" spans="1:23" ht="9.9499999999999993" customHeight="1" x14ac:dyDescent="0.15">
      <c r="A131" s="2" t="s">
        <v>45</v>
      </c>
      <c r="B131" s="96"/>
      <c r="C131" s="97"/>
      <c r="D131" s="97"/>
      <c r="E131" s="14">
        <f t="shared" si="19"/>
        <v>103791.3411816271</v>
      </c>
      <c r="F131" s="98"/>
      <c r="G131" s="101"/>
      <c r="H131" s="15"/>
      <c r="I131" s="41"/>
      <c r="J131" s="103"/>
      <c r="L131" s="2" t="s">
        <v>45</v>
      </c>
      <c r="M131" s="14">
        <f>$E131*$B$99*B$237/100+$E131*$B$100*B$238/100+$E131*$B$101*B$248/100</f>
        <v>2727.2824777210622</v>
      </c>
      <c r="N131" s="14">
        <f>$E131*$B$99*C$237/100+$E131*$B$100*C$238/100+$E131*$B$101*C$248/100</f>
        <v>6459.748464554109</v>
      </c>
      <c r="O131" s="14">
        <f>$E131*$B$99*D$237/100+$E131*$B$100*D$238/100+$E131*$B$101*D$248/100</f>
        <v>17352.253775599693</v>
      </c>
      <c r="P131" s="14">
        <f>$E131*$B$99*E$237/100+$E131*$B$100*E$238/100+$E131*$B$101*E$248/100</f>
        <v>16817.005882607664</v>
      </c>
      <c r="Q131" s="14">
        <f>$E131*$B$99*F$237/100+$E131*$B$100*F$238/100+$E131*$B$101*F$248/100</f>
        <v>6946.5205966451185</v>
      </c>
      <c r="R131" s="14">
        <f>$E131*$B$99*G$237/100+$E131*$B$100*G$238/100+$E131*$B$101*G$248/100</f>
        <v>13261.106466845116</v>
      </c>
      <c r="S131" s="14">
        <f>$E131*$B$99*H$237/100+$E131*$B$100*H$238/100+$E131*$B$101*H$248/100</f>
        <v>8530.0936347202096</v>
      </c>
      <c r="T131" s="14">
        <f>$E131*$B$99*I$237/100+$E131*$B$100*I$238/100+$E131*$B$101*I$248/100</f>
        <v>4816.6787890863088</v>
      </c>
      <c r="U131" s="14">
        <f>$E131*$B$99*J$237/100+$E131*$B$100*J$238/100+$E131*$B$101*J$248/100</f>
        <v>26880.651093847817</v>
      </c>
      <c r="V131" s="14">
        <f t="shared" si="17"/>
        <v>103791.3411816271</v>
      </c>
    </row>
    <row r="132" spans="1:23" ht="9.9499999999999993" customHeight="1" x14ac:dyDescent="0.15">
      <c r="A132" s="2" t="s">
        <v>46</v>
      </c>
      <c r="B132" s="96"/>
      <c r="C132" s="97"/>
      <c r="D132" s="97"/>
      <c r="E132" s="14">
        <f t="shared" si="19"/>
        <v>53591.159223114606</v>
      </c>
      <c r="F132" s="98"/>
      <c r="G132" s="101"/>
      <c r="H132" s="15"/>
      <c r="I132" s="41"/>
      <c r="J132" s="103"/>
      <c r="L132" s="2" t="s">
        <v>46</v>
      </c>
      <c r="M132" s="14">
        <f>$E132*$B$99*B$237/100+$E132*$B$100*B$238/100+$E132*$B$101*B$248/100</f>
        <v>1408.1928978467863</v>
      </c>
      <c r="N132" s="14">
        <f>$E132*$B$99*C$237/100+$E132*$B$100*C$238/100+$E132*$B$101*C$248/100</f>
        <v>3335.3977756139666</v>
      </c>
      <c r="O132" s="14">
        <f>$E132*$B$99*D$237/100+$E132*$B$100*D$238/100+$E132*$B$101*D$248/100</f>
        <v>8959.5854951016699</v>
      </c>
      <c r="P132" s="14">
        <f>$E132*$B$99*E$237/100+$E132*$B$100*E$238/100+$E132*$B$101*E$248/100</f>
        <v>8683.2179799447294</v>
      </c>
      <c r="Q132" s="14">
        <f>$E132*$B$99*F$237/100+$E132*$B$100*F$238/100+$E132*$B$101*F$248/100</f>
        <v>3586.7355321096129</v>
      </c>
      <c r="R132" s="14">
        <f>$E132*$B$99*G$237/100+$E132*$B$100*G$238/100+$E132*$B$101*G$248/100</f>
        <v>6847.1806997439016</v>
      </c>
      <c r="S132" s="14">
        <f>$E132*$B$99*H$237/100+$E132*$B$100*H$238/100+$E132*$B$101*H$248/100</f>
        <v>4404.3905875193432</v>
      </c>
      <c r="T132" s="14">
        <f>$E132*$B$99*I$237/100+$E132*$B$100*I$238/100+$E132*$B$101*I$248/100</f>
        <v>2487.0224912193062</v>
      </c>
      <c r="U132" s="14">
        <f>$E132*$B$99*J$237/100+$E132*$B$100*J$238/100+$E132*$B$101*J$248/100</f>
        <v>13879.435764015294</v>
      </c>
      <c r="V132" s="14">
        <f t="shared" si="17"/>
        <v>53591.159223114613</v>
      </c>
    </row>
    <row r="133" spans="1:23" ht="9.9499999999999993" customHeight="1" x14ac:dyDescent="0.15">
      <c r="A133" s="2" t="s">
        <v>47</v>
      </c>
      <c r="B133" s="96"/>
      <c r="C133" s="97"/>
      <c r="D133" s="97"/>
      <c r="E133" s="14">
        <f t="shared" si="19"/>
        <v>123717.89306924329</v>
      </c>
      <c r="F133" s="98"/>
      <c r="G133" s="101"/>
      <c r="H133" s="15"/>
      <c r="I133" s="41"/>
      <c r="J133" s="103"/>
      <c r="L133" s="2" t="s">
        <v>47</v>
      </c>
      <c r="M133" s="14">
        <f>$E133*$B$99*B$237/100+$E133*$B$100*B$238/100+$E133*$B$101*B$248/100</f>
        <v>3250.8843040949496</v>
      </c>
      <c r="N133" s="14">
        <f>$E133*$B$99*C$237/100+$E133*$B$100*C$238/100+$E133*$B$101*C$248/100</f>
        <v>7699.9339318045522</v>
      </c>
      <c r="O133" s="14">
        <f>$E133*$B$99*D$237/100+$E133*$B$100*D$238/100+$E133*$B$101*D$248/100</f>
        <v>20683.654847115846</v>
      </c>
      <c r="P133" s="14">
        <f>$E133*$B$99*E$237/100+$E133*$B$100*E$238/100+$E133*$B$101*E$248/100</f>
        <v>20045.646504253738</v>
      </c>
      <c r="Q133" s="14">
        <f>$E133*$B$99*F$237/100+$E133*$B$100*F$238/100+$E133*$B$101*F$248/100</f>
        <v>8280.1598148263201</v>
      </c>
      <c r="R133" s="14">
        <f>$E133*$B$99*G$237/100+$E133*$B$100*G$238/100+$E133*$B$101*G$248/100</f>
        <v>15807.061872088192</v>
      </c>
      <c r="S133" s="14">
        <f>$E133*$B$99*H$237/100+$E133*$B$100*H$238/100+$E133*$B$101*H$248/100</f>
        <v>10167.75773543775</v>
      </c>
      <c r="T133" s="14">
        <f>$E133*$B$99*I$237/100+$E133*$B$100*I$238/100+$E133*$B$101*I$248/100</f>
        <v>5741.4168137039042</v>
      </c>
      <c r="U133" s="14">
        <f>$E133*$B$99*J$237/100+$E133*$B$100*J$238/100+$E133*$B$101*J$248/100</f>
        <v>32041.37724591804</v>
      </c>
      <c r="V133" s="14">
        <f t="shared" si="17"/>
        <v>123717.89306924332</v>
      </c>
    </row>
    <row r="134" spans="1:23" ht="9.9499999999999993" customHeight="1" x14ac:dyDescent="0.15">
      <c r="A134" s="2" t="s">
        <v>48</v>
      </c>
      <c r="B134" s="96"/>
      <c r="C134" s="97"/>
      <c r="D134" s="97"/>
      <c r="E134" s="14">
        <f t="shared" si="19"/>
        <v>29410.644300185901</v>
      </c>
      <c r="F134" s="98"/>
      <c r="G134" s="101"/>
      <c r="H134" s="15"/>
      <c r="I134" s="41"/>
      <c r="J134" s="103"/>
      <c r="L134" s="2" t="s">
        <v>48</v>
      </c>
      <c r="M134" s="14">
        <f>$E134*$B$99*B$237/100+$E134*$B$100*B$238/100+$E134*$B$101*B$248/100</f>
        <v>772.81143056067026</v>
      </c>
      <c r="N134" s="14">
        <f>$E134*$B$99*C$237/100+$E134*$B$100*C$238/100+$E134*$B$101*C$248/100</f>
        <v>1830.4548548728426</v>
      </c>
      <c r="O134" s="14">
        <f>$E134*$B$99*D$237/100+$E134*$B$100*D$238/100+$E134*$B$101*D$248/100</f>
        <v>4916.9897776700054</v>
      </c>
      <c r="P134" s="14">
        <f>$E134*$B$99*E$237/100+$E134*$B$100*E$238/100+$E134*$B$101*E$248/100</f>
        <v>4765.3202336213817</v>
      </c>
      <c r="Q134" s="14">
        <f>$E134*$B$99*F$237/100+$E134*$B$100*F$238/100+$E134*$B$101*F$248/100</f>
        <v>1968.3881532500104</v>
      </c>
      <c r="R134" s="14">
        <f>$E134*$B$99*G$237/100+$E134*$B$100*G$238/100+$E134*$B$101*G$248/100</f>
        <v>3757.7092740402586</v>
      </c>
      <c r="S134" s="14">
        <f>$E134*$B$99*H$237/100+$E134*$B$100*H$238/100+$E134*$B$101*H$248/100</f>
        <v>2417.1144421288714</v>
      </c>
      <c r="T134" s="14">
        <f>$E134*$B$99*I$237/100+$E134*$B$100*I$238/100+$E134*$B$101*I$248/100</f>
        <v>1364.8694097339999</v>
      </c>
      <c r="U134" s="14">
        <f>$E134*$B$99*J$237/100+$E134*$B$100*J$238/100+$E134*$B$101*J$248/100</f>
        <v>7616.9867243078597</v>
      </c>
      <c r="V134" s="14">
        <f t="shared" si="17"/>
        <v>29410.644300185901</v>
      </c>
    </row>
    <row r="135" spans="1:23" ht="9.9499999999999993" customHeight="1" x14ac:dyDescent="0.15">
      <c r="A135" s="2" t="s">
        <v>150</v>
      </c>
      <c r="B135" s="96"/>
      <c r="C135" s="97"/>
      <c r="D135" s="97"/>
      <c r="E135" s="14">
        <f t="shared" si="19"/>
        <v>2028.4995989469001</v>
      </c>
      <c r="F135" s="98"/>
      <c r="G135" s="101"/>
      <c r="H135" s="15"/>
      <c r="I135" s="41"/>
      <c r="J135" s="103"/>
      <c r="L135" s="2" t="s">
        <v>150</v>
      </c>
      <c r="M135" s="14">
        <f>$E135*$B$99*B$237/100+$E135*$B$100*B$238/100+$E135*$B$101*B$248/100</f>
        <v>53.30205149378488</v>
      </c>
      <c r="N135" s="14">
        <f>$E135*$B$99*C$237/100+$E135*$B$100*C$238/100+$E135*$B$101*C$248/100</f>
        <v>126.24942524555632</v>
      </c>
      <c r="O135" s="14">
        <f>$E135*$B$99*D$237/100+$E135*$B$100*D$238/100+$E135*$B$101*D$248/100</f>
        <v>339.13271978086414</v>
      </c>
      <c r="P135" s="14">
        <f>$E135*$B$99*E$237/100+$E135*$B$100*E$238/100+$E135*$B$101*E$248/100</f>
        <v>328.67182657040331</v>
      </c>
      <c r="Q135" s="14">
        <f>$E135*$B$99*F$237/100+$E135*$B$100*F$238/100+$E135*$B$101*F$248/100</f>
        <v>135.76290742512691</v>
      </c>
      <c r="R135" s="14">
        <f>$E135*$B$99*G$237/100+$E135*$B$100*G$238/100+$E135*$B$101*G$248/100</f>
        <v>259.17527265125335</v>
      </c>
      <c r="S135" s="14">
        <f>$E135*$B$99*H$237/100+$E135*$B$100*H$238/100+$E135*$B$101*H$248/100</f>
        <v>166.71228370322319</v>
      </c>
      <c r="T135" s="14">
        <f>$E135*$B$99*I$237/100+$E135*$B$100*I$238/100+$E135*$B$101*I$248/100</f>
        <v>94.137245753667855</v>
      </c>
      <c r="U135" s="14">
        <f>$E135*$B$99*J$237/100+$E135*$B$100*J$238/100+$E135*$B$101*J$248/100</f>
        <v>525.35586632302011</v>
      </c>
      <c r="V135" s="14">
        <f t="shared" si="17"/>
        <v>2028.4995989469003</v>
      </c>
      <c r="W135" s="14"/>
    </row>
    <row r="136" spans="1:23" ht="9.9499999999999993" customHeight="1" x14ac:dyDescent="0.15">
      <c r="A136" s="2" t="s">
        <v>25</v>
      </c>
      <c r="B136" s="104" t="s">
        <v>151</v>
      </c>
      <c r="C136" s="97" t="s">
        <v>152</v>
      </c>
      <c r="D136" s="97"/>
      <c r="E136" s="14">
        <f>U63</f>
        <v>0</v>
      </c>
      <c r="F136" s="98">
        <f t="shared" ref="F136:F144" si="20">E136/$E$146</f>
        <v>0</v>
      </c>
      <c r="G136" s="101"/>
      <c r="H136" s="15"/>
      <c r="I136" s="41"/>
      <c r="J136" s="99"/>
      <c r="L136" s="2" t="s">
        <v>25</v>
      </c>
      <c r="M136" s="14">
        <f>$E136/100*B237</f>
        <v>0</v>
      </c>
      <c r="N136" s="14">
        <f>$E136/100*C237</f>
        <v>0</v>
      </c>
      <c r="O136" s="14">
        <f>$E136/100*D237</f>
        <v>0</v>
      </c>
      <c r="P136" s="14">
        <f>$E136/100*E237</f>
        <v>0</v>
      </c>
      <c r="Q136" s="14">
        <f>$E136/100*F237</f>
        <v>0</v>
      </c>
      <c r="R136" s="14">
        <f>$E136/100*G237</f>
        <v>0</v>
      </c>
      <c r="S136" s="14">
        <f>$E136/100*H237</f>
        <v>0</v>
      </c>
      <c r="T136" s="14">
        <f>$E136/100*I237</f>
        <v>0</v>
      </c>
      <c r="U136" s="14">
        <f>$E136/100*J237</f>
        <v>0</v>
      </c>
      <c r="V136" s="14">
        <f t="shared" si="17"/>
        <v>0</v>
      </c>
    </row>
    <row r="137" spans="1:23" ht="9.9499999999999993" customHeight="1" x14ac:dyDescent="0.15">
      <c r="A137" s="2" t="s">
        <v>153</v>
      </c>
      <c r="B137" s="104" t="s">
        <v>151</v>
      </c>
      <c r="C137" s="97" t="s">
        <v>152</v>
      </c>
      <c r="D137" s="97"/>
      <c r="E137" s="14">
        <f>U66</f>
        <v>3.9851130000000001</v>
      </c>
      <c r="F137" s="98">
        <f t="shared" si="20"/>
        <v>4.5044654250735301E-7</v>
      </c>
      <c r="G137" s="101"/>
      <c r="H137" s="15"/>
      <c r="I137" s="41"/>
      <c r="J137" s="95"/>
      <c r="L137" s="2" t="s">
        <v>153</v>
      </c>
      <c r="M137" s="14">
        <f>$E137/100*B237</f>
        <v>0.13550287283710666</v>
      </c>
      <c r="N137" s="14">
        <f>$E137/100*C237</f>
        <v>0.26379767679238364</v>
      </c>
      <c r="O137" s="14">
        <f>$E137/100*D237</f>
        <v>0.76586289182129363</v>
      </c>
      <c r="P137" s="14">
        <f>$E137/100*E237</f>
        <v>0.67055957613432138</v>
      </c>
      <c r="Q137" s="14">
        <f>$E137/100*F237</f>
        <v>0.25094059163217064</v>
      </c>
      <c r="R137" s="14">
        <f>$E137/100*G237</f>
        <v>0.57323760274115265</v>
      </c>
      <c r="S137" s="14">
        <f>$E137/100*H237</f>
        <v>0.33643615260844517</v>
      </c>
      <c r="T137" s="14">
        <f>$E137/100*I237</f>
        <v>0.17570290429591259</v>
      </c>
      <c r="U137" s="14">
        <f>$E137/100*J237</f>
        <v>0.81307273113721346</v>
      </c>
      <c r="V137" s="14">
        <f t="shared" si="17"/>
        <v>3.9851130000000001</v>
      </c>
    </row>
    <row r="138" spans="1:23" ht="9.9499999999999993" customHeight="1" x14ac:dyDescent="0.15">
      <c r="A138" s="2" t="s">
        <v>34</v>
      </c>
      <c r="B138" s="96">
        <v>0.4</v>
      </c>
      <c r="C138" s="97" t="s">
        <v>141</v>
      </c>
      <c r="D138" s="97"/>
      <c r="E138" s="14">
        <f>$U$70*B138</f>
        <v>38317.081572874326</v>
      </c>
      <c r="F138" s="98">
        <f t="shared" si="20"/>
        <v>4.3310683821195153E-3</v>
      </c>
      <c r="G138" s="101"/>
      <c r="H138" s="15"/>
      <c r="I138" s="105"/>
      <c r="J138" s="106"/>
      <c r="L138" s="2" t="s">
        <v>34</v>
      </c>
      <c r="M138" s="14">
        <f>$E138/100*B237</f>
        <v>1302.8676054752357</v>
      </c>
      <c r="N138" s="14">
        <f>$E138/100*C237</f>
        <v>2536.429230586059</v>
      </c>
      <c r="O138" s="14">
        <f>$E138/100*D237</f>
        <v>7363.8139996416494</v>
      </c>
      <c r="P138" s="14">
        <f>$E138/100*E237</f>
        <v>6447.4673561855898</v>
      </c>
      <c r="Q138" s="14">
        <f>$E138/100*F237</f>
        <v>2412.8076467380542</v>
      </c>
      <c r="R138" s="14">
        <f>$E138/100*G237</f>
        <v>5511.7112074040751</v>
      </c>
      <c r="S138" s="14">
        <f>$E138/100*H237</f>
        <v>3234.8521870174795</v>
      </c>
      <c r="T138" s="14">
        <f>$E138/100*I237</f>
        <v>1689.393127998482</v>
      </c>
      <c r="U138" s="14">
        <f>$E138/100*J237</f>
        <v>7817.7392118277012</v>
      </c>
      <c r="V138" s="14">
        <f t="shared" si="17"/>
        <v>38317.081572874326</v>
      </c>
    </row>
    <row r="139" spans="1:23" ht="9.9499999999999993" customHeight="1" x14ac:dyDescent="0.15">
      <c r="B139" s="96">
        <v>0.6</v>
      </c>
      <c r="C139" s="97" t="s">
        <v>154</v>
      </c>
      <c r="D139" s="97"/>
      <c r="E139" s="14">
        <f>$U$70*B139</f>
        <v>57475.622359311477</v>
      </c>
      <c r="F139" s="98">
        <f t="shared" si="20"/>
        <v>6.496602573179272E-3</v>
      </c>
      <c r="G139" s="101"/>
      <c r="H139" s="15"/>
      <c r="I139" s="105"/>
      <c r="J139" s="106"/>
      <c r="M139" s="14">
        <f>$E139/100*B246</f>
        <v>67.821234383987544</v>
      </c>
      <c r="N139" s="14">
        <f>$E139/100*C246</f>
        <v>585.67659184138392</v>
      </c>
      <c r="O139" s="14">
        <f>$E139/100*D246</f>
        <v>8317.2973116159628</v>
      </c>
      <c r="P139" s="14">
        <f>$E139/100*E246</f>
        <v>4165.8331086028966</v>
      </c>
      <c r="Q139" s="14">
        <f>$E139/100*F246</f>
        <v>2837.5714758792078</v>
      </c>
      <c r="R139" s="14">
        <f>$E139/100*G246</f>
        <v>1425.3954345109246</v>
      </c>
      <c r="S139" s="14">
        <f>$E139/100*H246</f>
        <v>619.01245280978458</v>
      </c>
      <c r="T139" s="14">
        <f>$E139/100*I246</f>
        <v>458.0807102037125</v>
      </c>
      <c r="U139" s="14">
        <f>$E139/100*J246</f>
        <v>38998.934039463617</v>
      </c>
      <c r="V139" s="14">
        <f t="shared" si="17"/>
        <v>57475.622359311477</v>
      </c>
    </row>
    <row r="140" spans="1:23" ht="9.9499999999999993" customHeight="1" x14ac:dyDescent="0.15">
      <c r="A140" s="2" t="s">
        <v>98</v>
      </c>
      <c r="B140" s="96"/>
      <c r="C140" s="97"/>
      <c r="D140" s="97"/>
      <c r="E140" s="14">
        <f>U71</f>
        <v>0</v>
      </c>
      <c r="F140" s="98">
        <f t="shared" si="20"/>
        <v>0</v>
      </c>
      <c r="G140" s="101"/>
      <c r="H140" s="15"/>
      <c r="I140" s="105"/>
      <c r="J140" s="106"/>
      <c r="L140" s="2" t="s">
        <v>98</v>
      </c>
      <c r="M140" s="14">
        <f>$E$140*B237/100</f>
        <v>0</v>
      </c>
      <c r="N140" s="14">
        <f>$E$140*C237/100</f>
        <v>0</v>
      </c>
      <c r="O140" s="14">
        <f>$E$140*D237/100</f>
        <v>0</v>
      </c>
      <c r="P140" s="14">
        <f>$E$140*E237/100</f>
        <v>0</v>
      </c>
      <c r="Q140" s="14">
        <f>$E$140*F237/100</f>
        <v>0</v>
      </c>
      <c r="R140" s="14">
        <f>$E$140*G237/100</f>
        <v>0</v>
      </c>
      <c r="S140" s="14">
        <f>$E$140*H237/100</f>
        <v>0</v>
      </c>
      <c r="T140" s="14">
        <f>$E$140*I237/100</f>
        <v>0</v>
      </c>
      <c r="U140" s="14">
        <f>$E$140*J237/100</f>
        <v>0</v>
      </c>
      <c r="V140" s="14">
        <f t="shared" si="17"/>
        <v>0</v>
      </c>
    </row>
    <row r="141" spans="1:23" ht="9.9499999999999993" customHeight="1" x14ac:dyDescent="0.15">
      <c r="A141" s="2" t="s">
        <v>36</v>
      </c>
      <c r="B141" s="104" t="s">
        <v>151</v>
      </c>
      <c r="C141" s="97" t="s">
        <v>155</v>
      </c>
      <c r="D141" s="97"/>
      <c r="E141" s="14">
        <f>U72</f>
        <v>758669.30364480009</v>
      </c>
      <c r="F141" s="98">
        <f t="shared" si="20"/>
        <v>8.575414667871685E-2</v>
      </c>
      <c r="G141" s="101"/>
      <c r="H141" s="15"/>
      <c r="I141" s="105"/>
      <c r="J141" s="106"/>
      <c r="L141" s="2" t="s">
        <v>36</v>
      </c>
      <c r="M141" s="14">
        <f>$E141/100*B239</f>
        <v>15300.7272192</v>
      </c>
      <c r="N141" s="14">
        <f>$E141/100*C239</f>
        <v>41311.721164799994</v>
      </c>
      <c r="O141" s="14">
        <f>$E141/100*D239</f>
        <v>114654.44121600001</v>
      </c>
      <c r="P141" s="14">
        <f>$E141/100*E239</f>
        <v>98756.706278400015</v>
      </c>
      <c r="Q141" s="14">
        <f>$E141/100*F239</f>
        <v>60537.499353599997</v>
      </c>
      <c r="R141" s="14">
        <f>$E141/100*G239</f>
        <v>82669.515686400002</v>
      </c>
      <c r="S141" s="14">
        <f>$E141/100*H239</f>
        <v>83986.011734400003</v>
      </c>
      <c r="T141" s="14">
        <f>$E141/100*I239</f>
        <v>40694.783020800009</v>
      </c>
      <c r="U141" s="14">
        <f>$E141/100*J239</f>
        <v>220757.8979712</v>
      </c>
      <c r="V141" s="14">
        <f t="shared" si="17"/>
        <v>758669.30364480009</v>
      </c>
    </row>
    <row r="142" spans="1:23" ht="9.9499999999999993" customHeight="1" x14ac:dyDescent="0.15">
      <c r="A142" s="2" t="s">
        <v>37</v>
      </c>
      <c r="B142" s="104" t="s">
        <v>151</v>
      </c>
      <c r="C142" s="97" t="s">
        <v>156</v>
      </c>
      <c r="D142" s="97"/>
      <c r="E142" s="14">
        <f>U73</f>
        <v>5614.2969984000001</v>
      </c>
      <c r="F142" s="98">
        <f t="shared" si="20"/>
        <v>6.3459697919198029E-4</v>
      </c>
      <c r="G142" s="101"/>
      <c r="H142" s="15"/>
      <c r="I142" s="15"/>
      <c r="J142" s="106"/>
      <c r="L142" s="2" t="s">
        <v>37</v>
      </c>
      <c r="M142" s="14">
        <f>$E142/100*B240</f>
        <v>155.42436480000003</v>
      </c>
      <c r="N142" s="14">
        <f>$E142/100*C240</f>
        <v>464.94472320000011</v>
      </c>
      <c r="O142" s="14">
        <f>$E142/100*D240</f>
        <v>972.61578240000028</v>
      </c>
      <c r="P142" s="14">
        <f>$E142/100*E240</f>
        <v>1153.2625056000002</v>
      </c>
      <c r="Q142" s="14">
        <f>$E142/100*F240</f>
        <v>412.49898240000005</v>
      </c>
      <c r="R142" s="14">
        <f>$E142/100*G240</f>
        <v>762.94175039999993</v>
      </c>
      <c r="S142" s="14">
        <f>$E142/100*H240</f>
        <v>632.61415680000005</v>
      </c>
      <c r="T142" s="14">
        <f>$E142/100*I240</f>
        <v>123.97563840000002</v>
      </c>
      <c r="U142" s="14">
        <f>$E142/100*J240</f>
        <v>936.01909440000009</v>
      </c>
      <c r="V142" s="14">
        <f t="shared" si="17"/>
        <v>5614.296998400001</v>
      </c>
    </row>
    <row r="143" spans="1:23" ht="9.9499999999999993" customHeight="1" x14ac:dyDescent="0.15">
      <c r="A143" s="2" t="s">
        <v>121</v>
      </c>
      <c r="B143" s="104" t="s">
        <v>151</v>
      </c>
      <c r="C143" s="97" t="s">
        <v>157</v>
      </c>
      <c r="D143" s="97"/>
      <c r="E143" s="14">
        <f>U86</f>
        <v>3425.9009532</v>
      </c>
      <c r="F143" s="98">
        <f t="shared" si="20"/>
        <v>3.8723751104211728E-4</v>
      </c>
      <c r="G143" s="107"/>
      <c r="J143" s="106"/>
      <c r="L143" s="2" t="s">
        <v>121</v>
      </c>
      <c r="M143" s="14">
        <f>$E143/100*B242</f>
        <v>0</v>
      </c>
      <c r="N143" s="14">
        <f>$E143/100*C242</f>
        <v>319</v>
      </c>
      <c r="O143" s="14">
        <f>$E143/100*D242</f>
        <v>319</v>
      </c>
      <c r="P143" s="14">
        <f>$E143/100*E242</f>
        <v>319</v>
      </c>
      <c r="Q143" s="14">
        <f>$E143/100*F242</f>
        <v>356.67354360000002</v>
      </c>
      <c r="R143" s="14">
        <f>$E143/100*G242</f>
        <v>319</v>
      </c>
      <c r="S143" s="14">
        <f>$E143/100*H242</f>
        <v>957</v>
      </c>
      <c r="T143" s="14">
        <f>$E143/100*I242</f>
        <v>517.22740959999999</v>
      </c>
      <c r="U143" s="14">
        <f>$E143/100*J242</f>
        <v>319</v>
      </c>
      <c r="V143" s="14">
        <f t="shared" si="17"/>
        <v>3425.9009532</v>
      </c>
    </row>
    <row r="144" spans="1:23" ht="9.9499999999999993" customHeight="1" x14ac:dyDescent="0.15">
      <c r="A144" s="2" t="s">
        <v>124</v>
      </c>
      <c r="B144" s="104" t="s">
        <v>151</v>
      </c>
      <c r="C144" s="97" t="s">
        <v>158</v>
      </c>
      <c r="D144" s="97"/>
      <c r="E144" s="14">
        <f>U87</f>
        <v>7099.8263395000013</v>
      </c>
      <c r="F144" s="98">
        <f t="shared" si="20"/>
        <v>8.0250979759680888E-4</v>
      </c>
      <c r="G144" s="107"/>
      <c r="J144" s="106"/>
      <c r="L144" s="2" t="s">
        <v>124</v>
      </c>
      <c r="M144" s="14">
        <f>$E144/100*B243</f>
        <v>0</v>
      </c>
      <c r="N144" s="14">
        <f>$E144/100*C243</f>
        <v>534.45278979999989</v>
      </c>
      <c r="O144" s="14">
        <f>$E144/100*D243</f>
        <v>446.38805769999999</v>
      </c>
      <c r="P144" s="14">
        <f>$E144/100*E243</f>
        <v>603.06528579999997</v>
      </c>
      <c r="Q144" s="14">
        <f>$E144/100*F243</f>
        <v>634.93377869999983</v>
      </c>
      <c r="R144" s="14">
        <f>$E144/100*G243</f>
        <v>184.39882470000001</v>
      </c>
      <c r="S144" s="14">
        <f>$E144/100*H243</f>
        <v>1086.8049438</v>
      </c>
      <c r="T144" s="14">
        <f>$E144/100*I243</f>
        <v>2238.9372760000001</v>
      </c>
      <c r="U144" s="14">
        <f>$E144/100*J243</f>
        <v>1370.8453829999999</v>
      </c>
      <c r="V144" s="14">
        <f t="shared" si="17"/>
        <v>7099.8263394999994</v>
      </c>
    </row>
    <row r="145" spans="1:22" ht="9.9499999999999993" customHeight="1" x14ac:dyDescent="0.15">
      <c r="E145" s="14"/>
      <c r="F145" s="95"/>
      <c r="J145" s="106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ht="9.9499999999999993" customHeight="1" x14ac:dyDescent="0.15">
      <c r="A146" s="2" t="s">
        <v>159</v>
      </c>
      <c r="E146" s="14">
        <f>SUM(E110:E144)+E104</f>
        <v>8847027.6135706995</v>
      </c>
      <c r="F146" s="98">
        <f>SUM(F99:F144)</f>
        <v>0.99999999999999978</v>
      </c>
      <c r="J146" s="106"/>
      <c r="L146" s="2" t="s">
        <v>160</v>
      </c>
      <c r="M146" s="90">
        <f t="shared" ref="M146:U146" si="21">SUM(M110:M144)</f>
        <v>234974.98132956389</v>
      </c>
      <c r="N146" s="90">
        <f t="shared" si="21"/>
        <v>564974.18759342562</v>
      </c>
      <c r="O146" s="90">
        <f t="shared" si="21"/>
        <v>1494725.5239760021</v>
      </c>
      <c r="P146" s="90">
        <f t="shared" si="21"/>
        <v>1417936.8850571795</v>
      </c>
      <c r="Q146" s="90">
        <f t="shared" si="21"/>
        <v>616626.36776128062</v>
      </c>
      <c r="R146" s="90">
        <f t="shared" si="21"/>
        <v>1143681.8499592005</v>
      </c>
      <c r="S146" s="90">
        <f t="shared" si="21"/>
        <v>780998.33581753669</v>
      </c>
      <c r="T146" s="90">
        <f t="shared" si="21"/>
        <v>418188.02141839796</v>
      </c>
      <c r="U146" s="90">
        <f t="shared" si="21"/>
        <v>2302079.605658113</v>
      </c>
      <c r="V146" s="90">
        <f>SUM(M146:U146)</f>
        <v>8974185.758570699</v>
      </c>
    </row>
    <row r="147" spans="1:22" ht="9.9499999999999993" customHeight="1" x14ac:dyDescent="0.15">
      <c r="E147" s="14"/>
      <c r="F147" s="95"/>
      <c r="J147" s="106"/>
      <c r="L147" s="108"/>
      <c r="M147" s="108"/>
      <c r="N147" s="108"/>
      <c r="O147" s="108"/>
      <c r="P147" s="108"/>
      <c r="Q147" s="108"/>
      <c r="R147" s="108"/>
      <c r="S147" s="108"/>
      <c r="T147" s="108"/>
      <c r="U147" s="14"/>
      <c r="V147" s="14"/>
    </row>
    <row r="148" spans="1:22" ht="9.9499999999999993" customHeight="1" x14ac:dyDescent="0.15">
      <c r="E148" s="14"/>
      <c r="F148" s="98"/>
      <c r="J148" s="106"/>
      <c r="L148" s="2" t="s">
        <v>161</v>
      </c>
      <c r="M148" s="14">
        <f>M146-M117-M138-M139-M143-M144</f>
        <v>232932.99348970465</v>
      </c>
      <c r="N148" s="14">
        <f t="shared" ref="N148:U148" si="22">N146-N117-N138-N139-N143-N144</f>
        <v>557994.19998119818</v>
      </c>
      <c r="O148" s="14">
        <f t="shared" si="22"/>
        <v>1472094.8366070446</v>
      </c>
      <c r="P148" s="14">
        <f t="shared" si="22"/>
        <v>1399387.9193065909</v>
      </c>
      <c r="Q148" s="14">
        <f t="shared" si="22"/>
        <v>606228.78131636349</v>
      </c>
      <c r="R148" s="14">
        <f t="shared" si="22"/>
        <v>1130903.1564925855</v>
      </c>
      <c r="S148" s="14">
        <f t="shared" si="22"/>
        <v>772090.65023390949</v>
      </c>
      <c r="T148" s="14">
        <f t="shared" si="22"/>
        <v>410315.96489459579</v>
      </c>
      <c r="U148" s="14">
        <f t="shared" si="22"/>
        <v>2253573.0870238217</v>
      </c>
      <c r="V148" s="14">
        <f>SUM(M148:U148)</f>
        <v>8835521.5893458128</v>
      </c>
    </row>
    <row r="149" spans="1:22" ht="9.9499999999999993" customHeight="1" x14ac:dyDescent="0.15">
      <c r="F149" s="106"/>
      <c r="I149" s="106"/>
      <c r="L149" s="109">
        <v>7.5999999999999998E-2</v>
      </c>
      <c r="M149" s="14">
        <f>M$148*$L149</f>
        <v>17702.907505217554</v>
      </c>
      <c r="N149" s="14">
        <f t="shared" ref="N149:U150" si="23">N$148*$L149</f>
        <v>42407.559198571063</v>
      </c>
      <c r="O149" s="14">
        <f t="shared" si="23"/>
        <v>111879.20758213538</v>
      </c>
      <c r="P149" s="14">
        <f t="shared" si="23"/>
        <v>106353.48186730091</v>
      </c>
      <c r="Q149" s="14">
        <f t="shared" si="23"/>
        <v>46073.387380043627</v>
      </c>
      <c r="R149" s="14">
        <f t="shared" si="23"/>
        <v>85948.639893436499</v>
      </c>
      <c r="S149" s="14">
        <f t="shared" si="23"/>
        <v>58678.889417777122</v>
      </c>
      <c r="T149" s="14">
        <f t="shared" si="23"/>
        <v>31184.013331989278</v>
      </c>
      <c r="U149" s="14">
        <f t="shared" si="23"/>
        <v>171271.55461381044</v>
      </c>
      <c r="V149" s="14">
        <f>SUM(M149:U149)</f>
        <v>671499.64079028193</v>
      </c>
    </row>
    <row r="150" spans="1:22" ht="9.9499999999999993" customHeight="1" x14ac:dyDescent="0.15">
      <c r="F150" s="106"/>
      <c r="I150" s="106"/>
      <c r="L150" s="109">
        <v>0.127</v>
      </c>
      <c r="M150" s="14">
        <f>M$148*$L150</f>
        <v>29582.490173192491</v>
      </c>
      <c r="N150" s="14">
        <f t="shared" si="23"/>
        <v>70865.263397612172</v>
      </c>
      <c r="O150" s="14">
        <f t="shared" si="23"/>
        <v>186956.04424909467</v>
      </c>
      <c r="P150" s="14">
        <f t="shared" si="23"/>
        <v>177722.26575193706</v>
      </c>
      <c r="Q150" s="14">
        <f t="shared" si="23"/>
        <v>76991.055227178163</v>
      </c>
      <c r="R150" s="14">
        <f t="shared" si="23"/>
        <v>143624.70087455836</v>
      </c>
      <c r="S150" s="14">
        <f t="shared" si="23"/>
        <v>98055.512579706512</v>
      </c>
      <c r="T150" s="14">
        <f t="shared" si="23"/>
        <v>52110.127541613663</v>
      </c>
      <c r="U150" s="14">
        <f t="shared" si="23"/>
        <v>286203.78205202537</v>
      </c>
      <c r="V150" s="14">
        <f>SUM(M150:U150)</f>
        <v>1122111.2418469184</v>
      </c>
    </row>
    <row r="151" spans="1:22" ht="9.9499999999999993" customHeight="1" x14ac:dyDescent="0.15">
      <c r="F151" s="106"/>
      <c r="I151" s="106"/>
      <c r="L151" s="109" t="s">
        <v>162</v>
      </c>
      <c r="M151" s="14">
        <v>-70.535192277047358</v>
      </c>
      <c r="N151" s="14">
        <v>-171.48180783543071</v>
      </c>
      <c r="O151" s="14">
        <v>-441.16912591375745</v>
      </c>
      <c r="P151" s="14">
        <v>-424.13391284254521</v>
      </c>
      <c r="Q151" s="14">
        <v>-186.66552766353712</v>
      </c>
      <c r="R151" s="14">
        <v>-346.60302469037697</v>
      </c>
      <c r="S151" s="14">
        <v>-234.59602176396635</v>
      </c>
      <c r="T151" s="14">
        <v>-124.81538701333911</v>
      </c>
      <c r="U151" s="90">
        <v>0</v>
      </c>
      <c r="V151" s="14">
        <v>-2000</v>
      </c>
    </row>
    <row r="152" spans="1:22" ht="9.9499999999999993" customHeight="1" x14ac:dyDescent="0.15">
      <c r="F152" s="106"/>
      <c r="J152" s="106"/>
      <c r="L152" s="47" t="s">
        <v>146</v>
      </c>
      <c r="M152" s="14">
        <f>-B232</f>
        <v>-6376</v>
      </c>
      <c r="N152" s="14">
        <f t="shared" ref="N152:U152" si="24">-C232</f>
        <v>-12324.5</v>
      </c>
      <c r="O152" s="14">
        <f t="shared" si="24"/>
        <v>-35492</v>
      </c>
      <c r="P152" s="14">
        <f t="shared" si="24"/>
        <v>-19788.580000000002</v>
      </c>
      <c r="Q152" s="14">
        <f t="shared" si="24"/>
        <v>-9267.5</v>
      </c>
      <c r="R152" s="14">
        <f t="shared" si="24"/>
        <v>-27473.764999999999</v>
      </c>
      <c r="S152" s="14">
        <f t="shared" si="24"/>
        <v>-10549</v>
      </c>
      <c r="T152" s="14">
        <f t="shared" si="24"/>
        <v>-5886.8</v>
      </c>
      <c r="U152" s="14">
        <f t="shared" si="24"/>
        <v>0</v>
      </c>
      <c r="V152" s="14">
        <f>SUM(M152:U152)</f>
        <v>-127158.145</v>
      </c>
    </row>
    <row r="153" spans="1:22" ht="9.9499999999999993" customHeight="1" x14ac:dyDescent="0.15">
      <c r="F153" s="106"/>
      <c r="J153" s="106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1:22" ht="9.9499999999999993" customHeight="1" x14ac:dyDescent="0.15">
      <c r="F154" s="106"/>
      <c r="J154" s="106"/>
      <c r="K154" s="90"/>
      <c r="L154" s="2" t="s">
        <v>163</v>
      </c>
      <c r="M154" s="110">
        <f t="shared" ref="M154:U154" si="25">M146+M151+M152</f>
        <v>228528.44613728684</v>
      </c>
      <c r="N154" s="110">
        <f t="shared" si="25"/>
        <v>552478.20578559022</v>
      </c>
      <c r="O154" s="110">
        <f t="shared" si="25"/>
        <v>1458792.3548500885</v>
      </c>
      <c r="P154" s="110">
        <f t="shared" si="25"/>
        <v>1397724.1711443369</v>
      </c>
      <c r="Q154" s="110">
        <f t="shared" si="25"/>
        <v>607172.20223361708</v>
      </c>
      <c r="R154" s="110">
        <f t="shared" si="25"/>
        <v>1115861.4819345102</v>
      </c>
      <c r="S154" s="110">
        <f t="shared" si="25"/>
        <v>770214.73979577271</v>
      </c>
      <c r="T154" s="110">
        <f t="shared" si="25"/>
        <v>412176.40603138466</v>
      </c>
      <c r="U154" s="110">
        <f t="shared" si="25"/>
        <v>2302079.605658113</v>
      </c>
      <c r="V154" s="90">
        <f>SUM(M154:U154)</f>
        <v>8845027.6135707013</v>
      </c>
    </row>
    <row r="155" spans="1:22" ht="9.9499999999999993" customHeight="1" x14ac:dyDescent="0.15">
      <c r="F155" s="106"/>
      <c r="J155" s="106"/>
      <c r="K155" s="90"/>
    </row>
    <row r="156" spans="1:22" ht="9.9499999999999993" customHeight="1" x14ac:dyDescent="0.15">
      <c r="F156" s="106"/>
      <c r="J156" s="106"/>
      <c r="L156" s="90"/>
      <c r="M156" s="90"/>
      <c r="N156" s="90"/>
      <c r="O156" s="90"/>
      <c r="P156" s="90"/>
      <c r="Q156" s="90"/>
      <c r="R156" s="90"/>
      <c r="S156" s="90"/>
      <c r="T156" s="90"/>
    </row>
    <row r="157" spans="1:22" ht="9.9499999999999993" customHeight="1" x14ac:dyDescent="0.15">
      <c r="E157" s="106"/>
      <c r="J157" s="106"/>
      <c r="L157" s="90"/>
      <c r="M157" s="90"/>
      <c r="N157" s="90"/>
      <c r="O157" s="90"/>
      <c r="P157" s="90"/>
      <c r="Q157" s="90"/>
      <c r="R157" s="90"/>
      <c r="S157" s="90"/>
      <c r="T157" s="90"/>
    </row>
    <row r="158" spans="1:22" ht="9.9499999999999993" customHeight="1" x14ac:dyDescent="0.15">
      <c r="F158" s="106"/>
      <c r="J158" s="106"/>
      <c r="L158" s="1" t="s">
        <v>164</v>
      </c>
      <c r="M158" s="14"/>
      <c r="N158" s="14"/>
      <c r="O158" s="14"/>
      <c r="P158" s="14"/>
      <c r="Q158" s="14"/>
      <c r="R158" s="14"/>
      <c r="S158" s="14"/>
      <c r="T158" s="14"/>
      <c r="U158" s="14"/>
    </row>
    <row r="159" spans="1:22" ht="9.9499999999999993" customHeight="1" x14ac:dyDescent="0.2">
      <c r="F159" s="106"/>
      <c r="G159" s="94"/>
      <c r="H159" s="111"/>
      <c r="I159" s="111"/>
      <c r="J159" s="92"/>
      <c r="L159" s="14"/>
      <c r="M159" s="14"/>
      <c r="N159" s="14"/>
      <c r="O159" s="14"/>
      <c r="P159" s="14"/>
      <c r="Q159" s="14"/>
      <c r="R159" s="14"/>
      <c r="S159" s="14"/>
      <c r="T159" s="14"/>
      <c r="U159" s="14"/>
    </row>
    <row r="160" spans="1:22" ht="9.9499999999999993" customHeight="1" x14ac:dyDescent="0.15">
      <c r="A160" s="1" t="s">
        <v>164</v>
      </c>
      <c r="F160" s="106"/>
      <c r="G160" s="16"/>
      <c r="H160" s="94"/>
      <c r="I160" s="94"/>
      <c r="J160" s="95"/>
      <c r="M160" s="20" t="s">
        <v>129</v>
      </c>
      <c r="N160" s="20" t="s">
        <v>130</v>
      </c>
      <c r="O160" s="20" t="s">
        <v>131</v>
      </c>
      <c r="P160" s="20" t="s">
        <v>132</v>
      </c>
      <c r="Q160" s="20" t="s">
        <v>133</v>
      </c>
      <c r="R160" s="20" t="s">
        <v>134</v>
      </c>
      <c r="S160" s="20" t="s">
        <v>135</v>
      </c>
      <c r="T160" s="20" t="s">
        <v>136</v>
      </c>
      <c r="U160" s="20" t="s">
        <v>137</v>
      </c>
      <c r="V160" s="60" t="s">
        <v>52</v>
      </c>
    </row>
    <row r="161" spans="1:22" ht="9.9499999999999993" customHeight="1" x14ac:dyDescent="0.15">
      <c r="D161" s="47" t="s">
        <v>165</v>
      </c>
      <c r="E161" s="129" t="s">
        <v>138</v>
      </c>
      <c r="F161" s="95" t="s">
        <v>139</v>
      </c>
      <c r="G161" s="16"/>
      <c r="I161" s="14"/>
      <c r="J161" s="99"/>
      <c r="L161" s="47" t="s">
        <v>166</v>
      </c>
    </row>
    <row r="162" spans="1:22" ht="9.9499999999999993" customHeight="1" x14ac:dyDescent="0.15">
      <c r="A162" s="2" t="s">
        <v>140</v>
      </c>
      <c r="B162" s="96">
        <v>0.77017000000000002</v>
      </c>
      <c r="C162" s="97" t="s">
        <v>141</v>
      </c>
      <c r="D162" s="130">
        <v>-1780500</v>
      </c>
      <c r="E162" s="130">
        <f>(T89-T60-T61-T63-T66-T68-T70-T71-T72-T73-T86-T87)*B162+D162</f>
        <v>8943775.7807417382</v>
      </c>
      <c r="F162" s="98">
        <f>E162/$E$208</f>
        <v>0.61744428211366875</v>
      </c>
      <c r="G162" s="16"/>
      <c r="J162" s="99"/>
      <c r="L162" s="47" t="s">
        <v>141</v>
      </c>
      <c r="M162" s="14">
        <f>$E162/100*B237</f>
        <v>304108.64442274085</v>
      </c>
      <c r="N162" s="14">
        <f>$E162/100*C237</f>
        <v>592040.24395585724</v>
      </c>
      <c r="O162" s="14">
        <f>$E162/100*D237</f>
        <v>1718823.5272726559</v>
      </c>
      <c r="P162" s="14">
        <f>$E162/100*E237</f>
        <v>1504934.6145453313</v>
      </c>
      <c r="Q162" s="14">
        <f>$E162/100*F237</f>
        <v>563185.13072146534</v>
      </c>
      <c r="R162" s="14">
        <f>$E162/100*G237</f>
        <v>1286515.2350778447</v>
      </c>
      <c r="S162" s="14">
        <f>$E162/100*H237</f>
        <v>755062.53234609484</v>
      </c>
      <c r="T162" s="14">
        <f>$E162/100*I237</f>
        <v>394329.44060752273</v>
      </c>
      <c r="U162" s="14">
        <f>$E162/100*J237</f>
        <v>1824776.411792225</v>
      </c>
      <c r="V162" s="14">
        <f>SUM(M162:U162)</f>
        <v>8943775.7807417382</v>
      </c>
    </row>
    <row r="163" spans="1:22" ht="9.9499999999999993" customHeight="1" x14ac:dyDescent="0.15">
      <c r="A163" s="108" t="s">
        <v>167</v>
      </c>
      <c r="B163" s="96">
        <v>0.22983000000000001</v>
      </c>
      <c r="C163" s="97" t="s">
        <v>143</v>
      </c>
      <c r="D163" s="130">
        <v>1780500</v>
      </c>
      <c r="E163" s="130">
        <f>(T89-T60-T61-T63-T66-T68-T70-T71-T72-T73-T86-T87)*B163-E164+D163</f>
        <v>4763079.5169282667</v>
      </c>
      <c r="F163" s="98">
        <f>E163/$E$208</f>
        <v>0.32882490405368725</v>
      </c>
      <c r="G163" s="16"/>
      <c r="J163" s="99"/>
      <c r="L163" s="112" t="s">
        <v>143</v>
      </c>
      <c r="M163" s="14">
        <f>$E163/100*B249</f>
        <v>154800.08430016867</v>
      </c>
      <c r="N163" s="14">
        <f>$E163/100*C249</f>
        <v>327747.501559834</v>
      </c>
      <c r="O163" s="14">
        <f>$E163/100*D249</f>
        <v>852495.97193982115</v>
      </c>
      <c r="P163" s="14">
        <f>$E163/100*E249</f>
        <v>753947.85673457535</v>
      </c>
      <c r="Q163" s="14">
        <f>$E163/100*F249</f>
        <v>332272.42710091587</v>
      </c>
      <c r="R163" s="14">
        <f>$E163/100*G249</f>
        <v>654637.64880662109</v>
      </c>
      <c r="S163" s="14">
        <f>$E163/100*H249</f>
        <v>419770.19782688818</v>
      </c>
      <c r="T163" s="14">
        <f>$E163/100*I249</f>
        <v>234486.40461837858</v>
      </c>
      <c r="U163" s="14">
        <f>$E163/100*J249</f>
        <v>1032921.424041064</v>
      </c>
      <c r="V163" s="14">
        <f>SUM(M163:U163)</f>
        <v>4763079.5169282667</v>
      </c>
    </row>
    <row r="164" spans="1:22" ht="9.9499999999999993" customHeight="1" x14ac:dyDescent="0.15">
      <c r="A164" s="2" t="s">
        <v>168</v>
      </c>
      <c r="B164" s="102">
        <v>9.4900000000000002E-3</v>
      </c>
      <c r="C164" s="2" t="s">
        <v>144</v>
      </c>
      <c r="E164" s="14">
        <f>D17*B164</f>
        <v>217701.33364741586</v>
      </c>
      <c r="F164" s="98">
        <f>E164/$E$208</f>
        <v>1.5029272531468714E-2</v>
      </c>
      <c r="G164" s="16"/>
      <c r="J164" s="99"/>
      <c r="L164" s="47" t="s">
        <v>169</v>
      </c>
      <c r="M164" s="14">
        <f>$E164/100*B244</f>
        <v>5599.2783014115357</v>
      </c>
      <c r="N164" s="14">
        <f>$E164/100*C244</f>
        <v>15014.86098166227</v>
      </c>
      <c r="O164" s="14">
        <f>$E164/100*D244</f>
        <v>31460.019725388065</v>
      </c>
      <c r="P164" s="14">
        <f>$E164/100*E244</f>
        <v>29807.666603004178</v>
      </c>
      <c r="Q164" s="14">
        <f>$E164/100*F244</f>
        <v>13996.018740192363</v>
      </c>
      <c r="R164" s="14">
        <f>$E164/100*G244</f>
        <v>28048.639827133058</v>
      </c>
      <c r="S164" s="14">
        <f>$E164/100*H244</f>
        <v>17376.920451736733</v>
      </c>
      <c r="T164" s="14">
        <f>$E164/100*I244</f>
        <v>8091.9585716744459</v>
      </c>
      <c r="U164" s="14">
        <f>$E164/100*J244</f>
        <v>68305.970445213185</v>
      </c>
      <c r="V164" s="14">
        <f>SUM(M164:U164)</f>
        <v>217701.3336474158</v>
      </c>
    </row>
    <row r="165" spans="1:22" ht="9.9499999999999993" customHeight="1" x14ac:dyDescent="0.15">
      <c r="B165" s="102"/>
      <c r="C165" s="2" t="s">
        <v>77</v>
      </c>
      <c r="E165" s="14">
        <f>T60</f>
        <v>79005</v>
      </c>
      <c r="F165" s="98">
        <f>E165/$E$208</f>
        <v>5.4542048799377223E-3</v>
      </c>
      <c r="G165" s="16"/>
      <c r="J165" s="99"/>
      <c r="L165" s="47" t="s">
        <v>77</v>
      </c>
      <c r="M165" s="14">
        <f>B231</f>
        <v>841</v>
      </c>
      <c r="N165" s="14">
        <f t="shared" ref="N165:U165" si="26">C231</f>
        <v>2231</v>
      </c>
      <c r="O165" s="14">
        <f t="shared" si="26"/>
        <v>26585</v>
      </c>
      <c r="P165" s="14">
        <f t="shared" si="26"/>
        <v>2045</v>
      </c>
      <c r="Q165" s="14">
        <f t="shared" si="26"/>
        <v>1832</v>
      </c>
      <c r="R165" s="14">
        <f t="shared" si="26"/>
        <v>3085</v>
      </c>
      <c r="S165" s="14">
        <f t="shared" si="26"/>
        <v>1825</v>
      </c>
      <c r="T165" s="14">
        <f t="shared" si="26"/>
        <v>1449</v>
      </c>
      <c r="U165" s="14">
        <f t="shared" si="26"/>
        <v>39112</v>
      </c>
      <c r="V165" s="14">
        <f>SUM(M165:U165)</f>
        <v>79005</v>
      </c>
    </row>
    <row r="166" spans="1:22" ht="9.9499999999999993" customHeight="1" x14ac:dyDescent="0.15">
      <c r="B166" s="102"/>
      <c r="C166" s="2" t="s">
        <v>80</v>
      </c>
      <c r="E166" s="14">
        <f>T61</f>
        <v>-244655.85499999998</v>
      </c>
      <c r="F166" s="98">
        <f>E166/$E$208</f>
        <v>-1.6890110223990073E-2</v>
      </c>
      <c r="G166" s="16"/>
      <c r="J166" s="99"/>
      <c r="L166" s="47" t="s">
        <v>170</v>
      </c>
      <c r="M166" s="14">
        <f>-B233</f>
        <v>-6376</v>
      </c>
      <c r="N166" s="14">
        <f t="shared" ref="N166:U166" si="27">-C233</f>
        <v>-12324.5</v>
      </c>
      <c r="O166" s="14">
        <f t="shared" si="27"/>
        <v>-37304</v>
      </c>
      <c r="P166" s="14">
        <f t="shared" si="27"/>
        <v>-37457.42</v>
      </c>
      <c r="Q166" s="14">
        <f t="shared" si="27"/>
        <v>-9267.5</v>
      </c>
      <c r="R166" s="14">
        <f t="shared" si="27"/>
        <v>-38818.235000000001</v>
      </c>
      <c r="S166" s="14">
        <f t="shared" si="27"/>
        <v>-19591</v>
      </c>
      <c r="T166" s="14">
        <f t="shared" si="27"/>
        <v>-8830.2000000000007</v>
      </c>
      <c r="U166" s="14">
        <f t="shared" si="27"/>
        <v>-74687</v>
      </c>
      <c r="V166" s="14">
        <f>SUM(M166:U166)</f>
        <v>-244655.85500000001</v>
      </c>
    </row>
    <row r="167" spans="1:22" ht="9.9499999999999993" customHeight="1" x14ac:dyDescent="0.15">
      <c r="B167" s="96"/>
      <c r="D167" s="14"/>
      <c r="E167" s="14"/>
      <c r="F167" s="98"/>
      <c r="G167" s="16"/>
      <c r="J167" s="99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9.9499999999999993" customHeight="1" x14ac:dyDescent="0.15">
      <c r="B168" s="113"/>
      <c r="E168" s="14"/>
      <c r="F168" s="98"/>
      <c r="G168" s="16"/>
      <c r="J168" s="99"/>
      <c r="L168" s="2" t="s">
        <v>52</v>
      </c>
      <c r="M168" s="14">
        <f>SUM(M162:M167)</f>
        <v>458973.00702432106</v>
      </c>
      <c r="N168" s="14">
        <f t="shared" ref="N168:U168" si="28">SUM(N162:N167)</f>
        <v>924709.10649735352</v>
      </c>
      <c r="O168" s="14">
        <f t="shared" si="28"/>
        <v>2592060.5189378648</v>
      </c>
      <c r="P168" s="14">
        <f t="shared" si="28"/>
        <v>2253277.7178829107</v>
      </c>
      <c r="Q168" s="14">
        <f t="shared" si="28"/>
        <v>902018.07656257355</v>
      </c>
      <c r="R168" s="14">
        <f t="shared" si="28"/>
        <v>1933468.2887115988</v>
      </c>
      <c r="S168" s="14">
        <f t="shared" si="28"/>
        <v>1174443.6506247197</v>
      </c>
      <c r="T168" s="14">
        <f t="shared" si="28"/>
        <v>629526.60379757581</v>
      </c>
      <c r="U168" s="14">
        <f t="shared" si="28"/>
        <v>2890428.8062785021</v>
      </c>
      <c r="V168" s="14">
        <f>SUM(M168:U168)</f>
        <v>13758905.776317421</v>
      </c>
    </row>
    <row r="169" spans="1:22" ht="9.9499999999999993" customHeight="1" x14ac:dyDescent="0.2">
      <c r="A169" s="100"/>
      <c r="B169" s="114"/>
      <c r="E169" s="14"/>
      <c r="F169" s="98"/>
      <c r="G169" s="16"/>
      <c r="J169" s="99"/>
      <c r="L169" s="100"/>
      <c r="M169" s="14"/>
      <c r="N169" s="14"/>
      <c r="O169" s="14"/>
      <c r="P169" s="14"/>
      <c r="Q169" s="14"/>
      <c r="R169" s="14"/>
      <c r="S169" s="14"/>
      <c r="T169" s="14"/>
      <c r="U169" s="14"/>
      <c r="V169" s="14"/>
    </row>
    <row r="170" spans="1:22" ht="9.9499999999999993" customHeight="1" x14ac:dyDescent="0.15">
      <c r="A170" s="1" t="s">
        <v>147</v>
      </c>
      <c r="B170" s="96"/>
      <c r="E170" s="14"/>
      <c r="F170" s="98"/>
      <c r="G170" s="16"/>
      <c r="I170" s="14"/>
      <c r="J170" s="99"/>
      <c r="L170" s="1" t="s">
        <v>147</v>
      </c>
      <c r="M170" s="20" t="s">
        <v>129</v>
      </c>
      <c r="N170" s="20" t="s">
        <v>130</v>
      </c>
      <c r="O170" s="20" t="s">
        <v>131</v>
      </c>
      <c r="P170" s="20" t="s">
        <v>132</v>
      </c>
      <c r="Q170" s="20" t="s">
        <v>133</v>
      </c>
      <c r="R170" s="20" t="s">
        <v>134</v>
      </c>
      <c r="S170" s="20" t="s">
        <v>135</v>
      </c>
      <c r="T170" s="20" t="s">
        <v>136</v>
      </c>
      <c r="U170" s="20" t="s">
        <v>137</v>
      </c>
      <c r="V170" s="60" t="s">
        <v>52</v>
      </c>
    </row>
    <row r="171" spans="1:22" ht="9.9499999999999993" customHeight="1" x14ac:dyDescent="0.15">
      <c r="B171" s="96"/>
      <c r="E171" s="14"/>
      <c r="F171" s="98"/>
      <c r="G171" s="16"/>
      <c r="I171" s="14"/>
      <c r="J171" s="99"/>
      <c r="M171" s="14"/>
      <c r="N171" s="14"/>
      <c r="O171" s="14"/>
      <c r="P171" s="14"/>
      <c r="Q171" s="14"/>
      <c r="R171" s="14"/>
      <c r="S171" s="14"/>
      <c r="T171" s="14"/>
      <c r="U171" s="14"/>
      <c r="V171" s="14"/>
    </row>
    <row r="172" spans="1:22" ht="9.9499999999999993" customHeight="1" x14ac:dyDescent="0.15">
      <c r="A172" s="2" t="s">
        <v>10</v>
      </c>
      <c r="B172" s="96"/>
      <c r="E172" s="14">
        <f t="shared" ref="E172:E181" si="29">T53</f>
        <v>577653.94252453896</v>
      </c>
      <c r="F172" s="98"/>
      <c r="G172" s="16"/>
      <c r="I172" s="14"/>
      <c r="J172" s="99"/>
      <c r="L172" s="2" t="s">
        <v>10</v>
      </c>
      <c r="M172" s="14">
        <f>$E172*$B$162*B$237/100+$E172*$B$163*B$249/100</f>
        <v>19442.098925845523</v>
      </c>
      <c r="N172" s="14">
        <f>$E172*$B$162*C$237/100+$E172*$B$163*C$249/100</f>
        <v>38585.324401159189</v>
      </c>
      <c r="O172" s="14">
        <f>$E172*$B$162*D$237/100+$E172*$B$163*D$249/100</f>
        <v>109261.50621293436</v>
      </c>
      <c r="P172" s="14">
        <f>$E172*$B$162*E$237/100+$E172*$B$163*E$249/100</f>
        <v>95875.144162595301</v>
      </c>
      <c r="Q172" s="14">
        <f>$E172*$B$162*F$237/100+$E172*$B$163*F$249/100</f>
        <v>37276.103765089996</v>
      </c>
      <c r="R172" s="14">
        <f>$E172*$B$162*G$237/100+$E172*$B$163*G$249/100</f>
        <v>82242.180393363305</v>
      </c>
      <c r="S172" s="14">
        <f>$E172*$B$162*H$237/100+$E172*$B$163*H$249/100</f>
        <v>49259.535214284428</v>
      </c>
      <c r="T172" s="14">
        <f>$E172*$B$162*I$237/100+$E172*$B$163*I$249/100</f>
        <v>26151.078804028082</v>
      </c>
      <c r="U172" s="14">
        <f>$E172*$B$162*J$237/100+$E172*$B$163*J$249/100</f>
        <v>119560.97064523876</v>
      </c>
      <c r="V172" s="14">
        <f t="shared" ref="V172:V206" si="30">SUM(M172:U172)</f>
        <v>577653.94252453896</v>
      </c>
    </row>
    <row r="173" spans="1:22" ht="9.9499999999999993" customHeight="1" x14ac:dyDescent="0.15">
      <c r="A173" s="2" t="s">
        <v>12</v>
      </c>
      <c r="B173" s="96"/>
      <c r="E173" s="14">
        <f t="shared" si="29"/>
        <v>4752920.8492387338</v>
      </c>
      <c r="F173" s="98"/>
      <c r="G173" s="16"/>
      <c r="I173" s="14"/>
      <c r="J173" s="99"/>
      <c r="L173" s="2" t="s">
        <v>12</v>
      </c>
      <c r="M173" s="14">
        <f>$E173*$B$162*B$237/100+$E173*$B$163*B$249/100</f>
        <v>159969.05852276372</v>
      </c>
      <c r="N173" s="14">
        <f>$E173*$B$162*C$237/100+$E173*$B$163*C$249/100</f>
        <v>317478.99446409289</v>
      </c>
      <c r="O173" s="14">
        <f>$E173*$B$162*D$237/100+$E173*$B$163*D$249/100</f>
        <v>899000.68651677668</v>
      </c>
      <c r="P173" s="14">
        <f>$E173*$B$162*E$237/100+$E173*$B$163*E$249/100</f>
        <v>788858.06547543965</v>
      </c>
      <c r="Q173" s="14">
        <f>$E173*$B$162*F$237/100+$E173*$B$163*F$249/100</f>
        <v>306706.76285734249</v>
      </c>
      <c r="R173" s="14">
        <f>$E173*$B$162*G$237/100+$E173*$B$163*G$249/100</f>
        <v>676686.41223177372</v>
      </c>
      <c r="S173" s="14">
        <f>$E173*$B$162*H$237/100+$E173*$B$163*H$249/100</f>
        <v>405306.1092607989</v>
      </c>
      <c r="T173" s="14">
        <f>$E173*$B$162*I$237/100+$E173*$B$163*I$249/100</f>
        <v>215170.36157417053</v>
      </c>
      <c r="U173" s="14">
        <f>$E173*$B$162*J$237/100+$E173*$B$163*J$249/100</f>
        <v>983744.39833557536</v>
      </c>
      <c r="V173" s="14">
        <f t="shared" si="30"/>
        <v>4752920.8492387338</v>
      </c>
    </row>
    <row r="174" spans="1:22" ht="9.9499999999999993" customHeight="1" x14ac:dyDescent="0.15">
      <c r="A174" s="2" t="s">
        <v>14</v>
      </c>
      <c r="B174" s="96"/>
      <c r="E174" s="14">
        <f t="shared" si="29"/>
        <v>258777.24566454234</v>
      </c>
      <c r="F174" s="98"/>
      <c r="G174" s="16"/>
      <c r="I174" s="14"/>
      <c r="J174" s="99"/>
      <c r="L174" s="2" t="s">
        <v>14</v>
      </c>
      <c r="M174" s="14">
        <f>$E174*$B$162*B$237/100+$E174*$B$163*B$249/100</f>
        <v>8709.6658389969107</v>
      </c>
      <c r="N174" s="14">
        <f>$E174*$B$162*C$237/100+$E174*$B$163*C$249/100</f>
        <v>17285.442436291629</v>
      </c>
      <c r="O174" s="14">
        <f>$E174*$B$162*D$237/100+$E174*$B$163*D$249/100</f>
        <v>48946.937869711372</v>
      </c>
      <c r="P174" s="14">
        <f>$E174*$B$162*E$237/100+$E174*$B$163*E$249/100</f>
        <v>42950.119280166407</v>
      </c>
      <c r="Q174" s="14">
        <f>$E174*$B$162*F$237/100+$E174*$B$163*F$249/100</f>
        <v>16698.938155392043</v>
      </c>
      <c r="R174" s="14">
        <f>$E174*$B$162*G$237/100+$E174*$B$163*G$249/100</f>
        <v>36842.828124101135</v>
      </c>
      <c r="S174" s="14">
        <f>$E174*$B$162*H$237/100+$E174*$B$163*H$249/100</f>
        <v>22067.272301056866</v>
      </c>
      <c r="T174" s="14">
        <f>$E174*$B$162*I$237/100+$E174*$B$163*I$249/100</f>
        <v>11715.152699360833</v>
      </c>
      <c r="U174" s="14">
        <f>$E174*$B$162*J$237/100+$E174*$B$163*J$249/100</f>
        <v>53560.888959465141</v>
      </c>
      <c r="V174" s="14">
        <f t="shared" si="30"/>
        <v>258777.24566454231</v>
      </c>
    </row>
    <row r="175" spans="1:22" ht="9.9499999999999993" customHeight="1" x14ac:dyDescent="0.15">
      <c r="A175" s="2" t="s">
        <v>15</v>
      </c>
      <c r="B175" s="96"/>
      <c r="E175" s="14">
        <f t="shared" si="29"/>
        <v>253742.34623435343</v>
      </c>
      <c r="F175" s="98"/>
      <c r="G175" s="16"/>
      <c r="I175" s="14"/>
      <c r="J175" s="99"/>
      <c r="L175" s="2" t="s">
        <v>15</v>
      </c>
      <c r="M175" s="14">
        <f>$E175*$B$162*B$237/100+$E175*$B$163*B$249/100</f>
        <v>8540.2062272861203</v>
      </c>
      <c r="N175" s="14">
        <f>$E175*$B$162*C$237/100+$E175*$B$163*C$249/100</f>
        <v>16949.12822887531</v>
      </c>
      <c r="O175" s="14">
        <f>$E175*$B$162*D$237/100+$E175*$B$163*D$249/100</f>
        <v>47994.601782522433</v>
      </c>
      <c r="P175" s="14">
        <f>$E175*$B$162*E$237/100+$E175*$B$163*E$249/100</f>
        <v>42114.460292704345</v>
      </c>
      <c r="Q175" s="14">
        <f>$E175*$B$162*F$237/100+$E175*$B$163*F$249/100</f>
        <v>16374.035268403539</v>
      </c>
      <c r="R175" s="14">
        <f>$E175*$B$162*G$237/100+$E175*$B$163*G$249/100</f>
        <v>36125.995645835057</v>
      </c>
      <c r="S175" s="14">
        <f>$E175*$B$162*H$237/100+$E175*$B$163*H$249/100</f>
        <v>21637.920421802213</v>
      </c>
      <c r="T175" s="14">
        <f>$E175*$B$162*I$237/100+$E175*$B$163*I$249/100</f>
        <v>11487.216833133049</v>
      </c>
      <c r="U175" s="14">
        <f>$E175*$B$162*J$237/100+$E175*$B$163*J$249/100</f>
        <v>52518.781533791378</v>
      </c>
      <c r="V175" s="14">
        <f t="shared" si="30"/>
        <v>253742.34623435343</v>
      </c>
    </row>
    <row r="176" spans="1:22" ht="9.9499999999999993" customHeight="1" x14ac:dyDescent="0.15">
      <c r="A176" s="2" t="s">
        <v>17</v>
      </c>
      <c r="B176" s="96"/>
      <c r="E176" s="14">
        <f t="shared" si="29"/>
        <v>141975.41233723558</v>
      </c>
      <c r="F176" s="98"/>
      <c r="G176" s="16"/>
      <c r="I176" s="14"/>
      <c r="J176" s="99"/>
      <c r="L176" s="2" t="s">
        <v>71</v>
      </c>
      <c r="M176" s="14">
        <f>$E176*$B$162*B$237/100+$E176*$B$163*B$249/100</f>
        <v>4778.4664978392057</v>
      </c>
      <c r="N176" s="14">
        <f>$E176*$B$162*C$237/100+$E176*$B$163*C$249/100</f>
        <v>9483.4760723334948</v>
      </c>
      <c r="O176" s="14">
        <f>$E176*$B$162*D$237/100+$E176*$B$163*D$249/100</f>
        <v>26854.222321021909</v>
      </c>
      <c r="P176" s="14">
        <f>$E176*$B$162*E$237/100+$E176*$B$163*E$249/100</f>
        <v>23564.130915280883</v>
      </c>
      <c r="Q176" s="14">
        <f>$E176*$B$162*F$237/100+$E176*$B$163*F$249/100</f>
        <v>9161.6966712720277</v>
      </c>
      <c r="R176" s="14">
        <f>$E176*$B$162*G$237/100+$E176*$B$163*G$249/100</f>
        <v>20213.429898585087</v>
      </c>
      <c r="S176" s="14">
        <f>$E176*$B$162*H$237/100+$E176*$B$163*H$249/100</f>
        <v>12106.976701351803</v>
      </c>
      <c r="T176" s="14">
        <f>$E176*$B$162*I$237/100+$E176*$B$163*I$249/100</f>
        <v>6427.3952325837481</v>
      </c>
      <c r="U176" s="14">
        <f>$E176*$B$162*J$237/100+$E176*$B$163*J$249/100</f>
        <v>29385.618026967422</v>
      </c>
      <c r="V176" s="14">
        <f>SUM(M176:U176)</f>
        <v>141975.41233723558</v>
      </c>
    </row>
    <row r="177" spans="1:22" ht="9.9499999999999993" customHeight="1" x14ac:dyDescent="0.15">
      <c r="A177" s="2" t="s">
        <v>19</v>
      </c>
      <c r="B177" s="96"/>
      <c r="E177" s="14">
        <f t="shared" si="29"/>
        <v>1191426.3117786786</v>
      </c>
      <c r="F177" s="98"/>
      <c r="G177" s="16"/>
      <c r="I177" s="98"/>
      <c r="J177" s="99"/>
      <c r="L177" s="2" t="s">
        <v>19</v>
      </c>
      <c r="M177" s="14">
        <f>$E177*$B$162*B$237/100+$E177*$B$163*B$249/100</f>
        <v>40099.835751527542</v>
      </c>
      <c r="N177" s="14">
        <f>$E177*$B$162*C$237/100+$E177*$B$163*C$249/100</f>
        <v>79583.237221832082</v>
      </c>
      <c r="O177" s="14">
        <f>$E177*$B$162*D$237/100+$E177*$B$163*D$249/100</f>
        <v>225354.70423302721</v>
      </c>
      <c r="P177" s="14">
        <f>$E177*$B$162*E$237/100+$E177*$B$163*E$249/100</f>
        <v>197744.98361713786</v>
      </c>
      <c r="Q177" s="14">
        <f>$E177*$B$162*F$237/100+$E177*$B$163*F$249/100</f>
        <v>76882.935537887141</v>
      </c>
      <c r="R177" s="14">
        <f>$E177*$B$162*G$237/100+$E177*$B$163*G$249/100</f>
        <v>169626.6405288823</v>
      </c>
      <c r="S177" s="14">
        <f>$E177*$B$162*H$237/100+$E177*$B$163*H$249/100</f>
        <v>101599.07522451246</v>
      </c>
      <c r="T177" s="14">
        <f>$E177*$B$162*I$237/100+$E177*$B$163*I$249/100</f>
        <v>53937.281605575103</v>
      </c>
      <c r="U177" s="14">
        <f>$E177*$B$162*J$237/100+$E177*$B$163*J$249/100</f>
        <v>246597.61805829697</v>
      </c>
      <c r="V177" s="14">
        <f t="shared" si="30"/>
        <v>1191426.3117786786</v>
      </c>
    </row>
    <row r="178" spans="1:22" ht="9.9499999999999993" customHeight="1" x14ac:dyDescent="0.15">
      <c r="A178" s="2" t="s">
        <v>21</v>
      </c>
      <c r="B178" s="96"/>
      <c r="E178" s="14">
        <f t="shared" si="29"/>
        <v>4516786.8290018281</v>
      </c>
      <c r="F178" s="98"/>
      <c r="G178" s="16"/>
      <c r="J178" s="99"/>
      <c r="L178" s="2" t="s">
        <v>21</v>
      </c>
      <c r="M178" s="14">
        <f>($E178*$B$162+$D$162)*B$237/100+($E178*$B$163+$D$163-$E$164)*B$249/100+M164</f>
        <v>147870.69581886352</v>
      </c>
      <c r="N178" s="14">
        <f>($E178*$B$162+$D$162)*C$237/100+($E178*$B$163+$D$163-$E$164)*C$249/100+N164</f>
        <v>306395.48764806788</v>
      </c>
      <c r="O178" s="14">
        <f>($E178*$B$162+$D$162)*D$237/100+($E178*$B$163+$D$163-$E$164)*D$249/100+O164</f>
        <v>823328.15015941102</v>
      </c>
      <c r="P178" s="14">
        <f>($E178*$B$162+$D$162)*E$237/100+($E178*$B$163+$D$163-$E$164)*E$249/100+P164</f>
        <v>727251.32539319585</v>
      </c>
      <c r="Q178" s="14">
        <f>($E178*$B$162+$D$162)*F$237/100+($E178*$B$163+$D$163-$E$164)*F$249/100+Q164</f>
        <v>302368.64641116367</v>
      </c>
      <c r="R178" s="14">
        <f>($E178*$B$162+$D$162)*G$237/100+($E178*$B$163+$D$163-$E$164)*G$249/100+R164</f>
        <v>629791.46481044765</v>
      </c>
      <c r="S178" s="14">
        <f>($E178*$B$162+$D$162)*H$237/100+($E178*$B$163+$D$163-$E$164)*H$249/100+S164</f>
        <v>389960.52922214201</v>
      </c>
      <c r="T178" s="14">
        <f>($E178*$B$162+$D$162)*I$237/100+($E178*$B$163+$D$163-$E$164)*I$249/100+T164</f>
        <v>211006.91165563461</v>
      </c>
      <c r="U178" s="14">
        <f>($E178*$B$162+$D$162)*J$237/100+($E178*$B$163+$D$163-$E$164)*J$249/100+U164</f>
        <v>978813.6178829018</v>
      </c>
      <c r="V178" s="14">
        <f t="shared" si="30"/>
        <v>4516786.8290018281</v>
      </c>
    </row>
    <row r="179" spans="1:22" ht="9.9499999999999993" customHeight="1" x14ac:dyDescent="0.15">
      <c r="A179" s="2" t="s">
        <v>77</v>
      </c>
      <c r="B179" s="96"/>
      <c r="E179" s="14">
        <f t="shared" si="29"/>
        <v>79005</v>
      </c>
      <c r="F179" s="98"/>
      <c r="G179" s="16"/>
      <c r="I179" s="14"/>
      <c r="J179" s="99"/>
      <c r="L179" s="2" t="s">
        <v>77</v>
      </c>
      <c r="M179" s="14">
        <f>B231</f>
        <v>841</v>
      </c>
      <c r="N179" s="14">
        <f t="shared" ref="N179:U179" si="31">C231</f>
        <v>2231</v>
      </c>
      <c r="O179" s="14">
        <f t="shared" si="31"/>
        <v>26585</v>
      </c>
      <c r="P179" s="14">
        <f t="shared" si="31"/>
        <v>2045</v>
      </c>
      <c r="Q179" s="14">
        <f t="shared" si="31"/>
        <v>1832</v>
      </c>
      <c r="R179" s="14">
        <f t="shared" si="31"/>
        <v>3085</v>
      </c>
      <c r="S179" s="14">
        <f t="shared" si="31"/>
        <v>1825</v>
      </c>
      <c r="T179" s="14">
        <f t="shared" si="31"/>
        <v>1449</v>
      </c>
      <c r="U179" s="14">
        <f t="shared" si="31"/>
        <v>39112</v>
      </c>
      <c r="V179" s="14">
        <f t="shared" si="30"/>
        <v>79005</v>
      </c>
    </row>
    <row r="180" spans="1:22" ht="9.9499999999999993" customHeight="1" x14ac:dyDescent="0.15">
      <c r="B180" s="96"/>
      <c r="E180" s="14">
        <f t="shared" si="29"/>
        <v>-244655.85499999998</v>
      </c>
      <c r="F180" s="98"/>
      <c r="G180" s="16"/>
      <c r="I180" s="14"/>
      <c r="J180" s="99"/>
      <c r="L180" s="47" t="s">
        <v>171</v>
      </c>
      <c r="M180" s="14">
        <f>-B233-B232</f>
        <v>-12752</v>
      </c>
      <c r="N180" s="14">
        <f t="shared" ref="N180:U180" si="32">-C233-C232</f>
        <v>-24649</v>
      </c>
      <c r="O180" s="14">
        <f t="shared" si="32"/>
        <v>-72796</v>
      </c>
      <c r="P180" s="14">
        <f t="shared" si="32"/>
        <v>-57246</v>
      </c>
      <c r="Q180" s="14">
        <f t="shared" si="32"/>
        <v>-18535</v>
      </c>
      <c r="R180" s="14">
        <f t="shared" si="32"/>
        <v>-66292</v>
      </c>
      <c r="S180" s="14">
        <f t="shared" si="32"/>
        <v>-30140</v>
      </c>
      <c r="T180" s="14">
        <f t="shared" si="32"/>
        <v>-14717</v>
      </c>
      <c r="U180" s="14">
        <f t="shared" si="32"/>
        <v>-74687</v>
      </c>
      <c r="V180" s="14">
        <f t="shared" si="30"/>
        <v>-371814</v>
      </c>
    </row>
    <row r="181" spans="1:22" ht="9.9499999999999993" customHeight="1" x14ac:dyDescent="0.15">
      <c r="A181" s="2" t="s">
        <v>23</v>
      </c>
      <c r="B181" s="96"/>
      <c r="E181" s="14">
        <f t="shared" si="29"/>
        <v>38219.884075390546</v>
      </c>
      <c r="F181" s="98"/>
      <c r="G181" s="16"/>
      <c r="I181" s="14"/>
      <c r="J181" s="99"/>
      <c r="L181" s="2" t="s">
        <v>23</v>
      </c>
      <c r="M181" s="14">
        <f>$E181*$B$162*B$237/100+$E181*$B$163*B$249/100</f>
        <v>1286.3666503869224</v>
      </c>
      <c r="N181" s="14">
        <f>$E181*$B$162*C$237/100+$E181*$B$163*C$249/100</f>
        <v>2552.9586436796371</v>
      </c>
      <c r="O181" s="14">
        <f>$E181*$B$162*D$237/100+$E181*$B$163*D$249/100</f>
        <v>7229.1761449953556</v>
      </c>
      <c r="P181" s="14">
        <f>$E181*$B$162*E$237/100+$E181*$B$163*E$249/100</f>
        <v>6343.4811499621801</v>
      </c>
      <c r="Q181" s="14">
        <f>$E181*$B$162*F$237/100+$E181*$B$163*F$249/100</f>
        <v>2466.3353953019159</v>
      </c>
      <c r="R181" s="14">
        <f>$E181*$B$162*G$237/100+$E181*$B$163*G$249/100</f>
        <v>5441.4700036573795</v>
      </c>
      <c r="S181" s="14">
        <f>$E181*$B$162*H$237/100+$E181*$B$163*H$249/100</f>
        <v>3259.2069176738833</v>
      </c>
      <c r="T181" s="14">
        <f>$E181*$B$162*I$237/100+$E181*$B$163*I$249/100</f>
        <v>1730.2594629030812</v>
      </c>
      <c r="U181" s="14">
        <f>$E181*$B$162*J$237/100+$E181*$B$163*J$249/100</f>
        <v>7910.629706830191</v>
      </c>
      <c r="V181" s="14">
        <f t="shared" si="30"/>
        <v>38219.884075390546</v>
      </c>
    </row>
    <row r="182" spans="1:22" ht="9.9499999999999993" customHeight="1" x14ac:dyDescent="0.15">
      <c r="A182" s="2" t="s">
        <v>27</v>
      </c>
      <c r="B182" s="96"/>
      <c r="E182" s="14">
        <f>T64</f>
        <v>211.52612456980796</v>
      </c>
      <c r="F182" s="98"/>
      <c r="G182" s="16"/>
      <c r="I182" s="14"/>
      <c r="J182" s="99"/>
      <c r="L182" s="2" t="s">
        <v>27</v>
      </c>
      <c r="M182" s="14">
        <f>$E182*$B$162*B$237/100+$E182*$B$163*B$249/100</f>
        <v>7.1193348413998381</v>
      </c>
      <c r="N182" s="14">
        <f>$E182*$B$162*C$237/100+$E182*$B$163*C$249/100</f>
        <v>14.129227786754582</v>
      </c>
      <c r="O182" s="14">
        <f>$E182*$B$162*D$237/100+$E182*$B$163*D$249/100</f>
        <v>40.009530399595967</v>
      </c>
      <c r="P182" s="14">
        <f>$E182*$B$162*E$237/100+$E182*$B$163*E$249/100</f>
        <v>35.107693714777909</v>
      </c>
      <c r="Q182" s="14">
        <f>$E182*$B$162*F$237/100+$E182*$B$163*F$249/100</f>
        <v>13.64981555225266</v>
      </c>
      <c r="R182" s="14">
        <f>$E182*$B$162*G$237/100+$E182*$B$163*G$249/100</f>
        <v>30.11555606935061</v>
      </c>
      <c r="S182" s="14">
        <f>$E182*$B$162*H$237/100+$E182*$B$163*H$249/100</f>
        <v>18.037925157145338</v>
      </c>
      <c r="T182" s="14">
        <f>$E182*$B$162*I$237/100+$E182*$B$163*I$249/100</f>
        <v>9.5760384297917653</v>
      </c>
      <c r="U182" s="14">
        <f>$E182*$B$162*J$237/100+$E182*$B$163*J$249/100</f>
        <v>43.781002618739315</v>
      </c>
      <c r="V182" s="14">
        <f t="shared" si="30"/>
        <v>211.52612456980799</v>
      </c>
    </row>
    <row r="183" spans="1:22" ht="9.9499999999999993" customHeight="1" x14ac:dyDescent="0.15">
      <c r="A183" s="2" t="s">
        <v>29</v>
      </c>
      <c r="B183" s="96"/>
      <c r="E183" s="14">
        <f>T65</f>
        <v>25642.726352053756</v>
      </c>
      <c r="F183" s="98"/>
      <c r="G183" s="16"/>
      <c r="I183" s="14"/>
      <c r="J183" s="99"/>
      <c r="L183" s="2" t="s">
        <v>29</v>
      </c>
      <c r="M183" s="14">
        <f>$E183*$B$162*B$237/100+$E183*$B$163*B$249/100</f>
        <v>863.05724892345313</v>
      </c>
      <c r="N183" s="14">
        <f>$E183*$B$162*C$237/100+$E183*$B$163*C$249/100</f>
        <v>1712.8471598410601</v>
      </c>
      <c r="O183" s="14">
        <f>$E183*$B$162*D$237/100+$E183*$B$163*D$249/100</f>
        <v>4850.2445813610575</v>
      </c>
      <c r="P183" s="14">
        <f>$E183*$B$162*E$237/100+$E183*$B$163*E$249/100</f>
        <v>4256.0084935639434</v>
      </c>
      <c r="Q183" s="14">
        <f>$E183*$B$162*F$237/100+$E183*$B$163*F$249/100</f>
        <v>1654.7293421759314</v>
      </c>
      <c r="R183" s="14">
        <f>$E183*$B$162*G$237/100+$E183*$B$163*G$249/100</f>
        <v>3650.8254703613811</v>
      </c>
      <c r="S183" s="14">
        <f>$E183*$B$162*H$237/100+$E183*$B$163*H$249/100</f>
        <v>2186.6877186172624</v>
      </c>
      <c r="T183" s="14">
        <f>$E183*$B$162*I$237/100+$E183*$B$163*I$249/100</f>
        <v>1160.876622172796</v>
      </c>
      <c r="U183" s="14">
        <f>$E183*$B$162*J$237/100+$E183*$B$163*J$249/100</f>
        <v>5307.4497150368716</v>
      </c>
      <c r="V183" s="14">
        <f t="shared" si="30"/>
        <v>25642.72635205376</v>
      </c>
    </row>
    <row r="184" spans="1:22" ht="9.9499999999999993" customHeight="1" x14ac:dyDescent="0.15">
      <c r="A184" s="2" t="s">
        <v>31</v>
      </c>
      <c r="B184" s="96"/>
      <c r="E184" s="14">
        <f>T67</f>
        <v>824666.60294143436</v>
      </c>
      <c r="F184" s="98"/>
      <c r="G184" s="16"/>
      <c r="I184" s="14"/>
      <c r="J184" s="99"/>
      <c r="L184" s="2" t="s">
        <v>31</v>
      </c>
      <c r="M184" s="14">
        <f>$E184*$B$162*B$237/100+$E184*$B$163*B$249/100</f>
        <v>27755.804115449697</v>
      </c>
      <c r="N184" s="14">
        <f>$E184*$B$162*C$237/100+$E184*$B$163*C$249/100</f>
        <v>55084.932439365213</v>
      </c>
      <c r="O184" s="14">
        <f>$E184*$B$162*D$237/100+$E184*$B$163*D$249/100</f>
        <v>155983.20815936843</v>
      </c>
      <c r="P184" s="14">
        <f>$E184*$B$162*E$237/100+$E184*$B$163*E$249/100</f>
        <v>136872.65614001945</v>
      </c>
      <c r="Q184" s="14">
        <f>$E184*$B$162*F$237/100+$E184*$B$163*F$249/100</f>
        <v>53215.87130264123</v>
      </c>
      <c r="R184" s="14">
        <f>$E184*$B$162*G$237/100+$E184*$B$163*G$249/100</f>
        <v>117410.05216217398</v>
      </c>
      <c r="S184" s="14">
        <f>$E184*$B$162*H$237/100+$E184*$B$163*H$249/100</f>
        <v>70323.580568156918</v>
      </c>
      <c r="T184" s="14">
        <f>$E184*$B$162*I$237/100+$E184*$B$163*I$249/100</f>
        <v>37333.634781961962</v>
      </c>
      <c r="U184" s="14">
        <f>$E184*$B$162*J$237/100+$E184*$B$163*J$249/100</f>
        <v>170686.86327229755</v>
      </c>
      <c r="V184" s="14">
        <f t="shared" si="30"/>
        <v>824666.60294143436</v>
      </c>
    </row>
    <row r="185" spans="1:22" ht="9.9499999999999993" customHeight="1" x14ac:dyDescent="0.15">
      <c r="A185" s="2" t="s">
        <v>32</v>
      </c>
      <c r="B185" s="104" t="s">
        <v>151</v>
      </c>
      <c r="C185" s="2" t="s">
        <v>172</v>
      </c>
      <c r="E185" s="14">
        <f>T68</f>
        <v>3789.1611274074944</v>
      </c>
      <c r="F185" s="98">
        <f>E185/$E$208</f>
        <v>2.6158928057687836E-4</v>
      </c>
      <c r="G185" s="16"/>
      <c r="I185" s="14"/>
      <c r="J185" s="99"/>
      <c r="L185" s="2" t="s">
        <v>32</v>
      </c>
      <c r="M185" s="14">
        <f>$E185/100*B241</f>
        <v>3.3938467404701775</v>
      </c>
      <c r="N185" s="14">
        <f>$E185/100*C241</f>
        <v>15.980161480103162</v>
      </c>
      <c r="O185" s="14">
        <f>$E185/100*D241</f>
        <v>109.30451754692673</v>
      </c>
      <c r="P185" s="14">
        <f>$E185/100*E241</f>
        <v>272.93214459307569</v>
      </c>
      <c r="Q185" s="14">
        <f>$E185/100*F241</f>
        <v>2151.5351601102875</v>
      </c>
      <c r="R185" s="14">
        <f>$E185/100*G241</f>
        <v>117.89551227432452</v>
      </c>
      <c r="S185" s="14">
        <f>$E185/100*H241</f>
        <v>489.92599004266799</v>
      </c>
      <c r="T185" s="14">
        <f>$E185/100*I241</f>
        <v>87.192545817583451</v>
      </c>
      <c r="U185" s="14">
        <f>$E185/100*J241</f>
        <v>541.00124880205544</v>
      </c>
      <c r="V185" s="14">
        <f t="shared" si="30"/>
        <v>3789.161127407494</v>
      </c>
    </row>
    <row r="186" spans="1:22" ht="9.9499999999999993" customHeight="1" x14ac:dyDescent="0.15">
      <c r="A186" s="2" t="s">
        <v>33</v>
      </c>
      <c r="B186" s="104"/>
      <c r="E186" s="14">
        <f>T69</f>
        <v>2131.9358543079134</v>
      </c>
      <c r="F186" s="98"/>
      <c r="G186" s="16"/>
      <c r="I186" s="14"/>
      <c r="J186" s="99"/>
      <c r="L186" s="2" t="s">
        <v>33</v>
      </c>
      <c r="M186" s="14">
        <f>$E186*$B$162*B$237/100+$E186*$B$163*B$249/100</f>
        <v>71.754565721241761</v>
      </c>
      <c r="N186" s="14">
        <f>$E186*$B$162*C$237/100+$E186*$B$163*C$249/100</f>
        <v>142.40608517518908</v>
      </c>
      <c r="O186" s="14">
        <f>$E186*$B$162*D$237/100+$E186*$B$163*D$249/100</f>
        <v>403.24925607366777</v>
      </c>
      <c r="P186" s="14">
        <f>$E186*$B$162*E$237/100+$E186*$B$163*E$249/100</f>
        <v>353.84447734206196</v>
      </c>
      <c r="Q186" s="14">
        <f>$E186*$B$162*F$237/100+$E186*$B$163*F$249/100</f>
        <v>137.57417075418238</v>
      </c>
      <c r="R186" s="14">
        <f>$E186*$B$162*G$237/100+$E186*$B$163*G$249/100</f>
        <v>303.52957057784164</v>
      </c>
      <c r="S186" s="14">
        <f>$E186*$B$162*H$237/100+$E186*$B$163*H$249/100</f>
        <v>181.80118157059925</v>
      </c>
      <c r="T186" s="14">
        <f>$E186*$B$162*I$237/100+$E186*$B$163*I$249/100</f>
        <v>96.515263597929618</v>
      </c>
      <c r="U186" s="14">
        <f>$E186*$B$162*J$237/100+$E186*$B$163*J$249/100</f>
        <v>441.26128349519979</v>
      </c>
      <c r="V186" s="14">
        <f>SUM(M186:U186)</f>
        <v>2131.9358543079134</v>
      </c>
    </row>
    <row r="187" spans="1:22" ht="9.9499999999999993" customHeight="1" x14ac:dyDescent="0.15">
      <c r="A187" s="2" t="s">
        <v>38</v>
      </c>
      <c r="B187" s="96"/>
      <c r="E187" s="14">
        <f t="shared" ref="E187:E198" si="33">T74</f>
        <v>6611.9778981974241</v>
      </c>
      <c r="F187" s="98"/>
      <c r="G187" s="16"/>
      <c r="I187" s="14"/>
      <c r="J187" s="99"/>
      <c r="L187" s="2" t="s">
        <v>38</v>
      </c>
      <c r="M187" s="14">
        <f>$E187*$B$162*B$237/100+$E187*$B$163*B$249/100</f>
        <v>222.53934220625109</v>
      </c>
      <c r="N187" s="14">
        <f>$E187*$B$162*C$237/100+$E187*$B$163*C$249/100</f>
        <v>441.6577008377372</v>
      </c>
      <c r="O187" s="14">
        <f>$E187*$B$162*D$237/100+$E187*$B$163*D$249/100</f>
        <v>1250.6357371100144</v>
      </c>
      <c r="P187" s="14">
        <f>$E187*$B$162*E$237/100+$E187*$B$163*E$249/100</f>
        <v>1097.4119408224115</v>
      </c>
      <c r="Q187" s="14">
        <f>$E187*$B$162*F$237/100+$E187*$B$163*F$249/100</f>
        <v>426.67201949412606</v>
      </c>
      <c r="R187" s="14">
        <f>$E187*$B$162*G$237/100+$E187*$B$163*G$249/100</f>
        <v>941.36547685275013</v>
      </c>
      <c r="S187" s="14">
        <f>$E187*$B$162*H$237/100+$E187*$B$163*H$249/100</f>
        <v>563.83750570262987</v>
      </c>
      <c r="T187" s="14">
        <f>$E187*$B$162*I$237/100+$E187*$B$163*I$249/100</f>
        <v>299.33207814799516</v>
      </c>
      <c r="U187" s="14">
        <f>$E187*$B$162*J$237/100+$E187*$B$163*J$249/100</f>
        <v>1368.5260970235092</v>
      </c>
      <c r="V187" s="14">
        <f t="shared" si="30"/>
        <v>6611.977898197425</v>
      </c>
    </row>
    <row r="188" spans="1:22" ht="9.9499999999999993" customHeight="1" x14ac:dyDescent="0.15">
      <c r="A188" s="2" t="s">
        <v>39</v>
      </c>
      <c r="B188" s="96"/>
      <c r="E188" s="14">
        <f t="shared" si="33"/>
        <v>352872.44209235668</v>
      </c>
      <c r="F188" s="98"/>
      <c r="G188" s="16"/>
      <c r="I188" s="14"/>
      <c r="J188" s="99"/>
      <c r="L188" s="2" t="s">
        <v>39</v>
      </c>
      <c r="M188" s="14">
        <f>$E188*$B$162*B$237/100+$E188*$B$163*B$249/100</f>
        <v>11876.627894862597</v>
      </c>
      <c r="N188" s="14">
        <f>$E188*$B$162*C$237/100+$E188*$B$163*C$249/100</f>
        <v>23570.682458874489</v>
      </c>
      <c r="O188" s="14">
        <f>$E188*$B$162*D$237/100+$E188*$B$163*D$249/100</f>
        <v>66744.761328119042</v>
      </c>
      <c r="P188" s="14">
        <f>$E188*$B$162*E$237/100+$E188*$B$163*E$249/100</f>
        <v>58567.411673425187</v>
      </c>
      <c r="Q188" s="14">
        <f>$E188*$B$162*F$237/100+$E188*$B$163*F$249/100</f>
        <v>22770.916631832086</v>
      </c>
      <c r="R188" s="14">
        <f>$E188*$B$162*G$237/100+$E188*$B$163*G$249/100</f>
        <v>50239.420009105932</v>
      </c>
      <c r="S188" s="14">
        <f>$E188*$B$162*H$237/100+$E188*$B$163*H$249/100</f>
        <v>30091.255694425698</v>
      </c>
      <c r="T188" s="14">
        <f>$E188*$B$162*I$237/100+$E188*$B$163*I$249/100</f>
        <v>15974.95379430401</v>
      </c>
      <c r="U188" s="14">
        <f>$E188*$B$162*J$237/100+$E188*$B$163*J$249/100</f>
        <v>73036.412607407648</v>
      </c>
      <c r="V188" s="14">
        <f t="shared" si="30"/>
        <v>352872.44209235668</v>
      </c>
    </row>
    <row r="189" spans="1:22" ht="9.9499999999999993" customHeight="1" x14ac:dyDescent="0.15">
      <c r="A189" s="2" t="s">
        <v>40</v>
      </c>
      <c r="B189" s="96"/>
      <c r="E189" s="14">
        <f t="shared" si="33"/>
        <v>326589.4782872923</v>
      </c>
      <c r="F189" s="98"/>
      <c r="G189" s="16"/>
      <c r="I189" s="14"/>
      <c r="J189" s="99"/>
      <c r="L189" s="2" t="s">
        <v>40</v>
      </c>
      <c r="M189" s="14">
        <f>$E189*$B$162*B$237/100+$E189*$B$163*B$249/100</f>
        <v>10992.022173781117</v>
      </c>
      <c r="N189" s="14">
        <f>$E189*$B$162*C$237/100+$E189*$B$163*C$249/100</f>
        <v>21815.069608367103</v>
      </c>
      <c r="O189" s="14">
        <f>$E189*$B$162*D$237/100+$E189*$B$163*D$249/100</f>
        <v>61773.417757726325</v>
      </c>
      <c r="P189" s="14">
        <f>$E189*$B$162*E$237/100+$E189*$B$163*E$249/100</f>
        <v>54205.140842522342</v>
      </c>
      <c r="Q189" s="14">
        <f>$E189*$B$162*F$237/100+$E189*$B$163*F$249/100</f>
        <v>21074.872661682835</v>
      </c>
      <c r="R189" s="14">
        <f>$E189*$B$162*G$237/100+$E189*$B$163*G$249/100</f>
        <v>46497.442171853443</v>
      </c>
      <c r="S189" s="14">
        <f>$E189*$B$162*H$237/100+$E189*$B$163*H$249/100</f>
        <v>27849.971621416302</v>
      </c>
      <c r="T189" s="14">
        <f>$E189*$B$162*I$237/100+$E189*$B$163*I$249/100</f>
        <v>14785.092863612868</v>
      </c>
      <c r="U189" s="14">
        <f>$E189*$B$162*J$237/100+$E189*$B$163*J$249/100</f>
        <v>67596.448586329949</v>
      </c>
      <c r="V189" s="14">
        <f t="shared" si="30"/>
        <v>326589.4782872923</v>
      </c>
    </row>
    <row r="190" spans="1:22" ht="9.9499999999999993" customHeight="1" x14ac:dyDescent="0.15">
      <c r="A190" s="2" t="s">
        <v>41</v>
      </c>
      <c r="B190" s="96"/>
      <c r="E190" s="14">
        <f t="shared" si="33"/>
        <v>13341.589632853047</v>
      </c>
      <c r="F190" s="98"/>
      <c r="G190" s="16"/>
      <c r="I190" s="14"/>
      <c r="J190" s="99"/>
      <c r="L190" s="2" t="s">
        <v>41</v>
      </c>
      <c r="M190" s="14">
        <f>$E190*$B$162*B$237/100+$E190*$B$163*B$249/100</f>
        <v>449.03788648329891</v>
      </c>
      <c r="N190" s="14">
        <f>$E190*$B$162*C$237/100+$E190*$B$163*C$249/100</f>
        <v>891.1729430270592</v>
      </c>
      <c r="O190" s="14">
        <f>$E190*$B$162*D$237/100+$E190*$B$163*D$249/100</f>
        <v>2523.5215606590777</v>
      </c>
      <c r="P190" s="14">
        <f>$E190*$B$162*E$237/100+$E190*$B$163*E$249/100</f>
        <v>2214.3479603337692</v>
      </c>
      <c r="Q190" s="14">
        <f>$E190*$B$162*F$237/100+$E190*$B$163*F$249/100</f>
        <v>860.93496977102814</v>
      </c>
      <c r="R190" s="14">
        <f>$E190*$B$162*G$237/100+$E190*$B$163*G$249/100</f>
        <v>1899.478806504839</v>
      </c>
      <c r="S190" s="14">
        <f>$E190*$B$162*H$237/100+$E190*$B$163*H$249/100</f>
        <v>1137.7062562091639</v>
      </c>
      <c r="T190" s="14">
        <f>$E190*$B$162*I$237/100+$E190*$B$163*I$249/100</f>
        <v>603.98957953086733</v>
      </c>
      <c r="U190" s="14">
        <f>$E190*$B$162*J$237/100+$E190*$B$163*J$249/100</f>
        <v>2761.399670333944</v>
      </c>
      <c r="V190" s="14">
        <f t="shared" si="30"/>
        <v>13341.589632853047</v>
      </c>
    </row>
    <row r="191" spans="1:22" ht="9.9499999999999993" customHeight="1" x14ac:dyDescent="0.15">
      <c r="A191" s="2" t="s">
        <v>42</v>
      </c>
      <c r="B191" s="96"/>
      <c r="E191" s="14">
        <f t="shared" si="33"/>
        <v>0</v>
      </c>
      <c r="F191" s="98"/>
      <c r="G191" s="16"/>
      <c r="I191" s="14"/>
      <c r="J191" s="99"/>
      <c r="L191" s="2" t="s">
        <v>173</v>
      </c>
      <c r="M191" s="14">
        <f>$E191*$B$162*B$237/100+$E191*$B$163*B$249/100</f>
        <v>0</v>
      </c>
      <c r="N191" s="14">
        <f>$E191*$B$162*C$237/100+$E191*$B$163*C$249/100</f>
        <v>0</v>
      </c>
      <c r="O191" s="14">
        <f>$E191*$B$162*D$237/100+$E191*$B$163*D$249/100</f>
        <v>0</v>
      </c>
      <c r="P191" s="14">
        <f>$E191*$B$162*E$237/100+$E191*$B$163*E$249/100</f>
        <v>0</v>
      </c>
      <c r="Q191" s="14">
        <f>$E191*$B$162*F$237/100+$E191*$B$163*F$249/100</f>
        <v>0</v>
      </c>
      <c r="R191" s="14">
        <f>$E191*$B$162*G$237/100+$E191*$B$163*G$249/100</f>
        <v>0</v>
      </c>
      <c r="S191" s="14">
        <f>$E191*$B$162*H$237/100+$E191*$B$163*H$249/100</f>
        <v>0</v>
      </c>
      <c r="T191" s="14">
        <f>$E191*$B$162*I$237/100+$E191*$B$163*I$249/100</f>
        <v>0</v>
      </c>
      <c r="U191" s="14">
        <f>$E191*$B$162*J$237/100+$E191*$B$163*J$249/100</f>
        <v>0</v>
      </c>
      <c r="V191" s="14">
        <f>SUM(M191:U191)</f>
        <v>0</v>
      </c>
    </row>
    <row r="192" spans="1:22" ht="9.9499999999999993" customHeight="1" x14ac:dyDescent="0.15">
      <c r="A192" s="2" t="s">
        <v>43</v>
      </c>
      <c r="B192" s="96"/>
      <c r="E192" s="14">
        <f t="shared" si="33"/>
        <v>93358.635545281591</v>
      </c>
      <c r="F192" s="98"/>
      <c r="G192" s="16"/>
      <c r="I192" s="14"/>
      <c r="J192" s="99"/>
      <c r="L192" s="2" t="s">
        <v>43</v>
      </c>
      <c r="M192" s="14">
        <f>$E192*$B$162*B$237/100+$E192*$B$163*B$249/100</f>
        <v>3142.171626009836</v>
      </c>
      <c r="N192" s="14">
        <f>$E192*$B$162*C$237/100+$E192*$B$163*C$249/100</f>
        <v>6236.0402534797122</v>
      </c>
      <c r="O192" s="14">
        <f>$E192*$B$162*D$237/100+$E192*$B$163*D$249/100</f>
        <v>17658.50518232815</v>
      </c>
      <c r="P192" s="14">
        <f>$E192*$B$162*E$237/100+$E192*$B$163*E$249/100</f>
        <v>15495.042936276395</v>
      </c>
      <c r="Q192" s="14">
        <f>$E192*$B$162*F$237/100+$E192*$B$163*F$249/100</f>
        <v>6024.4480817428202</v>
      </c>
      <c r="R192" s="14">
        <f>$E192*$B$162*G$237/100+$E192*$B$163*G$249/100</f>
        <v>13291.725686555223</v>
      </c>
      <c r="S192" s="14">
        <f>$E192*$B$162*H$237/100+$E192*$B$163*H$249/100</f>
        <v>7961.1730426387348</v>
      </c>
      <c r="T192" s="14">
        <f>$E192*$B$162*I$237/100+$E192*$B$163*I$249/100</f>
        <v>4226.4561105760695</v>
      </c>
      <c r="U192" s="14">
        <f>$E192*$B$162*J$237/100+$E192*$B$163*J$249/100</f>
        <v>19323.072625674649</v>
      </c>
      <c r="V192" s="14">
        <f>SUM(M192:U192)</f>
        <v>93358.635545281577</v>
      </c>
    </row>
    <row r="193" spans="1:22" ht="9.9499999999999993" customHeight="1" x14ac:dyDescent="0.15">
      <c r="A193" s="2" t="s">
        <v>44</v>
      </c>
      <c r="B193" s="96"/>
      <c r="E193" s="14">
        <f t="shared" si="33"/>
        <v>19386.932339142386</v>
      </c>
      <c r="F193" s="98"/>
      <c r="G193" s="16"/>
      <c r="I193" s="14"/>
      <c r="J193" s="99"/>
      <c r="L193" s="2" t="s">
        <v>44</v>
      </c>
      <c r="M193" s="14">
        <f>$E193*$B$162*B$237/100+$E193*$B$163*B$249/100</f>
        <v>652.50598785667978</v>
      </c>
      <c r="N193" s="14">
        <f>$E193*$B$162*C$237/100+$E193*$B$163*C$249/100</f>
        <v>1294.9813346376586</v>
      </c>
      <c r="O193" s="14">
        <f>$E193*$B$162*D$237/100+$E193*$B$163*D$249/100</f>
        <v>3666.9799551016822</v>
      </c>
      <c r="P193" s="14">
        <f>$E193*$B$162*E$237/100+$E193*$B$163*E$249/100</f>
        <v>3217.7135756444668</v>
      </c>
      <c r="Q193" s="14">
        <f>$E193*$B$162*F$237/100+$E193*$B$163*F$249/100</f>
        <v>1251.0419272866839</v>
      </c>
      <c r="R193" s="14">
        <f>$E193*$B$162*G$237/100+$E193*$B$163*G$249/100</f>
        <v>2760.1708727919663</v>
      </c>
      <c r="S193" s="14">
        <f>$E193*$B$162*H$237/100+$E193*$B$163*H$249/100</f>
        <v>1653.2238524735169</v>
      </c>
      <c r="T193" s="14">
        <f>$E193*$B$162*I$237/100+$E193*$B$163*I$249/100</f>
        <v>877.66941077829813</v>
      </c>
      <c r="U193" s="14">
        <f>$E193*$B$162*J$237/100+$E193*$B$163*J$249/100</f>
        <v>4012.6454225714333</v>
      </c>
      <c r="V193" s="14">
        <f>SUM(M193:U193)</f>
        <v>19386.932339142386</v>
      </c>
    </row>
    <row r="194" spans="1:22" ht="9.9499999999999993" customHeight="1" x14ac:dyDescent="0.15">
      <c r="A194" s="2" t="s">
        <v>45</v>
      </c>
      <c r="B194" s="96"/>
      <c r="E194" s="14">
        <f t="shared" si="33"/>
        <v>175371.47803109227</v>
      </c>
      <c r="F194" s="98"/>
      <c r="G194" s="16"/>
      <c r="I194" s="14"/>
      <c r="J194" s="99"/>
      <c r="L194" s="2" t="s">
        <v>45</v>
      </c>
      <c r="M194" s="14">
        <f>$E194*$B$162*B$237/100+$E194*$B$163*B$249/100</f>
        <v>5902.4778914365334</v>
      </c>
      <c r="N194" s="14">
        <f>$E194*$B$162*C$237/100+$E194*$B$163*C$249/100</f>
        <v>11714.220006821821</v>
      </c>
      <c r="O194" s="14">
        <f>$E194*$B$162*D$237/100+$E194*$B$163*D$249/100</f>
        <v>33170.987724456994</v>
      </c>
      <c r="P194" s="14">
        <f>$E194*$B$162*E$237/100+$E194*$B$163*E$249/100</f>
        <v>29106.986900767381</v>
      </c>
      <c r="Q194" s="14">
        <f>$E194*$B$162*F$237/100+$E194*$B$163*F$249/100</f>
        <v>11316.750274315829</v>
      </c>
      <c r="R194" s="14">
        <f>$E194*$B$162*G$237/100+$E194*$B$163*G$249/100</f>
        <v>24968.119613363757</v>
      </c>
      <c r="S194" s="14">
        <f>$E194*$B$162*H$237/100+$E194*$B$163*H$249/100</f>
        <v>14954.831711006145</v>
      </c>
      <c r="T194" s="14">
        <f>$E194*$B$162*I$237/100+$E194*$B$163*I$249/100</f>
        <v>7939.2747185745229</v>
      </c>
      <c r="U194" s="14">
        <f>$E194*$B$162*J$237/100+$E194*$B$163*J$249/100</f>
        <v>36297.829190349279</v>
      </c>
      <c r="V194" s="14">
        <f t="shared" si="30"/>
        <v>175371.47803109227</v>
      </c>
    </row>
    <row r="195" spans="1:22" ht="9.9499999999999993" customHeight="1" x14ac:dyDescent="0.15">
      <c r="A195" s="2" t="s">
        <v>46</v>
      </c>
      <c r="B195" s="96"/>
      <c r="E195" s="14">
        <f t="shared" si="33"/>
        <v>90550.528544676767</v>
      </c>
      <c r="F195" s="98"/>
      <c r="G195" s="16"/>
      <c r="I195" s="14"/>
      <c r="J195" s="99"/>
      <c r="L195" s="2" t="s">
        <v>46</v>
      </c>
      <c r="M195" s="14">
        <f>$E195*$B$162*B$237/100+$E195*$B$163*B$249/100</f>
        <v>3047.6591678042919</v>
      </c>
      <c r="N195" s="14">
        <f>$E195*$B$162*C$237/100+$E195*$B$163*C$249/100</f>
        <v>6048.4682287862252</v>
      </c>
      <c r="O195" s="14">
        <f>$E195*$B$162*D$237/100+$E195*$B$163*D$249/100</f>
        <v>17127.360187190974</v>
      </c>
      <c r="P195" s="14">
        <f>$E195*$B$162*E$237/100+$E195*$B$163*E$249/100</f>
        <v>15028.972087126875</v>
      </c>
      <c r="Q195" s="14">
        <f>$E195*$B$162*F$237/100+$E195*$B$163*F$249/100</f>
        <v>5843.2404758870462</v>
      </c>
      <c r="R195" s="14">
        <f>$E195*$B$162*G$237/100+$E195*$B$163*G$249/100</f>
        <v>12891.927770352484</v>
      </c>
      <c r="S195" s="14">
        <f>$E195*$B$162*H$237/100+$E195*$B$163*H$249/100</f>
        <v>7721.7112550549064</v>
      </c>
      <c r="T195" s="14">
        <f>$E195*$B$162*I$237/100+$E195*$B$163*I$249/100</f>
        <v>4099.3297775642604</v>
      </c>
      <c r="U195" s="14">
        <f>$E195*$B$162*J$237/100+$E195*$B$163*J$249/100</f>
        <v>18741.859594909714</v>
      </c>
      <c r="V195" s="14">
        <f t="shared" si="30"/>
        <v>90550.528544676781</v>
      </c>
    </row>
    <row r="196" spans="1:22" ht="9.9499999999999993" customHeight="1" x14ac:dyDescent="0.15">
      <c r="A196" s="2" t="s">
        <v>47</v>
      </c>
      <c r="B196" s="96"/>
      <c r="E196" s="14">
        <f t="shared" si="33"/>
        <v>209040.46059563299</v>
      </c>
      <c r="F196" s="98"/>
      <c r="G196" s="16"/>
      <c r="I196" s="14"/>
      <c r="J196" s="99"/>
      <c r="L196" s="2" t="s">
        <v>47</v>
      </c>
      <c r="M196" s="14">
        <f>$E196*$B$162*B$237/100+$E196*$B$163*B$249/100</f>
        <v>7035.6748482366011</v>
      </c>
      <c r="N196" s="14">
        <f>$E196*$B$162*C$237/100+$E196*$B$163*C$249/100</f>
        <v>13963.193862746968</v>
      </c>
      <c r="O196" s="14">
        <f>$E196*$B$162*D$237/100+$E196*$B$163*D$249/100</f>
        <v>39539.374533316128</v>
      </c>
      <c r="P196" s="14">
        <f>$E196*$B$162*E$237/100+$E196*$B$163*E$249/100</f>
        <v>34695.139806079067</v>
      </c>
      <c r="Q196" s="14">
        <f>$E196*$B$162*F$237/100+$E196*$B$163*F$249/100</f>
        <v>13489.415247839333</v>
      </c>
      <c r="R196" s="14">
        <f>$E196*$B$162*G$237/100+$E196*$B$163*G$249/100</f>
        <v>29761.66525356569</v>
      </c>
      <c r="S196" s="14">
        <f>$E196*$B$162*H$237/100+$E196*$B$163*H$249/100</f>
        <v>17825.959751816961</v>
      </c>
      <c r="T196" s="14">
        <f>$E196*$B$162*I$237/100+$E196*$B$163*I$249/100</f>
        <v>9463.5094748522388</v>
      </c>
      <c r="U196" s="14">
        <f>$E196*$B$162*J$237/100+$E196*$B$163*J$249/100</f>
        <v>43266.527817180002</v>
      </c>
      <c r="V196" s="14">
        <f t="shared" si="30"/>
        <v>209040.46059563299</v>
      </c>
    </row>
    <row r="197" spans="1:22" ht="9.9499999999999993" customHeight="1" x14ac:dyDescent="0.15">
      <c r="A197" s="2" t="s">
        <v>48</v>
      </c>
      <c r="B197" s="96"/>
      <c r="E197" s="14">
        <f t="shared" si="33"/>
        <v>49693.819369234043</v>
      </c>
      <c r="F197" s="98"/>
      <c r="G197" s="16"/>
      <c r="I197" s="14"/>
      <c r="J197" s="99"/>
      <c r="L197" s="2" t="s">
        <v>48</v>
      </c>
      <c r="M197" s="14">
        <f>$E197*$B$162*B$237/100+$E197*$B$163*B$249/100</f>
        <v>1672.5448941927791</v>
      </c>
      <c r="N197" s="14">
        <f>$E197*$B$162*C$237/100+$E197*$B$163*C$249/100</f>
        <v>3319.3786105130739</v>
      </c>
      <c r="O197" s="14">
        <f>$E197*$B$162*D$237/100+$E197*$B$163*D$249/100</f>
        <v>9399.4365035002775</v>
      </c>
      <c r="P197" s="14">
        <f>$E197*$B$162*E$237/100+$E197*$B$163*E$249/100</f>
        <v>8247.848314153749</v>
      </c>
      <c r="Q197" s="14">
        <f>$E197*$B$162*F$237/100+$E197*$B$163*F$249/100</f>
        <v>3206.7503238974555</v>
      </c>
      <c r="R197" s="14">
        <f>$E197*$B$162*G$237/100+$E197*$B$163*G$249/100</f>
        <v>7075.0457257134431</v>
      </c>
      <c r="S197" s="14">
        <f>$E197*$B$162*H$237/100+$E197*$B$163*H$249/100</f>
        <v>4237.6486421142818</v>
      </c>
      <c r="T197" s="14">
        <f>$E197*$B$162*I$237/100+$E197*$B$163*I$249/100</f>
        <v>2249.6981163471783</v>
      </c>
      <c r="U197" s="14">
        <f>$E197*$B$162*J$237/100+$E197*$B$163*J$249/100</f>
        <v>10285.468238801806</v>
      </c>
      <c r="V197" s="14">
        <f t="shared" si="30"/>
        <v>49693.81936923405</v>
      </c>
    </row>
    <row r="198" spans="1:22" ht="9.9499999999999993" customHeight="1" x14ac:dyDescent="0.15">
      <c r="A198" s="2" t="s">
        <v>150</v>
      </c>
      <c r="B198" s="96"/>
      <c r="D198" s="14"/>
      <c r="E198" s="14">
        <f t="shared" si="33"/>
        <v>3583.6768539899999</v>
      </c>
      <c r="F198" s="98"/>
      <c r="G198" s="16"/>
      <c r="I198" s="14"/>
      <c r="J198" s="99"/>
      <c r="L198" s="2" t="s">
        <v>150</v>
      </c>
      <c r="M198" s="14">
        <f>$E198*$B$162*B$237/100+$E198*$B$163*B$249/100</f>
        <v>120.61581300568488</v>
      </c>
      <c r="N198" s="14">
        <f>$E198*$B$162*C$237/100+$E198*$B$163*C$249/100</f>
        <v>239.37746076104315</v>
      </c>
      <c r="O198" s="14">
        <f>$E198*$B$162*D$237/100+$E198*$B$163*D$249/100</f>
        <v>677.84170075277189</v>
      </c>
      <c r="P198" s="14">
        <f>$E198*$B$162*E$237/100+$E198*$B$163*E$249/100</f>
        <v>594.7947546360798</v>
      </c>
      <c r="Q198" s="14">
        <f>$E198*$B$162*F$237/100+$E198*$B$163*F$249/100</f>
        <v>231.25525584759211</v>
      </c>
      <c r="R198" s="14">
        <f>$E198*$B$162*G$237/100+$E198*$B$163*G$249/100</f>
        <v>510.21792911046578</v>
      </c>
      <c r="S198" s="14">
        <f>$E198*$B$162*H$237/100+$E198*$B$163*H$249/100</f>
        <v>305.59863473663961</v>
      </c>
      <c r="T198" s="14">
        <f>$E198*$B$162*I$237/100+$E198*$B$163*I$249/100</f>
        <v>162.23729973570255</v>
      </c>
      <c r="U198" s="14">
        <f>$E198*$B$162*J$237/100+$E198*$B$163*J$249/100</f>
        <v>741.73800540401999</v>
      </c>
      <c r="V198" s="14">
        <f t="shared" si="30"/>
        <v>3583.6768539899999</v>
      </c>
    </row>
    <row r="199" spans="1:22" ht="9.9499999999999993" customHeight="1" x14ac:dyDescent="0.15">
      <c r="A199" s="2" t="s">
        <v>25</v>
      </c>
      <c r="B199" s="104" t="s">
        <v>151</v>
      </c>
      <c r="C199" s="2" t="s">
        <v>174</v>
      </c>
      <c r="E199" s="14">
        <f>T63</f>
        <v>0</v>
      </c>
      <c r="F199" s="98">
        <f t="shared" ref="F199:F206" si="34">E199/$E$208</f>
        <v>0</v>
      </c>
      <c r="G199" s="16"/>
      <c r="I199" s="14"/>
      <c r="J199" s="99"/>
      <c r="L199" s="2" t="s">
        <v>25</v>
      </c>
      <c r="M199" s="14">
        <f>$E199/100*B237</f>
        <v>0</v>
      </c>
      <c r="N199" s="14">
        <f>$E199/100*C237</f>
        <v>0</v>
      </c>
      <c r="O199" s="14">
        <f>$E199/100*D237</f>
        <v>0</v>
      </c>
      <c r="P199" s="14">
        <f>$E199/100*E237</f>
        <v>0</v>
      </c>
      <c r="Q199" s="14">
        <f>$E199/100*F237</f>
        <v>0</v>
      </c>
      <c r="R199" s="14">
        <f>$E199/100*G237</f>
        <v>0</v>
      </c>
      <c r="S199" s="14">
        <f>$E199/100*H237</f>
        <v>0</v>
      </c>
      <c r="T199" s="14">
        <f>$E199/100*I237</f>
        <v>0</v>
      </c>
      <c r="U199" s="14">
        <f>$E199/100*J237</f>
        <v>0</v>
      </c>
      <c r="V199" s="14">
        <f t="shared" si="30"/>
        <v>0</v>
      </c>
    </row>
    <row r="200" spans="1:22" ht="9.9499999999999993" customHeight="1" x14ac:dyDescent="0.2">
      <c r="A200" s="2" t="s">
        <v>153</v>
      </c>
      <c r="B200" s="104" t="s">
        <v>151</v>
      </c>
      <c r="C200" s="2" t="s">
        <v>174</v>
      </c>
      <c r="E200" s="14">
        <f>T66</f>
        <v>3.811400295893161</v>
      </c>
      <c r="F200" s="98">
        <f t="shared" si="34"/>
        <v>2.6312458823184044E-7</v>
      </c>
      <c r="G200" s="16"/>
      <c r="H200" s="111"/>
      <c r="I200" s="111"/>
      <c r="J200" s="111"/>
      <c r="L200" s="2" t="s">
        <v>153</v>
      </c>
      <c r="M200" s="14">
        <f>$E200/100*B237</f>
        <v>0.1295962472395944</v>
      </c>
      <c r="N200" s="14">
        <f>$E200/100*C237</f>
        <v>0.25229862826535149</v>
      </c>
      <c r="O200" s="14">
        <f>$E200/100*D237</f>
        <v>0.73247861541222803</v>
      </c>
      <c r="P200" s="14">
        <f>$E200/100*E237</f>
        <v>0.64132961019984758</v>
      </c>
      <c r="Q200" s="14">
        <f>$E200/100*F237</f>
        <v>0.24000198870106321</v>
      </c>
      <c r="R200" s="14">
        <f>$E200/100*G237</f>
        <v>0.54824994139556782</v>
      </c>
      <c r="S200" s="14">
        <f>$E200/100*H237</f>
        <v>0.32177076323832837</v>
      </c>
      <c r="T200" s="14">
        <f>$E200/100*I237</f>
        <v>0.16804394290017097</v>
      </c>
      <c r="U200" s="14">
        <f>$E200/100*J237</f>
        <v>0.77763055854100904</v>
      </c>
      <c r="V200" s="14">
        <f t="shared" si="30"/>
        <v>3.8114002958931605</v>
      </c>
    </row>
    <row r="201" spans="1:22" ht="9.9499999999999993" customHeight="1" x14ac:dyDescent="0.15">
      <c r="A201" s="2" t="s">
        <v>34</v>
      </c>
      <c r="B201" s="104" t="s">
        <v>151</v>
      </c>
      <c r="C201" s="2" t="s">
        <v>64</v>
      </c>
      <c r="E201" s="14">
        <f>T70</f>
        <v>9574.1657381691839</v>
      </c>
      <c r="F201" s="98">
        <f t="shared" si="34"/>
        <v>6.6096400848623385E-4</v>
      </c>
      <c r="G201" s="16"/>
      <c r="L201" s="2" t="s">
        <v>34</v>
      </c>
      <c r="M201" s="14">
        <f>$E$201/100*B247</f>
        <v>0</v>
      </c>
      <c r="N201" s="14">
        <f>$E$201/100*C247</f>
        <v>2905.9507848491103</v>
      </c>
      <c r="O201" s="14">
        <f>$E$201/100*D247</f>
        <v>0</v>
      </c>
      <c r="P201" s="14">
        <f>$E$201/100*E247</f>
        <v>0</v>
      </c>
      <c r="Q201" s="14">
        <f>$E$201/100*F247</f>
        <v>0</v>
      </c>
      <c r="R201" s="14">
        <f>$E$201/100*G247</f>
        <v>5465.1252866617333</v>
      </c>
      <c r="S201" s="14">
        <f>$E$201/100*H247</f>
        <v>0</v>
      </c>
      <c r="T201" s="14">
        <f>$E$201/100*I247</f>
        <v>1203.0896666583396</v>
      </c>
      <c r="U201" s="14">
        <f>$E$201/100*J247</f>
        <v>0</v>
      </c>
      <c r="V201" s="14">
        <f t="shared" si="30"/>
        <v>9574.1657381691839</v>
      </c>
    </row>
    <row r="202" spans="1:22" ht="9.9499999999999993" customHeight="1" x14ac:dyDescent="0.15">
      <c r="A202" s="2" t="s">
        <v>98</v>
      </c>
      <c r="B202" s="104" t="s">
        <v>151</v>
      </c>
      <c r="C202" s="2" t="s">
        <v>174</v>
      </c>
      <c r="E202" s="14">
        <f>T71</f>
        <v>704862.98820430599</v>
      </c>
      <c r="F202" s="98">
        <f t="shared" si="34"/>
        <v>4.8661061324617567E-2</v>
      </c>
      <c r="G202" s="16"/>
      <c r="L202" s="2" t="s">
        <v>98</v>
      </c>
      <c r="M202" s="14">
        <f>$E$202*B237/100</f>
        <v>23966.938919481352</v>
      </c>
      <c r="N202" s="14">
        <f>$E$202*C237/100</f>
        <v>46658.957661986817</v>
      </c>
      <c r="O202" s="14">
        <f>$E$202*D237/100</f>
        <v>135461.25454509023</v>
      </c>
      <c r="P202" s="14">
        <f>$E$202*E237/100</f>
        <v>118604.57322114846</v>
      </c>
      <c r="Q202" s="14">
        <f>$E$202*F237/100</f>
        <v>44384.87322181536</v>
      </c>
      <c r="R202" s="14">
        <f>$E$202*G237/100</f>
        <v>101390.84377762982</v>
      </c>
      <c r="S202" s="14">
        <f>$E$202*H237/100</f>
        <v>59506.817464786713</v>
      </c>
      <c r="T202" s="14">
        <f>$E$202*I237/100</f>
        <v>31077.280407906164</v>
      </c>
      <c r="U202" s="14">
        <f>$E$202*J237/100</f>
        <v>143811.44898446105</v>
      </c>
      <c r="V202" s="14">
        <f t="shared" si="30"/>
        <v>704862.98820430599</v>
      </c>
    </row>
    <row r="203" spans="1:22" ht="9.9499999999999993" customHeight="1" x14ac:dyDescent="0.15">
      <c r="A203" s="2" t="s">
        <v>36</v>
      </c>
      <c r="B203" s="74"/>
      <c r="E203" s="14">
        <f>T72</f>
        <v>0</v>
      </c>
      <c r="F203" s="98">
        <f t="shared" si="34"/>
        <v>0</v>
      </c>
      <c r="G203" s="16"/>
      <c r="L203" s="2" t="s">
        <v>36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f t="shared" si="30"/>
        <v>0</v>
      </c>
    </row>
    <row r="204" spans="1:22" ht="9.9499999999999993" customHeight="1" x14ac:dyDescent="0.15">
      <c r="A204" s="2" t="s">
        <v>37</v>
      </c>
      <c r="B204" s="74"/>
      <c r="E204" s="14">
        <f>T73</f>
        <v>0</v>
      </c>
      <c r="F204" s="98">
        <f t="shared" si="34"/>
        <v>0</v>
      </c>
      <c r="G204" s="16"/>
      <c r="L204" s="2" t="s">
        <v>37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f t="shared" si="30"/>
        <v>0</v>
      </c>
    </row>
    <row r="205" spans="1:22" ht="9.9499999999999993" customHeight="1" x14ac:dyDescent="0.15">
      <c r="A205" s="2" t="s">
        <v>121</v>
      </c>
      <c r="B205" s="104" t="s">
        <v>151</v>
      </c>
      <c r="C205" s="97" t="s">
        <v>157</v>
      </c>
      <c r="E205" s="14">
        <f>T86</f>
        <v>545.02969710000002</v>
      </c>
      <c r="F205" s="98">
        <f t="shared" si="34"/>
        <v>3.7626778477739366E-5</v>
      </c>
      <c r="G205" s="16"/>
      <c r="L205" s="2" t="s">
        <v>121</v>
      </c>
      <c r="M205" s="14">
        <f>$E205/100*B242</f>
        <v>0</v>
      </c>
      <c r="N205" s="14">
        <f>$E205/100*C242</f>
        <v>50.75</v>
      </c>
      <c r="O205" s="14">
        <f>$E205/100*D242</f>
        <v>50.75</v>
      </c>
      <c r="P205" s="14">
        <f>$E205/100*E242</f>
        <v>50.75</v>
      </c>
      <c r="Q205" s="14">
        <f>$E205/100*F242</f>
        <v>56.743518300000005</v>
      </c>
      <c r="R205" s="14">
        <f>$E205/100*G242</f>
        <v>50.75</v>
      </c>
      <c r="S205" s="14">
        <f>$E205/100*H242</f>
        <v>152.25</v>
      </c>
      <c r="T205" s="14">
        <f>$E205/100*I242</f>
        <v>82.286178800000002</v>
      </c>
      <c r="U205" s="14">
        <f>$E205/100*J242</f>
        <v>50.75</v>
      </c>
      <c r="V205" s="14">
        <f t="shared" si="30"/>
        <v>545.02969710000002</v>
      </c>
    </row>
    <row r="206" spans="1:22" ht="9.9499999999999993" customHeight="1" x14ac:dyDescent="0.15">
      <c r="A206" s="2" t="s">
        <v>124</v>
      </c>
      <c r="B206" s="104" t="s">
        <v>151</v>
      </c>
      <c r="C206" s="97" t="s">
        <v>158</v>
      </c>
      <c r="E206" s="14">
        <f>T87</f>
        <v>7473.5014100000017</v>
      </c>
      <c r="F206" s="98">
        <f t="shared" si="34"/>
        <v>5.1594212848102598E-4</v>
      </c>
      <c r="L206" s="2" t="s">
        <v>124</v>
      </c>
      <c r="M206" s="14">
        <f>$E206/100*B243</f>
        <v>0</v>
      </c>
      <c r="N206" s="14">
        <f>$E206/100*C243</f>
        <v>562.58188399999995</v>
      </c>
      <c r="O206" s="14">
        <f>$E206/100*D243</f>
        <v>469.88216599999998</v>
      </c>
      <c r="P206" s="14">
        <f>$E206/100*E243</f>
        <v>634.805564</v>
      </c>
      <c r="Q206" s="14">
        <f>$E206/100*F243</f>
        <v>668.35134599999992</v>
      </c>
      <c r="R206" s="14">
        <f>$E206/100*G243</f>
        <v>194.104026</v>
      </c>
      <c r="S206" s="14">
        <f>$E206/100*H243</f>
        <v>1144.005204</v>
      </c>
      <c r="T206" s="14">
        <f>$E206/100*I243</f>
        <v>2356.7760800000005</v>
      </c>
      <c r="U206" s="14">
        <f>$E206/100*J243</f>
        <v>1442.99514</v>
      </c>
      <c r="V206" s="14">
        <f t="shared" si="30"/>
        <v>7473.5014100000008</v>
      </c>
    </row>
    <row r="207" spans="1:22" ht="9.9499999999999993" customHeight="1" x14ac:dyDescent="0.15">
      <c r="E207" s="14"/>
      <c r="F207" s="95"/>
    </row>
    <row r="208" spans="1:22" ht="9.9499999999999993" customHeight="1" x14ac:dyDescent="0.15">
      <c r="A208" s="2" t="s">
        <v>52</v>
      </c>
      <c r="E208" s="14">
        <f>SUM(E172:E206)</f>
        <v>14485154.433894699</v>
      </c>
      <c r="F208" s="98">
        <f>SUM(F162:F206)</f>
        <v>1</v>
      </c>
      <c r="L208" s="2" t="s">
        <v>52</v>
      </c>
      <c r="M208" s="14">
        <f t="shared" ref="M208:U208" si="35">SUM(M172:M206)</f>
        <v>476567.46938679001</v>
      </c>
      <c r="N208" s="14">
        <f t="shared" si="35"/>
        <v>962579.07928829745</v>
      </c>
      <c r="O208" s="14">
        <f t="shared" si="35"/>
        <v>2692660.4426451167</v>
      </c>
      <c r="P208" s="14">
        <f t="shared" si="35"/>
        <v>2353052.8401422617</v>
      </c>
      <c r="Q208" s="14">
        <f t="shared" si="35"/>
        <v>940012.3198107878</v>
      </c>
      <c r="R208" s="14">
        <f t="shared" si="35"/>
        <v>2013213.7905641049</v>
      </c>
      <c r="S208" s="14">
        <f t="shared" si="35"/>
        <v>1225187.9710543123</v>
      </c>
      <c r="T208" s="14">
        <f t="shared" si="35"/>
        <v>658446.59672070062</v>
      </c>
      <c r="U208" s="14">
        <f t="shared" si="35"/>
        <v>3036275.7792823226</v>
      </c>
      <c r="V208" s="90">
        <f>SUM(M208:U208)</f>
        <v>14357996.288894694</v>
      </c>
    </row>
    <row r="209" spans="1:23" ht="9.9499999999999993" customHeight="1" x14ac:dyDescent="0.15">
      <c r="E209" s="14"/>
      <c r="F209" s="95"/>
      <c r="L209" s="47" t="s">
        <v>175</v>
      </c>
      <c r="M209" s="14">
        <f>B232</f>
        <v>6376</v>
      </c>
      <c r="N209" s="14">
        <f t="shared" ref="N209:U209" si="36">C232</f>
        <v>12324.5</v>
      </c>
      <c r="O209" s="14">
        <f t="shared" si="36"/>
        <v>35492</v>
      </c>
      <c r="P209" s="14">
        <f t="shared" si="36"/>
        <v>19788.580000000002</v>
      </c>
      <c r="Q209" s="14">
        <f t="shared" si="36"/>
        <v>9267.5</v>
      </c>
      <c r="R209" s="14">
        <f t="shared" si="36"/>
        <v>27473.764999999999</v>
      </c>
      <c r="S209" s="14">
        <f t="shared" si="36"/>
        <v>10549</v>
      </c>
      <c r="T209" s="14">
        <f t="shared" si="36"/>
        <v>5886.8</v>
      </c>
      <c r="U209" s="14">
        <f t="shared" si="36"/>
        <v>0</v>
      </c>
      <c r="V209" s="14">
        <f>SUM(M209:U209)</f>
        <v>127158.145</v>
      </c>
    </row>
    <row r="210" spans="1:23" ht="9.9499999999999993" customHeight="1" x14ac:dyDescent="0.15">
      <c r="E210" s="14"/>
      <c r="F210" s="95"/>
      <c r="L210" s="2" t="s">
        <v>176</v>
      </c>
      <c r="M210" s="90">
        <f>M208+M209</f>
        <v>482943.46938679001</v>
      </c>
      <c r="N210" s="90">
        <f t="shared" ref="N210:U210" si="37">N208+N209</f>
        <v>974903.57928829745</v>
      </c>
      <c r="O210" s="90">
        <f t="shared" si="37"/>
        <v>2728152.4426451167</v>
      </c>
      <c r="P210" s="90">
        <f t="shared" si="37"/>
        <v>2372841.4201422618</v>
      </c>
      <c r="Q210" s="90">
        <f t="shared" si="37"/>
        <v>949279.8198107878</v>
      </c>
      <c r="R210" s="90">
        <f t="shared" si="37"/>
        <v>2040687.5555641048</v>
      </c>
      <c r="S210" s="90">
        <f t="shared" si="37"/>
        <v>1235736.9710543123</v>
      </c>
      <c r="T210" s="90">
        <f t="shared" si="37"/>
        <v>664333.39672070066</v>
      </c>
      <c r="U210" s="90">
        <f t="shared" si="37"/>
        <v>3036275.7792823226</v>
      </c>
      <c r="V210" s="90">
        <f>SUM(M210:U210)</f>
        <v>14485154.433894692</v>
      </c>
    </row>
    <row r="211" spans="1:23" ht="9.9499999999999993" customHeight="1" x14ac:dyDescent="0.15">
      <c r="E211" s="14"/>
      <c r="F211" s="95"/>
      <c r="L211" s="47"/>
      <c r="M211" s="14"/>
      <c r="N211" s="14"/>
      <c r="O211" s="14"/>
      <c r="P211" s="14"/>
      <c r="Q211" s="14"/>
      <c r="R211" s="14"/>
      <c r="S211" s="14"/>
      <c r="T211" s="14"/>
      <c r="U211" s="14"/>
      <c r="V211" s="14"/>
    </row>
    <row r="212" spans="1:23" ht="9.9499999999999993" customHeight="1" x14ac:dyDescent="0.2">
      <c r="A212" s="115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2"/>
    </row>
    <row r="213" spans="1:23" ht="9.9499999999999993" customHeight="1" x14ac:dyDescent="0.2">
      <c r="A213" s="115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92"/>
    </row>
    <row r="214" spans="1:23" ht="9.9499999999999993" customHeight="1" x14ac:dyDescent="0.15">
      <c r="A214" s="115"/>
    </row>
    <row r="215" spans="1:23" ht="9.9499999999999993" customHeight="1" x14ac:dyDescent="0.15">
      <c r="A215" s="1" t="s">
        <v>177</v>
      </c>
      <c r="B215" s="20" t="s">
        <v>129</v>
      </c>
      <c r="C215" s="20" t="s">
        <v>130</v>
      </c>
      <c r="D215" s="20" t="s">
        <v>131</v>
      </c>
      <c r="E215" s="20" t="s">
        <v>132</v>
      </c>
      <c r="F215" s="20" t="s">
        <v>133</v>
      </c>
      <c r="G215" s="20" t="s">
        <v>134</v>
      </c>
      <c r="H215" s="20" t="s">
        <v>135</v>
      </c>
      <c r="I215" s="20" t="s">
        <v>136</v>
      </c>
      <c r="J215" s="20" t="s">
        <v>137</v>
      </c>
      <c r="K215" s="60" t="s">
        <v>52</v>
      </c>
    </row>
    <row r="216" spans="1:23" ht="9.9499999999999993" customHeight="1" x14ac:dyDescent="0.15">
      <c r="A216" s="2" t="s">
        <v>178</v>
      </c>
      <c r="K216" s="14"/>
    </row>
    <row r="217" spans="1:23" ht="9.9499999999999993" customHeight="1" x14ac:dyDescent="0.15">
      <c r="A217" s="2" t="s">
        <v>195</v>
      </c>
      <c r="B217" s="14">
        <v>285685</v>
      </c>
      <c r="C217" s="14">
        <v>556173</v>
      </c>
      <c r="D217" s="14">
        <v>1614693</v>
      </c>
      <c r="E217" s="14">
        <v>1413762</v>
      </c>
      <c r="F217" s="14">
        <v>529066</v>
      </c>
      <c r="G217" s="14">
        <v>1208575</v>
      </c>
      <c r="H217" s="14">
        <v>709319</v>
      </c>
      <c r="I217" s="14">
        <v>370440</v>
      </c>
      <c r="J217" s="14">
        <v>1714227</v>
      </c>
      <c r="K217" s="14">
        <f>SUM(B217:J217)</f>
        <v>8401940</v>
      </c>
    </row>
    <row r="218" spans="1:23" ht="9.9499999999999993" customHeight="1" x14ac:dyDescent="0.15">
      <c r="A218" s="2" t="s">
        <v>142</v>
      </c>
      <c r="B218" s="116">
        <v>466326.89552238816</v>
      </c>
      <c r="C218" s="116">
        <v>1020669.4676616921</v>
      </c>
      <c r="D218" s="116">
        <v>2718466.8059701505</v>
      </c>
      <c r="E218" s="116">
        <v>2498503.0845771185</v>
      </c>
      <c r="F218" s="116">
        <v>968773.1094527368</v>
      </c>
      <c r="G218" s="116">
        <v>2157755.5671641761</v>
      </c>
      <c r="H218" s="116">
        <v>1234463.0845771139</v>
      </c>
      <c r="I218" s="116">
        <v>652841.64676616923</v>
      </c>
      <c r="J218" s="116">
        <v>3999863.0000000005</v>
      </c>
      <c r="K218" s="117">
        <f t="shared" ref="K218:K233" si="38">SUM(B218:J218)</f>
        <v>15717662.661691545</v>
      </c>
    </row>
    <row r="219" spans="1:23" ht="9.9499999999999993" customHeight="1" x14ac:dyDescent="0.15">
      <c r="A219" s="2" t="s">
        <v>155</v>
      </c>
      <c r="B219" s="14">
        <v>15938.257519999999</v>
      </c>
      <c r="C219" s="14">
        <v>43033.042880000001</v>
      </c>
      <c r="D219" s="14">
        <v>119431.7096</v>
      </c>
      <c r="E219" s="14">
        <v>102871.56904</v>
      </c>
      <c r="F219" s="14">
        <v>63059.89516</v>
      </c>
      <c r="G219" s="14">
        <v>86114.078840000002</v>
      </c>
      <c r="H219" s="14">
        <v>87485.42889000001</v>
      </c>
      <c r="I219" s="14">
        <v>42390.398980000005</v>
      </c>
      <c r="J219" s="14">
        <v>229956.14372000002</v>
      </c>
      <c r="K219" s="14">
        <f t="shared" si="38"/>
        <v>790280.52463000012</v>
      </c>
    </row>
    <row r="220" spans="1:23" ht="9.9499999999999993" customHeight="1" x14ac:dyDescent="0.15">
      <c r="A220" s="2" t="s">
        <v>179</v>
      </c>
      <c r="B220" s="14">
        <v>161.90038000000001</v>
      </c>
      <c r="C220" s="14">
        <v>484.31742000000003</v>
      </c>
      <c r="D220" s="14">
        <v>1013.14144</v>
      </c>
      <c r="E220" s="14">
        <v>1201.31511</v>
      </c>
      <c r="F220" s="14">
        <v>429.68644</v>
      </c>
      <c r="G220" s="14">
        <v>794.73098999999991</v>
      </c>
      <c r="H220" s="14">
        <v>658.97307999999987</v>
      </c>
      <c r="I220" s="14">
        <v>129.14129</v>
      </c>
      <c r="J220" s="14">
        <v>975.01988999999992</v>
      </c>
      <c r="K220" s="14">
        <f t="shared" si="38"/>
        <v>5848.2260399999996</v>
      </c>
    </row>
    <row r="221" spans="1:23" ht="9.9499999999999993" customHeight="1" x14ac:dyDescent="0.15">
      <c r="A221" s="2" t="s">
        <v>180</v>
      </c>
      <c r="B221" s="14">
        <v>17.14265</v>
      </c>
      <c r="C221" s="14">
        <v>80.717349999999996</v>
      </c>
      <c r="D221" s="14">
        <v>552.10775000000001</v>
      </c>
      <c r="E221" s="14">
        <v>1378.60681</v>
      </c>
      <c r="F221" s="14">
        <v>10867.613370000001</v>
      </c>
      <c r="G221" s="14">
        <v>595.50169999999991</v>
      </c>
      <c r="H221" s="14">
        <v>2474.6638299999995</v>
      </c>
      <c r="I221" s="14">
        <v>440.41803000000004</v>
      </c>
      <c r="J221" s="14">
        <v>2732.6499299999996</v>
      </c>
      <c r="K221" s="14">
        <f t="shared" si="38"/>
        <v>19139.421419999999</v>
      </c>
    </row>
    <row r="222" spans="1:23" ht="9.9499999999999993" customHeight="1" x14ac:dyDescent="0.15">
      <c r="A222" s="50" t="s">
        <v>181</v>
      </c>
      <c r="B222" s="14">
        <v>0</v>
      </c>
      <c r="C222" s="14">
        <v>725</v>
      </c>
      <c r="D222" s="14">
        <v>725</v>
      </c>
      <c r="E222" s="14">
        <v>725</v>
      </c>
      <c r="F222" s="14">
        <v>810.62169000000006</v>
      </c>
      <c r="G222" s="14">
        <v>725</v>
      </c>
      <c r="H222" s="14">
        <v>2175</v>
      </c>
      <c r="I222" s="14">
        <v>1175.51684</v>
      </c>
      <c r="J222" s="14">
        <v>725</v>
      </c>
      <c r="K222" s="14">
        <f t="shared" si="38"/>
        <v>7786.1385300000002</v>
      </c>
    </row>
    <row r="223" spans="1:23" ht="9.9499999999999993" customHeight="1" x14ac:dyDescent="0.15">
      <c r="A223" s="50" t="s">
        <v>182</v>
      </c>
      <c r="B223" s="14">
        <v>0</v>
      </c>
      <c r="C223" s="14">
        <v>2812.90942</v>
      </c>
      <c r="D223" s="14">
        <v>2349.4108299999998</v>
      </c>
      <c r="E223" s="14">
        <v>3174.0278200000002</v>
      </c>
      <c r="F223" s="14">
        <v>3341.7567299999996</v>
      </c>
      <c r="G223" s="14">
        <v>970.52013000000011</v>
      </c>
      <c r="H223" s="14">
        <v>5720.0260200000012</v>
      </c>
      <c r="I223" s="14">
        <v>11783.880400000002</v>
      </c>
      <c r="J223" s="14">
        <v>7214.9757</v>
      </c>
      <c r="K223" s="14">
        <f t="shared" si="38"/>
        <v>37367.507050000007</v>
      </c>
    </row>
    <row r="224" spans="1:23" ht="9.9499999999999993" customHeight="1" x14ac:dyDescent="0.15">
      <c r="A224" s="2" t="s">
        <v>183</v>
      </c>
      <c r="B224" s="2">
        <v>2.5720000000000001</v>
      </c>
      <c r="C224" s="2">
        <v>6.8970000000000002</v>
      </c>
      <c r="D224" s="2">
        <v>14.451000000000001</v>
      </c>
      <c r="E224" s="2">
        <v>13.692</v>
      </c>
      <c r="F224" s="2">
        <v>6.4290000000000003</v>
      </c>
      <c r="G224" s="2">
        <v>12.884</v>
      </c>
      <c r="H224" s="2">
        <v>7.9820000000000002</v>
      </c>
      <c r="I224" s="2">
        <v>3.7170000000000001</v>
      </c>
      <c r="J224" s="2">
        <v>31.376000000000001</v>
      </c>
      <c r="K224" s="119">
        <f t="shared" si="38"/>
        <v>100.00000000000001</v>
      </c>
    </row>
    <row r="225" spans="1:11" ht="9.9499999999999993" customHeight="1" x14ac:dyDescent="0.15">
      <c r="A225" s="2" t="s">
        <v>184</v>
      </c>
      <c r="B225" s="119">
        <v>2.5049999999999999</v>
      </c>
      <c r="C225" s="119">
        <v>8.4960000000000004</v>
      </c>
      <c r="D225" s="119">
        <v>15.185</v>
      </c>
      <c r="E225" s="119">
        <v>14.587</v>
      </c>
      <c r="F225" s="119">
        <v>9.4260000000000002</v>
      </c>
      <c r="G225" s="119">
        <v>13.086</v>
      </c>
      <c r="H225" s="119">
        <v>14.512</v>
      </c>
      <c r="I225" s="119">
        <v>4.8109999999999999</v>
      </c>
      <c r="J225" s="119">
        <v>17.391999999999999</v>
      </c>
      <c r="K225" s="119">
        <f t="shared" si="38"/>
        <v>100</v>
      </c>
    </row>
    <row r="226" spans="1:11" ht="9.9499999999999993" customHeight="1" x14ac:dyDescent="0.15">
      <c r="A226" s="2" t="s">
        <v>185</v>
      </c>
      <c r="B226" s="119">
        <v>0.11799999999999999</v>
      </c>
      <c r="C226" s="119">
        <v>1.0189999999999999</v>
      </c>
      <c r="D226" s="119">
        <v>14.471</v>
      </c>
      <c r="E226" s="119">
        <v>7.2480000000000002</v>
      </c>
      <c r="F226" s="119">
        <v>4.9370000000000003</v>
      </c>
      <c r="G226" s="119">
        <v>2.48</v>
      </c>
      <c r="H226" s="119">
        <v>1.077</v>
      </c>
      <c r="I226" s="119">
        <v>0.79700000000000004</v>
      </c>
      <c r="J226" s="119">
        <v>67.852999999999994</v>
      </c>
      <c r="K226" s="119">
        <f t="shared" si="38"/>
        <v>100</v>
      </c>
    </row>
    <row r="227" spans="1:11" ht="9.9499999999999993" customHeight="1" x14ac:dyDescent="0.15">
      <c r="A227" s="2" t="s">
        <v>186</v>
      </c>
      <c r="B227" s="119">
        <v>0</v>
      </c>
      <c r="C227" s="119">
        <v>30.352</v>
      </c>
      <c r="D227" s="119">
        <v>0</v>
      </c>
      <c r="E227" s="119">
        <v>0</v>
      </c>
      <c r="F227" s="119">
        <v>0</v>
      </c>
      <c r="G227" s="119">
        <v>57.082000000000001</v>
      </c>
      <c r="H227" s="119">
        <v>0</v>
      </c>
      <c r="I227" s="119">
        <v>12.566000000000001</v>
      </c>
      <c r="J227" s="119">
        <v>0</v>
      </c>
      <c r="K227" s="119">
        <f t="shared" si="38"/>
        <v>100</v>
      </c>
    </row>
    <row r="228" spans="1:11" ht="9.9499999999999993" customHeight="1" x14ac:dyDescent="0.15">
      <c r="A228" s="2" t="s">
        <v>187</v>
      </c>
      <c r="B228" s="119">
        <v>1.26</v>
      </c>
      <c r="C228" s="119">
        <v>5.2909999999999995</v>
      </c>
      <c r="D228" s="119">
        <v>13.548999999999999</v>
      </c>
      <c r="E228" s="119">
        <v>16.498999999999999</v>
      </c>
      <c r="F228" s="119">
        <v>8.2509999999999994</v>
      </c>
      <c r="G228" s="119">
        <v>9.338000000000001</v>
      </c>
      <c r="H228" s="119">
        <v>8.9390000000000001</v>
      </c>
      <c r="I228" s="119">
        <v>5.9809999999999999</v>
      </c>
      <c r="J228" s="119">
        <v>30.891999999999996</v>
      </c>
      <c r="K228" s="119">
        <f t="shared" si="38"/>
        <v>99.999999999999986</v>
      </c>
    </row>
    <row r="229" spans="1:11" ht="9.9499999999999993" customHeight="1" x14ac:dyDescent="0.15">
      <c r="A229" s="2" t="s">
        <v>188</v>
      </c>
      <c r="B229" s="119">
        <v>3.25</v>
      </c>
      <c r="C229" s="119">
        <v>6.8809999999999993</v>
      </c>
      <c r="D229" s="119">
        <v>17.898</v>
      </c>
      <c r="E229" s="119">
        <v>15.828999999999999</v>
      </c>
      <c r="F229" s="119">
        <v>6.976</v>
      </c>
      <c r="G229" s="119">
        <v>13.744</v>
      </c>
      <c r="H229" s="119">
        <v>8.8130000000000006</v>
      </c>
      <c r="I229" s="119">
        <v>4.923</v>
      </c>
      <c r="J229" s="119">
        <v>21.686</v>
      </c>
      <c r="K229" s="119">
        <f t="shared" si="38"/>
        <v>100</v>
      </c>
    </row>
    <row r="230" spans="1:11" ht="9.9499999999999993" customHeight="1" x14ac:dyDescent="0.15">
      <c r="A230" s="2" t="s">
        <v>189</v>
      </c>
      <c r="B230" s="119">
        <v>671.29899999999998</v>
      </c>
      <c r="C230" s="119">
        <v>3004.4290000000001</v>
      </c>
      <c r="D230" s="119">
        <v>6184.1880000000001</v>
      </c>
      <c r="E230" s="119">
        <v>7013.6</v>
      </c>
      <c r="F230" s="119">
        <v>4155.6000000000004</v>
      </c>
      <c r="G230" s="119">
        <v>5338.1880000000001</v>
      </c>
      <c r="H230" s="119">
        <v>3010.0160000000001</v>
      </c>
      <c r="I230" s="119">
        <v>2968.4180000000001</v>
      </c>
      <c r="J230" s="119">
        <v>0</v>
      </c>
      <c r="K230" s="119">
        <f t="shared" si="38"/>
        <v>32345.738000000005</v>
      </c>
    </row>
    <row r="231" spans="1:11" ht="9.9499999999999993" customHeight="1" x14ac:dyDescent="0.15">
      <c r="A231" s="2" t="s">
        <v>190</v>
      </c>
      <c r="B231" s="119">
        <v>841</v>
      </c>
      <c r="C231" s="119">
        <v>2231</v>
      </c>
      <c r="D231" s="119">
        <v>26585</v>
      </c>
      <c r="E231" s="119">
        <v>2045</v>
      </c>
      <c r="F231" s="119">
        <v>1832</v>
      </c>
      <c r="G231" s="119">
        <v>3085</v>
      </c>
      <c r="H231" s="119">
        <v>1825</v>
      </c>
      <c r="I231" s="119">
        <v>1449</v>
      </c>
      <c r="J231" s="119">
        <v>39112</v>
      </c>
      <c r="K231" s="119">
        <f t="shared" si="38"/>
        <v>79005</v>
      </c>
    </row>
    <row r="232" spans="1:11" ht="9.9499999999999993" customHeight="1" x14ac:dyDescent="0.15">
      <c r="A232" s="2" t="s">
        <v>191</v>
      </c>
      <c r="B232" s="119">
        <v>6376</v>
      </c>
      <c r="C232" s="119">
        <v>12324.5</v>
      </c>
      <c r="D232" s="119">
        <v>35492</v>
      </c>
      <c r="E232" s="119">
        <v>19788.580000000002</v>
      </c>
      <c r="F232" s="119">
        <v>9267.5</v>
      </c>
      <c r="G232" s="119">
        <v>27473.764999999999</v>
      </c>
      <c r="H232" s="119">
        <v>10549</v>
      </c>
      <c r="I232" s="119">
        <v>5886.8</v>
      </c>
      <c r="J232" s="119">
        <v>0</v>
      </c>
      <c r="K232" s="119">
        <f t="shared" si="38"/>
        <v>127158.145</v>
      </c>
    </row>
    <row r="233" spans="1:11" ht="9.9499999999999993" customHeight="1" x14ac:dyDescent="0.15">
      <c r="A233" s="2" t="s">
        <v>192</v>
      </c>
      <c r="B233" s="119">
        <v>6376</v>
      </c>
      <c r="C233" s="119">
        <v>12324.5</v>
      </c>
      <c r="D233" s="119">
        <v>37304</v>
      </c>
      <c r="E233" s="119">
        <v>37457.42</v>
      </c>
      <c r="F233" s="119">
        <v>9267.5</v>
      </c>
      <c r="G233" s="119">
        <v>38818.235000000001</v>
      </c>
      <c r="H233" s="119">
        <v>19591</v>
      </c>
      <c r="I233" s="119">
        <v>8830.2000000000007</v>
      </c>
      <c r="J233" s="119">
        <v>74687</v>
      </c>
      <c r="K233" s="119">
        <f t="shared" si="38"/>
        <v>244655.85500000001</v>
      </c>
    </row>
    <row r="235" spans="1:11" ht="9.9499999999999993" customHeight="1" x14ac:dyDescent="0.15">
      <c r="A235" s="1" t="s">
        <v>177</v>
      </c>
      <c r="B235" s="20" t="s">
        <v>129</v>
      </c>
      <c r="C235" s="20" t="s">
        <v>130</v>
      </c>
      <c r="D235" s="20" t="s">
        <v>131</v>
      </c>
      <c r="E235" s="20" t="s">
        <v>132</v>
      </c>
      <c r="F235" s="20" t="s">
        <v>133</v>
      </c>
      <c r="G235" s="20" t="s">
        <v>134</v>
      </c>
      <c r="H235" s="20" t="s">
        <v>135</v>
      </c>
      <c r="I235" s="20" t="s">
        <v>136</v>
      </c>
      <c r="J235" s="20" t="s">
        <v>137</v>
      </c>
      <c r="K235" s="60" t="s">
        <v>52</v>
      </c>
    </row>
    <row r="236" spans="1:11" ht="9.9499999999999993" customHeight="1" x14ac:dyDescent="0.15">
      <c r="K236" s="14"/>
    </row>
    <row r="237" spans="1:11" ht="9.9499999999999993" customHeight="1" x14ac:dyDescent="0.15">
      <c r="A237" s="2" t="s">
        <v>141</v>
      </c>
      <c r="B237" s="118">
        <f>B217*100/$K217</f>
        <v>3.4002266143295476</v>
      </c>
      <c r="C237" s="118">
        <f>C217*100/$K217</f>
        <v>6.6195783354796633</v>
      </c>
      <c r="D237" s="118">
        <f>D217*100/$K217</f>
        <v>19.218097248968689</v>
      </c>
      <c r="E237" s="118">
        <f>E217*100/$K217</f>
        <v>16.826613853467176</v>
      </c>
      <c r="F237" s="118">
        <f>F217*100/$K217</f>
        <v>6.2969504662018529</v>
      </c>
      <c r="G237" s="118">
        <f>G217*100/$K217</f>
        <v>14.384475490184411</v>
      </c>
      <c r="H237" s="118">
        <f>H217*100/$K217</f>
        <v>8.4423240346872266</v>
      </c>
      <c r="I237" s="118">
        <f>I217*100/$K217</f>
        <v>4.4089817351706868</v>
      </c>
      <c r="J237" s="118">
        <f>J217*100/$K217</f>
        <v>20.402752221510745</v>
      </c>
      <c r="K237" s="118">
        <f>SUM(B237:J237)</f>
        <v>100</v>
      </c>
    </row>
    <row r="238" spans="1:11" ht="9.9499999999999993" customHeight="1" x14ac:dyDescent="0.15">
      <c r="A238" s="2" t="s">
        <v>142</v>
      </c>
      <c r="B238" s="118">
        <f>B218*100/$K218</f>
        <v>2.9668972134066767</v>
      </c>
      <c r="C238" s="118">
        <f>C218*100/$K218</f>
        <v>6.4937738493991004</v>
      </c>
      <c r="D238" s="118">
        <f>D218*100/$K218</f>
        <v>17.295617449506878</v>
      </c>
      <c r="E238" s="118">
        <f>E218*100/$K218</f>
        <v>15.896149054443621</v>
      </c>
      <c r="F238" s="118">
        <f>F218*100/$K218</f>
        <v>6.1635952514359209</v>
      </c>
      <c r="G238" s="118">
        <f>G218*100/$K218</f>
        <v>13.728221642160864</v>
      </c>
      <c r="H238" s="118">
        <f>H218*100/$K218</f>
        <v>7.8539863791952653</v>
      </c>
      <c r="I238" s="118">
        <f>I218*100/$K218</f>
        <v>4.153554258148902</v>
      </c>
      <c r="J238" s="118">
        <f>J218*100/$K218</f>
        <v>25.448204902302777</v>
      </c>
      <c r="K238" s="118">
        <f>SUM(B238:J238)</f>
        <v>100</v>
      </c>
    </row>
    <row r="239" spans="1:11" ht="9.9499999999999993" customHeight="1" x14ac:dyDescent="0.15">
      <c r="A239" s="2" t="s">
        <v>155</v>
      </c>
      <c r="B239" s="118">
        <f>B219*100/$K219</f>
        <v>2.0167848027714084</v>
      </c>
      <c r="C239" s="118">
        <f>C219*100/$K219</f>
        <v>5.4452870264198339</v>
      </c>
      <c r="D239" s="118">
        <f>D219*100/$K219</f>
        <v>15.112571533496476</v>
      </c>
      <c r="E239" s="118">
        <f>E219*100/$K219</f>
        <v>13.017095301464407</v>
      </c>
      <c r="F239" s="118">
        <f>F219*100/$K219</f>
        <v>7.979431758048686</v>
      </c>
      <c r="G239" s="118">
        <f>G219*100/$K219</f>
        <v>10.896646969798171</v>
      </c>
      <c r="H239" s="118">
        <f>H219*100/$K219</f>
        <v>11.070173965246029</v>
      </c>
      <c r="I239" s="118">
        <f>I219*100/$K219</f>
        <v>5.363968573038882</v>
      </c>
      <c r="J239" s="118">
        <f>J219*100/$K219</f>
        <v>29.098040069716095</v>
      </c>
      <c r="K239" s="118">
        <f t="shared" ref="K239:K251" si="39">SUM(B239:J239)</f>
        <v>99.999999999999972</v>
      </c>
    </row>
    <row r="240" spans="1:11" ht="9.9499999999999993" customHeight="1" x14ac:dyDescent="0.15">
      <c r="A240" s="2" t="s">
        <v>179</v>
      </c>
      <c r="B240" s="118">
        <f>B220*100/$K220</f>
        <v>2.7683673458011553</v>
      </c>
      <c r="C240" s="118">
        <f>C220*100/$K220</f>
        <v>8.2814415292333692</v>
      </c>
      <c r="D240" s="118">
        <f>D220*100/$K220</f>
        <v>17.323910414379267</v>
      </c>
      <c r="E240" s="118">
        <f>E220*100/$K220</f>
        <v>20.541530060284742</v>
      </c>
      <c r="F240" s="118">
        <f>F220*100/$K220</f>
        <v>7.3472953518055197</v>
      </c>
      <c r="G240" s="118">
        <f>G220*100/$K220</f>
        <v>13.589265951149862</v>
      </c>
      <c r="H240" s="118">
        <f>H220*100/$K220</f>
        <v>11.267913987811593</v>
      </c>
      <c r="I240" s="118">
        <f>I220*100/$K220</f>
        <v>2.2082130395903783</v>
      </c>
      <c r="J240" s="118">
        <f>J220*100/$K220</f>
        <v>16.672062319944118</v>
      </c>
      <c r="K240" s="118">
        <f t="shared" si="39"/>
        <v>100</v>
      </c>
    </row>
    <row r="241" spans="1:11" ht="9.9499999999999993" customHeight="1" x14ac:dyDescent="0.15">
      <c r="A241" s="2" t="s">
        <v>180</v>
      </c>
      <c r="B241" s="118">
        <f>B221*100/$K221</f>
        <v>8.9567232069442573E-2</v>
      </c>
      <c r="C241" s="118">
        <f>C221*100/$K221</f>
        <v>0.4217334904160337</v>
      </c>
      <c r="D241" s="118">
        <f>D221*100/$K221</f>
        <v>2.8846626963502016</v>
      </c>
      <c r="E241" s="118">
        <f>E221*100/$K221</f>
        <v>7.2029701407765971</v>
      </c>
      <c r="F241" s="118">
        <f>F221*100/$K221</f>
        <v>56.781305617962623</v>
      </c>
      <c r="G241" s="118">
        <f>G221*100/$K221</f>
        <v>3.1113882020368826</v>
      </c>
      <c r="H241" s="118">
        <f>H221*100/$K221</f>
        <v>12.929668957568726</v>
      </c>
      <c r="I241" s="118">
        <f>I221*100/$K221</f>
        <v>2.3011041992093828</v>
      </c>
      <c r="J241" s="118">
        <f>J221*100/$K221</f>
        <v>14.277599463610116</v>
      </c>
      <c r="K241" s="118">
        <f t="shared" si="39"/>
        <v>99.999999999999986</v>
      </c>
    </row>
    <row r="242" spans="1:11" ht="9.9499999999999993" customHeight="1" x14ac:dyDescent="0.15">
      <c r="A242" s="50" t="s">
        <v>181</v>
      </c>
      <c r="B242" s="118">
        <f>B222*100/$K222</f>
        <v>0</v>
      </c>
      <c r="C242" s="118">
        <f>C222*100/$K222</f>
        <v>9.3114192254167349</v>
      </c>
      <c r="D242" s="118">
        <f>D222*100/$K222</f>
        <v>9.3114192254167349</v>
      </c>
      <c r="E242" s="118">
        <f>E222*100/$K222</f>
        <v>9.3114192254167349</v>
      </c>
      <c r="F242" s="118">
        <f>F222*100/$K222</f>
        <v>10.411087432835593</v>
      </c>
      <c r="G242" s="118">
        <f>G222*100/$K222</f>
        <v>9.3114192254167349</v>
      </c>
      <c r="H242" s="118">
        <f>H222*100/$K222</f>
        <v>27.934257676250205</v>
      </c>
      <c r="I242" s="118">
        <f>I222*100/$K222</f>
        <v>15.097558763830522</v>
      </c>
      <c r="J242" s="118">
        <f>J222*100/$K222</f>
        <v>9.3114192254167349</v>
      </c>
      <c r="K242" s="118">
        <f t="shared" si="39"/>
        <v>100</v>
      </c>
    </row>
    <row r="243" spans="1:11" ht="9.9499999999999993" customHeight="1" x14ac:dyDescent="0.15">
      <c r="A243" s="50" t="s">
        <v>182</v>
      </c>
      <c r="B243" s="118">
        <f>B223*100/$K223</f>
        <v>0</v>
      </c>
      <c r="C243" s="118">
        <f>C223*100/$K223</f>
        <v>7.5276882031122794</v>
      </c>
      <c r="D243" s="118">
        <f>D223*100/$K223</f>
        <v>6.2873095249740496</v>
      </c>
      <c r="E243" s="118">
        <f>E223*100/$K223</f>
        <v>8.4940850235284806</v>
      </c>
      <c r="F243" s="118">
        <f>F223*100/$K223</f>
        <v>8.942948015045598</v>
      </c>
      <c r="G243" s="118">
        <f>G223*100/$K223</f>
        <v>2.5972300713060275</v>
      </c>
      <c r="H243" s="118">
        <f>H223*100/$K223</f>
        <v>15.307486293763874</v>
      </c>
      <c r="I243" s="118">
        <f>I223*100/$K223</f>
        <v>31.535099155082651</v>
      </c>
      <c r="J243" s="118">
        <f>J223*100/$K223</f>
        <v>19.308153713187025</v>
      </c>
      <c r="K243" s="118">
        <f t="shared" si="39"/>
        <v>99.999999999999986</v>
      </c>
    </row>
    <row r="244" spans="1:11" ht="9.9499999999999993" customHeight="1" x14ac:dyDescent="0.15">
      <c r="A244" s="2" t="s">
        <v>183</v>
      </c>
      <c r="B244" s="118">
        <f>B224*100/$K224</f>
        <v>2.5719999999999996</v>
      </c>
      <c r="C244" s="118">
        <f>C224*100/$K224</f>
        <v>6.8969999999999994</v>
      </c>
      <c r="D244" s="118">
        <f>D224*100/$K224</f>
        <v>14.450999999999999</v>
      </c>
      <c r="E244" s="118">
        <f>E224*100/$K224</f>
        <v>13.691999999999998</v>
      </c>
      <c r="F244" s="118">
        <f>F224*100/$K224</f>
        <v>6.4289999999999985</v>
      </c>
      <c r="G244" s="118">
        <f>G224*100/$K224</f>
        <v>12.883999999999999</v>
      </c>
      <c r="H244" s="118">
        <f>H224*100/$K224</f>
        <v>7.9819999999999993</v>
      </c>
      <c r="I244" s="118">
        <f>I224*100/$K224</f>
        <v>3.7169999999999992</v>
      </c>
      <c r="J244" s="118">
        <f>J224*100/$K224</f>
        <v>31.375999999999994</v>
      </c>
      <c r="K244" s="118">
        <f t="shared" si="39"/>
        <v>99.999999999999986</v>
      </c>
    </row>
    <row r="245" spans="1:11" ht="9.9499999999999993" customHeight="1" x14ac:dyDescent="0.15">
      <c r="A245" s="2" t="s">
        <v>184</v>
      </c>
      <c r="B245" s="118">
        <f>B225*100/$K225</f>
        <v>2.5049999999999999</v>
      </c>
      <c r="C245" s="118">
        <f>C225*100/$K225</f>
        <v>8.4960000000000004</v>
      </c>
      <c r="D245" s="118">
        <f>D225*100/$K225</f>
        <v>15.185</v>
      </c>
      <c r="E245" s="118">
        <f>E225*100/$K225</f>
        <v>14.587</v>
      </c>
      <c r="F245" s="118">
        <f>F225*100/$K225</f>
        <v>9.4260000000000002</v>
      </c>
      <c r="G245" s="118">
        <f>G225*100/$K225</f>
        <v>13.086000000000002</v>
      </c>
      <c r="H245" s="118">
        <f>H225*100/$K225</f>
        <v>14.512</v>
      </c>
      <c r="I245" s="118">
        <f>I225*100/$K225</f>
        <v>4.8109999999999999</v>
      </c>
      <c r="J245" s="118">
        <f>J225*100/$K225</f>
        <v>17.391999999999999</v>
      </c>
      <c r="K245" s="118">
        <f t="shared" si="39"/>
        <v>100</v>
      </c>
    </row>
    <row r="246" spans="1:11" ht="9.9499999999999993" customHeight="1" x14ac:dyDescent="0.15">
      <c r="A246" s="2" t="s">
        <v>185</v>
      </c>
      <c r="B246" s="118">
        <f>B226*100/$K226</f>
        <v>0.11799999999999999</v>
      </c>
      <c r="C246" s="118">
        <f>C226*100/$K226</f>
        <v>1.0189999999999999</v>
      </c>
      <c r="D246" s="118">
        <f>D226*100/$K226</f>
        <v>14.470999999999998</v>
      </c>
      <c r="E246" s="118">
        <f>E226*100/$K226</f>
        <v>7.2480000000000011</v>
      </c>
      <c r="F246" s="118">
        <f>F226*100/$K226</f>
        <v>4.9370000000000003</v>
      </c>
      <c r="G246" s="118">
        <f>G226*100/$K226</f>
        <v>2.48</v>
      </c>
      <c r="H246" s="118">
        <f>H226*100/$K226</f>
        <v>1.077</v>
      </c>
      <c r="I246" s="118">
        <f>I226*100/$K226</f>
        <v>0.79700000000000004</v>
      </c>
      <c r="J246" s="118">
        <f>J226*100/$K226</f>
        <v>67.852999999999994</v>
      </c>
      <c r="K246" s="118">
        <f t="shared" si="39"/>
        <v>100</v>
      </c>
    </row>
    <row r="247" spans="1:11" ht="9.9499999999999993" customHeight="1" x14ac:dyDescent="0.15">
      <c r="A247" s="2" t="s">
        <v>186</v>
      </c>
      <c r="B247" s="118">
        <f>B227*100/$K227</f>
        <v>0</v>
      </c>
      <c r="C247" s="118">
        <f>C227*100/$K227</f>
        <v>30.351999999999997</v>
      </c>
      <c r="D247" s="118">
        <f>D227*100/$K227</f>
        <v>0</v>
      </c>
      <c r="E247" s="118">
        <f>E227*100/$K227</f>
        <v>0</v>
      </c>
      <c r="F247" s="118">
        <f>F227*100/$K227</f>
        <v>0</v>
      </c>
      <c r="G247" s="118">
        <f>G227*100/$K227</f>
        <v>57.082000000000001</v>
      </c>
      <c r="H247" s="118">
        <f>H227*100/$K227</f>
        <v>0</v>
      </c>
      <c r="I247" s="118">
        <f>I227*100/$K227</f>
        <v>12.566000000000001</v>
      </c>
      <c r="J247" s="118">
        <f>J227*100/$K227</f>
        <v>0</v>
      </c>
      <c r="K247" s="118">
        <f t="shared" si="39"/>
        <v>100</v>
      </c>
    </row>
    <row r="248" spans="1:11" ht="9.9499999999999993" customHeight="1" x14ac:dyDescent="0.15">
      <c r="A248" s="2" t="s">
        <v>187</v>
      </c>
      <c r="B248" s="118">
        <f t="shared" ref="B248:J253" si="40">B228*100/$K228</f>
        <v>1.2600000000000002</v>
      </c>
      <c r="C248" s="118">
        <f t="shared" si="40"/>
        <v>5.2909999999999995</v>
      </c>
      <c r="D248" s="118">
        <f t="shared" si="40"/>
        <v>13.549000000000001</v>
      </c>
      <c r="E248" s="118">
        <f t="shared" si="40"/>
        <v>16.499000000000002</v>
      </c>
      <c r="F248" s="118">
        <f t="shared" si="40"/>
        <v>8.2509999999999994</v>
      </c>
      <c r="G248" s="118">
        <f t="shared" si="40"/>
        <v>9.3380000000000027</v>
      </c>
      <c r="H248" s="118">
        <f t="shared" si="40"/>
        <v>8.9390000000000018</v>
      </c>
      <c r="I248" s="118">
        <f t="shared" si="40"/>
        <v>5.9810000000000008</v>
      </c>
      <c r="J248" s="118">
        <f t="shared" si="40"/>
        <v>30.892000000000003</v>
      </c>
      <c r="K248" s="118">
        <f t="shared" si="39"/>
        <v>100</v>
      </c>
    </row>
    <row r="249" spans="1:11" ht="9.9499999999999993" customHeight="1" x14ac:dyDescent="0.15">
      <c r="A249" s="2" t="s">
        <v>188</v>
      </c>
      <c r="B249" s="118">
        <f t="shared" si="40"/>
        <v>3.25</v>
      </c>
      <c r="C249" s="118">
        <f t="shared" si="40"/>
        <v>6.8809999999999993</v>
      </c>
      <c r="D249" s="118">
        <f t="shared" si="40"/>
        <v>17.898</v>
      </c>
      <c r="E249" s="118">
        <f t="shared" si="40"/>
        <v>15.828999999999999</v>
      </c>
      <c r="F249" s="118">
        <f t="shared" si="40"/>
        <v>6.976</v>
      </c>
      <c r="G249" s="118">
        <f t="shared" si="40"/>
        <v>13.744000000000002</v>
      </c>
      <c r="H249" s="118">
        <f t="shared" si="40"/>
        <v>8.8130000000000006</v>
      </c>
      <c r="I249" s="118">
        <f t="shared" si="40"/>
        <v>4.923</v>
      </c>
      <c r="J249" s="118">
        <f t="shared" si="40"/>
        <v>21.686</v>
      </c>
      <c r="K249" s="118">
        <f t="shared" si="39"/>
        <v>100</v>
      </c>
    </row>
    <row r="250" spans="1:11" ht="9.9499999999999993" customHeight="1" x14ac:dyDescent="0.15">
      <c r="A250" s="2" t="s">
        <v>189</v>
      </c>
      <c r="B250" s="118">
        <f t="shared" si="40"/>
        <v>2.0753862533604885</v>
      </c>
      <c r="C250" s="118">
        <f t="shared" si="40"/>
        <v>9.2884849311522881</v>
      </c>
      <c r="D250" s="118">
        <f t="shared" si="40"/>
        <v>19.119019637146629</v>
      </c>
      <c r="E250" s="118">
        <f t="shared" si="40"/>
        <v>21.683227632648229</v>
      </c>
      <c r="F250" s="118">
        <f t="shared" si="40"/>
        <v>12.847442219435525</v>
      </c>
      <c r="G250" s="118">
        <f t="shared" si="40"/>
        <v>16.503528223718376</v>
      </c>
      <c r="H250" s="118">
        <f t="shared" si="40"/>
        <v>9.3057576859121287</v>
      </c>
      <c r="I250" s="118">
        <f t="shared" si="40"/>
        <v>9.1771534166263251</v>
      </c>
      <c r="J250" s="118">
        <f t="shared" si="40"/>
        <v>0</v>
      </c>
      <c r="K250" s="118">
        <f t="shared" si="39"/>
        <v>99.999999999999986</v>
      </c>
    </row>
    <row r="251" spans="1:11" ht="9.9499999999999993" customHeight="1" x14ac:dyDescent="0.15">
      <c r="A251" s="2" t="s">
        <v>190</v>
      </c>
      <c r="B251" s="118">
        <f t="shared" si="40"/>
        <v>1.0644895892665021</v>
      </c>
      <c r="C251" s="118">
        <f t="shared" si="40"/>
        <v>2.8238719068413394</v>
      </c>
      <c r="D251" s="118">
        <f t="shared" si="40"/>
        <v>33.6497690019619</v>
      </c>
      <c r="E251" s="118">
        <f t="shared" si="40"/>
        <v>2.5884437693816849</v>
      </c>
      <c r="F251" s="118">
        <f t="shared" si="40"/>
        <v>2.318840579710145</v>
      </c>
      <c r="G251" s="118">
        <f t="shared" si="40"/>
        <v>3.9048161508765267</v>
      </c>
      <c r="H251" s="118">
        <f t="shared" si="40"/>
        <v>2.3099803809885451</v>
      </c>
      <c r="I251" s="118">
        <f t="shared" si="40"/>
        <v>1.8340611353711791</v>
      </c>
      <c r="J251" s="118">
        <f t="shared" si="40"/>
        <v>49.505727485602179</v>
      </c>
      <c r="K251" s="118">
        <f t="shared" si="39"/>
        <v>100</v>
      </c>
    </row>
    <row r="252" spans="1:11" ht="9.9499999999999993" customHeight="1" x14ac:dyDescent="0.15">
      <c r="A252" s="2" t="s">
        <v>191</v>
      </c>
      <c r="B252" s="118">
        <f t="shared" si="40"/>
        <v>5.0142285419467232</v>
      </c>
      <c r="C252" s="118">
        <f t="shared" si="40"/>
        <v>9.6922615535166852</v>
      </c>
      <c r="D252" s="118">
        <f t="shared" si="40"/>
        <v>27.911700033057262</v>
      </c>
      <c r="E252" s="118">
        <f t="shared" si="40"/>
        <v>15.562180464334395</v>
      </c>
      <c r="F252" s="118">
        <f t="shared" si="40"/>
        <v>7.2881686029628696</v>
      </c>
      <c r="G252" s="118">
        <f t="shared" si="40"/>
        <v>21.605981276307546</v>
      </c>
      <c r="H252" s="118">
        <f t="shared" si="40"/>
        <v>8.2959687717998722</v>
      </c>
      <c r="I252" s="118">
        <f t="shared" si="40"/>
        <v>4.6295107560746498</v>
      </c>
      <c r="J252" s="118">
        <f t="shared" si="40"/>
        <v>0</v>
      </c>
      <c r="K252" s="118">
        <f>SUM(B252:J252)</f>
        <v>100</v>
      </c>
    </row>
    <row r="253" spans="1:11" ht="9.9499999999999993" customHeight="1" x14ac:dyDescent="0.15">
      <c r="A253" s="2" t="s">
        <v>192</v>
      </c>
      <c r="B253" s="118">
        <f t="shared" si="40"/>
        <v>2.6061097127636694</v>
      </c>
      <c r="C253" s="118">
        <f t="shared" si="40"/>
        <v>5.0374841836505402</v>
      </c>
      <c r="D253" s="118">
        <f t="shared" si="40"/>
        <v>15.247540264262222</v>
      </c>
      <c r="E253" s="118">
        <f t="shared" si="40"/>
        <v>15.310248757382078</v>
      </c>
      <c r="F253" s="118">
        <f t="shared" si="40"/>
        <v>3.7879739277034674</v>
      </c>
      <c r="G253" s="118">
        <f t="shared" si="40"/>
        <v>15.86646475311208</v>
      </c>
      <c r="H253" s="118">
        <f t="shared" si="40"/>
        <v>8.0075745581482192</v>
      </c>
      <c r="I253" s="118">
        <f t="shared" si="40"/>
        <v>3.6092330592292594</v>
      </c>
      <c r="J253" s="118">
        <f t="shared" si="40"/>
        <v>30.527370783748459</v>
      </c>
      <c r="K253" s="118">
        <f>SUM(B253:J253)</f>
        <v>100</v>
      </c>
    </row>
  </sheetData>
  <printOptions horizontalCentered="1" verticalCentered="1"/>
  <pageMargins left="0" right="0" top="0" bottom="0" header="0.51181102362204722" footer="0.51181102362204722"/>
  <pageSetup orientation="landscape" horizontalDpi="4294967292" verticalDpi="4294967292" r:id="rId1"/>
  <headerFooter alignWithMargins="0">
    <oddFooter>&amp;R&amp;F, &amp;A, &amp;P,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</dc:creator>
  <cp:lastModifiedBy>Sturmlechner</cp:lastModifiedBy>
  <cp:lastPrinted>2014-02-18T16:25:28Z</cp:lastPrinted>
  <dcterms:created xsi:type="dcterms:W3CDTF">2014-02-18T16:19:25Z</dcterms:created>
  <dcterms:modified xsi:type="dcterms:W3CDTF">2014-02-18T16:25:33Z</dcterms:modified>
</cp:coreProperties>
</file>