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4935" yWindow="1785" windowWidth="15600" windowHeight="7170" tabRatio="796"/>
  </bookViews>
  <sheets>
    <sheet name="Ü1" sheetId="61" r:id="rId1"/>
    <sheet name="Ü2" sheetId="62" r:id="rId2"/>
    <sheet name="Ü3" sheetId="63" r:id="rId3"/>
    <sheet name="Ü4" sheetId="78" r:id="rId4"/>
    <sheet name="Ü5" sheetId="79" r:id="rId5"/>
    <sheet name="Ü6" sheetId="7" r:id="rId6"/>
    <sheet name="Ü7" sheetId="21" r:id="rId7"/>
    <sheet name="Ü8" sheetId="53" r:id="rId8"/>
    <sheet name="Ü9" sheetId="8" r:id="rId9"/>
    <sheet name="U10" sheetId="28" r:id="rId10"/>
    <sheet name="Ü11" sheetId="92" r:id="rId11"/>
    <sheet name="Ü12" sheetId="93" r:id="rId12"/>
    <sheet name="Ü13" sheetId="32" r:id="rId13"/>
    <sheet name="U14" sheetId="33" r:id="rId14"/>
    <sheet name="Ü13a" sheetId="11" state="hidden" r:id="rId15"/>
    <sheet name="Ü15" sheetId="12" r:id="rId16"/>
    <sheet name="Ü16" sheetId="13" r:id="rId17"/>
    <sheet name="Ü17" sheetId="80" r:id="rId18"/>
    <sheet name="ÜE-15" sheetId="27" state="hidden" r:id="rId19"/>
    <sheet name="ÜE-15 (2)" sheetId="35" state="hidden" r:id="rId20"/>
    <sheet name="ÜE-15 (3)" sheetId="56" state="hidden" r:id="rId21"/>
    <sheet name="ÜE-15 (4)" sheetId="57" state="hidden" r:id="rId22"/>
    <sheet name="ÜE-15 (5)" sheetId="58" state="hidden" r:id="rId23"/>
    <sheet name="Ü18" sheetId="50" r:id="rId24"/>
    <sheet name="ÜE-15a (2)" sheetId="54" state="hidden" r:id="rId25"/>
    <sheet name="Ü19" sheetId="36" r:id="rId26"/>
    <sheet name="Ü20" sheetId="37" r:id="rId27"/>
    <sheet name="Ü21" sheetId="81" r:id="rId28"/>
    <sheet name="U22" sheetId="91" r:id="rId29"/>
    <sheet name="Ü23" sheetId="84" r:id="rId30"/>
    <sheet name="Ü24" sheetId="88" r:id="rId31"/>
    <sheet name="Ü25" sheetId="51" r:id="rId32"/>
    <sheet name="Ü26" sheetId="90" r:id="rId33"/>
    <sheet name="Ü27" sheetId="82" r:id="rId34"/>
    <sheet name="Ü28" sheetId="83" r:id="rId35"/>
    <sheet name="Ü29" sheetId="38" r:id="rId36"/>
    <sheet name="Ü30" sheetId="39" r:id="rId37"/>
    <sheet name="Ü31" sheetId="87" r:id="rId38"/>
  </sheets>
  <externalReferences>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s>
  <definedNames>
    <definedName name="_______i66000" localSheetId="28">'[1]FIP akt'!#REF!</definedName>
    <definedName name="_______i66000">'[1]FIP akt'!#REF!</definedName>
    <definedName name="______DAT1" localSheetId="28">'[2]2006_Ist bis Juli'!#REF!</definedName>
    <definedName name="______DAT1">'[2]2006_Ist bis Juli'!#REF!</definedName>
    <definedName name="______DAT10" localSheetId="28">#REF!</definedName>
    <definedName name="______DAT10">#REF!</definedName>
    <definedName name="______DAT12" localSheetId="28">#REF!</definedName>
    <definedName name="______DAT12">#REF!</definedName>
    <definedName name="______DAT13" localSheetId="28">#REF!</definedName>
    <definedName name="______DAT13">#REF!</definedName>
    <definedName name="______DAT14" localSheetId="28">#REF!</definedName>
    <definedName name="______DAT14">#REF!</definedName>
    <definedName name="______DAT15" localSheetId="28">#REF!</definedName>
    <definedName name="______DAT15">#REF!</definedName>
    <definedName name="______DAT16" localSheetId="28">#REF!</definedName>
    <definedName name="______DAT16">#REF!</definedName>
    <definedName name="______DAT17" localSheetId="28">#REF!</definedName>
    <definedName name="______DAT17">#REF!</definedName>
    <definedName name="______DAT18" localSheetId="28">#REF!</definedName>
    <definedName name="______DAT18">#REF!</definedName>
    <definedName name="______DAT19" localSheetId="28">#REF!</definedName>
    <definedName name="______DAT19">#REF!</definedName>
    <definedName name="______DAT2" localSheetId="28">'[2]2006_Ist bis Juli'!#REF!</definedName>
    <definedName name="______DAT2">'[2]2006_Ist bis Juli'!#REF!</definedName>
    <definedName name="______DAT20" localSheetId="28">#REF!</definedName>
    <definedName name="______DAT20">#REF!</definedName>
    <definedName name="______DAT21" localSheetId="28">#REF!</definedName>
    <definedName name="______DAT21">#REF!</definedName>
    <definedName name="______DAT22" localSheetId="28">#REF!</definedName>
    <definedName name="______DAT22">#REF!</definedName>
    <definedName name="______DAT23" localSheetId="28">#REF!</definedName>
    <definedName name="______DAT23">#REF!</definedName>
    <definedName name="______DAT24" localSheetId="28">#REF!</definedName>
    <definedName name="______DAT24">#REF!</definedName>
    <definedName name="______DAT25" localSheetId="28">#REF!</definedName>
    <definedName name="______DAT25">#REF!</definedName>
    <definedName name="______DAT26" localSheetId="28">#REF!</definedName>
    <definedName name="______DAT26">#REF!</definedName>
    <definedName name="______DAT27" localSheetId="28">#REF!</definedName>
    <definedName name="______DAT27">#REF!</definedName>
    <definedName name="______DAT28" localSheetId="28">#REF!</definedName>
    <definedName name="______DAT28">#REF!</definedName>
    <definedName name="______DAT29" localSheetId="28">#REF!</definedName>
    <definedName name="______DAT29">#REF!</definedName>
    <definedName name="______DAT30" localSheetId="28">#REF!</definedName>
    <definedName name="______DAT30">#REF!</definedName>
    <definedName name="______DAT31" localSheetId="28">#REF!</definedName>
    <definedName name="______DAT31">#REF!</definedName>
    <definedName name="______DAT32" localSheetId="28">#REF!</definedName>
    <definedName name="______DAT32">#REF!</definedName>
    <definedName name="______DAT33" localSheetId="28">#REF!</definedName>
    <definedName name="______DAT33">#REF!</definedName>
    <definedName name="______DAT34" localSheetId="28">#REF!</definedName>
    <definedName name="______DAT34">#REF!</definedName>
    <definedName name="______DAT35" localSheetId="28">#REF!</definedName>
    <definedName name="______DAT35">#REF!</definedName>
    <definedName name="______DAT36" localSheetId="28">#REF!</definedName>
    <definedName name="______DAT36">#REF!</definedName>
    <definedName name="______DAT37" localSheetId="28">#REF!</definedName>
    <definedName name="______DAT37">#REF!</definedName>
    <definedName name="______DAT38" localSheetId="28">#REF!</definedName>
    <definedName name="______DAT38">#REF!</definedName>
    <definedName name="______DAT39" localSheetId="28">#REF!</definedName>
    <definedName name="______DAT39">#REF!</definedName>
    <definedName name="______DAT40" localSheetId="28">#REF!</definedName>
    <definedName name="______DAT40">#REF!</definedName>
    <definedName name="______DAT41" localSheetId="28">#REF!</definedName>
    <definedName name="______DAT41">#REF!</definedName>
    <definedName name="______DAT42" localSheetId="28">#REF!</definedName>
    <definedName name="______DAT42">#REF!</definedName>
    <definedName name="______DAT43" localSheetId="28">#REF!</definedName>
    <definedName name="______DAT43">#REF!</definedName>
    <definedName name="______DAT45" localSheetId="28">#REF!</definedName>
    <definedName name="______DAT45">#REF!</definedName>
    <definedName name="______DAT46" localSheetId="28">#REF!</definedName>
    <definedName name="______DAT46">#REF!</definedName>
    <definedName name="______DAT47" localSheetId="28">#REF!</definedName>
    <definedName name="______DAT47">#REF!</definedName>
    <definedName name="______DAT48" localSheetId="28">#REF!</definedName>
    <definedName name="______DAT48">#REF!</definedName>
    <definedName name="______DAT49" localSheetId="28">#REF!</definedName>
    <definedName name="______DAT49">#REF!</definedName>
    <definedName name="______DAT5" localSheetId="28">'[2]2006_Ist bis Juli'!#REF!</definedName>
    <definedName name="______DAT5">'[2]2006_Ist bis Juli'!#REF!</definedName>
    <definedName name="______DAT50" localSheetId="28">#REF!</definedName>
    <definedName name="______DAT50">#REF!</definedName>
    <definedName name="______DAT51" localSheetId="28">#REF!</definedName>
    <definedName name="______DAT51">#REF!</definedName>
    <definedName name="______DAT52" localSheetId="28">#REF!</definedName>
    <definedName name="______DAT52">#REF!</definedName>
    <definedName name="______DAT53" localSheetId="28">#REF!</definedName>
    <definedName name="______DAT53">#REF!</definedName>
    <definedName name="______DAT54" localSheetId="28">#REF!</definedName>
    <definedName name="______DAT54">#REF!</definedName>
    <definedName name="______DAT55" localSheetId="28">#REF!</definedName>
    <definedName name="______DAT55">#REF!</definedName>
    <definedName name="______DAT56" localSheetId="28">#REF!</definedName>
    <definedName name="______DAT56">#REF!</definedName>
    <definedName name="______DAT57" localSheetId="28">#REF!</definedName>
    <definedName name="______DAT57">#REF!</definedName>
    <definedName name="______DAT58" localSheetId="28">#REF!</definedName>
    <definedName name="______DAT58">#REF!</definedName>
    <definedName name="______DAT59" localSheetId="28">#REF!</definedName>
    <definedName name="______DAT59">#REF!</definedName>
    <definedName name="______DAT6" localSheetId="28">'[2]2006_Ist bis Juli'!#REF!</definedName>
    <definedName name="______DAT6">'[2]2006_Ist bis Juli'!#REF!</definedName>
    <definedName name="______DAT60" localSheetId="28">#REF!</definedName>
    <definedName name="______DAT60">#REF!</definedName>
    <definedName name="______DAT61" localSheetId="28">#REF!</definedName>
    <definedName name="______DAT61">#REF!</definedName>
    <definedName name="______DAT62" localSheetId="28">#REF!</definedName>
    <definedName name="______DAT62">#REF!</definedName>
    <definedName name="______DAT63" localSheetId="28">#REF!</definedName>
    <definedName name="______DAT63">#REF!</definedName>
    <definedName name="______DAT64" localSheetId="28">#REF!</definedName>
    <definedName name="______DAT64">#REF!</definedName>
    <definedName name="______DAT65" localSheetId="28">#REF!</definedName>
    <definedName name="______DAT65">#REF!</definedName>
    <definedName name="______DAT66" localSheetId="28">#REF!</definedName>
    <definedName name="______DAT66">#REF!</definedName>
    <definedName name="______DAT67" localSheetId="28">#REF!</definedName>
    <definedName name="______DAT67">#REF!</definedName>
    <definedName name="______DAT68" localSheetId="28">#REF!</definedName>
    <definedName name="______DAT68">#REF!</definedName>
    <definedName name="______DAT69" localSheetId="28">#REF!</definedName>
    <definedName name="______DAT69">#REF!</definedName>
    <definedName name="______DAT7" localSheetId="28">'[3]2006_Ist bis Juli'!#REF!</definedName>
    <definedName name="______DAT7">'[3]2006_Ist bis Juli'!#REF!</definedName>
    <definedName name="______DAT70" localSheetId="28">#REF!</definedName>
    <definedName name="______DAT70">#REF!</definedName>
    <definedName name="______DAT71" localSheetId="28">#REF!</definedName>
    <definedName name="______DAT71">#REF!</definedName>
    <definedName name="______DAT72" localSheetId="28">#REF!</definedName>
    <definedName name="______DAT72">#REF!</definedName>
    <definedName name="______DAT73" localSheetId="28">#REF!</definedName>
    <definedName name="______DAT73">#REF!</definedName>
    <definedName name="______DAT8" localSheetId="28">'[3]2006_Ist bis Juli'!#REF!</definedName>
    <definedName name="______DAT8">'[3]2006_Ist bis Juli'!#REF!</definedName>
    <definedName name="______DAT9" localSheetId="28">#REF!</definedName>
    <definedName name="______DAT9">#REF!</definedName>
    <definedName name="______PC2006" localSheetId="28">'[4]ÜT Personal'!#REF!</definedName>
    <definedName name="______PC2006">'[4]ÜT Personal'!#REF!</definedName>
    <definedName name="______per1" localSheetId="28">#REF!</definedName>
    <definedName name="______per1">#REF!</definedName>
    <definedName name="______per2" localSheetId="28">#REF!</definedName>
    <definedName name="______per2">#REF!</definedName>
    <definedName name="_____DAT11" localSheetId="28">#REF!</definedName>
    <definedName name="_____DAT11">#REF!</definedName>
    <definedName name="_____DAT3" localSheetId="28">#REF!</definedName>
    <definedName name="_____DAT3">#REF!</definedName>
    <definedName name="_____DAT4" localSheetId="28">#REF!</definedName>
    <definedName name="_____DAT4">#REF!</definedName>
    <definedName name="_____DAT44" localSheetId="28">#REF!</definedName>
    <definedName name="_____DAT44">#REF!</definedName>
    <definedName name="_____i66000" localSheetId="28">'[1]FIP akt'!#REF!</definedName>
    <definedName name="_____i66000">'[1]FIP akt'!#REF!</definedName>
    <definedName name="____DAT1" localSheetId="28">'[2]2006_Ist bis Juli'!#REF!</definedName>
    <definedName name="____DAT1">'[2]2006_Ist bis Juli'!#REF!</definedName>
    <definedName name="____DAT10" localSheetId="28">#REF!</definedName>
    <definedName name="____DAT10">#REF!</definedName>
    <definedName name="____DAT12" localSheetId="28">#REF!</definedName>
    <definedName name="____DAT12">#REF!</definedName>
    <definedName name="____DAT13" localSheetId="28">#REF!</definedName>
    <definedName name="____DAT13">#REF!</definedName>
    <definedName name="____DAT14" localSheetId="28">#REF!</definedName>
    <definedName name="____DAT14">#REF!</definedName>
    <definedName name="____DAT15" localSheetId="28">#REF!</definedName>
    <definedName name="____DAT15">#REF!</definedName>
    <definedName name="____DAT16" localSheetId="28">#REF!</definedName>
    <definedName name="____DAT16">#REF!</definedName>
    <definedName name="____DAT17" localSheetId="28">#REF!</definedName>
    <definedName name="____DAT17">#REF!</definedName>
    <definedName name="____DAT18" localSheetId="28">#REF!</definedName>
    <definedName name="____DAT18">#REF!</definedName>
    <definedName name="____DAT19" localSheetId="28">#REF!</definedName>
    <definedName name="____DAT19">#REF!</definedName>
    <definedName name="____DAT2" localSheetId="28">'[2]2006_Ist bis Juli'!#REF!</definedName>
    <definedName name="____DAT2">'[2]2006_Ist bis Juli'!#REF!</definedName>
    <definedName name="____DAT20" localSheetId="28">#REF!</definedName>
    <definedName name="____DAT20">#REF!</definedName>
    <definedName name="____DAT21" localSheetId="28">#REF!</definedName>
    <definedName name="____DAT21">#REF!</definedName>
    <definedName name="____DAT22" localSheetId="28">#REF!</definedName>
    <definedName name="____DAT22">#REF!</definedName>
    <definedName name="____DAT23" localSheetId="28">#REF!</definedName>
    <definedName name="____DAT23">#REF!</definedName>
    <definedName name="____DAT24" localSheetId="28">#REF!</definedName>
    <definedName name="____DAT24">#REF!</definedName>
    <definedName name="____DAT25" localSheetId="28">#REF!</definedName>
    <definedName name="____DAT25">#REF!</definedName>
    <definedName name="____DAT26" localSheetId="28">#REF!</definedName>
    <definedName name="____DAT26">#REF!</definedName>
    <definedName name="____DAT27" localSheetId="28">#REF!</definedName>
    <definedName name="____DAT27">#REF!</definedName>
    <definedName name="____DAT28" localSheetId="28">#REF!</definedName>
    <definedName name="____DAT28">#REF!</definedName>
    <definedName name="____DAT29" localSheetId="28">#REF!</definedName>
    <definedName name="____DAT29">#REF!</definedName>
    <definedName name="____DAT30" localSheetId="28">#REF!</definedName>
    <definedName name="____DAT30">#REF!</definedName>
    <definedName name="____DAT31" localSheetId="28">#REF!</definedName>
    <definedName name="____DAT31">#REF!</definedName>
    <definedName name="____DAT32" localSheetId="28">#REF!</definedName>
    <definedName name="____DAT32">#REF!</definedName>
    <definedName name="____DAT33" localSheetId="28">#REF!</definedName>
    <definedName name="____DAT33">#REF!</definedName>
    <definedName name="____DAT34" localSheetId="28">#REF!</definedName>
    <definedName name="____DAT34">#REF!</definedName>
    <definedName name="____DAT35" localSheetId="28">#REF!</definedName>
    <definedName name="____DAT35">#REF!</definedName>
    <definedName name="____DAT36" localSheetId="28">#REF!</definedName>
    <definedName name="____DAT36">#REF!</definedName>
    <definedName name="____DAT37" localSheetId="28">#REF!</definedName>
    <definedName name="____DAT37">#REF!</definedName>
    <definedName name="____DAT38" localSheetId="28">#REF!</definedName>
    <definedName name="____DAT38">#REF!</definedName>
    <definedName name="____DAT39" localSheetId="28">#REF!</definedName>
    <definedName name="____DAT39">#REF!</definedName>
    <definedName name="____DAT40" localSheetId="28">#REF!</definedName>
    <definedName name="____DAT40">#REF!</definedName>
    <definedName name="____DAT41" localSheetId="28">#REF!</definedName>
    <definedName name="____DAT41">#REF!</definedName>
    <definedName name="____DAT42" localSheetId="28">#REF!</definedName>
    <definedName name="____DAT42">#REF!</definedName>
    <definedName name="____DAT43" localSheetId="28">#REF!</definedName>
    <definedName name="____DAT43">#REF!</definedName>
    <definedName name="____DAT45" localSheetId="28">#REF!</definedName>
    <definedName name="____DAT45">#REF!</definedName>
    <definedName name="____DAT46" localSheetId="28">#REF!</definedName>
    <definedName name="____DAT46">#REF!</definedName>
    <definedName name="____DAT47" localSheetId="28">#REF!</definedName>
    <definedName name="____DAT47">#REF!</definedName>
    <definedName name="____DAT48" localSheetId="28">#REF!</definedName>
    <definedName name="____DAT48">#REF!</definedName>
    <definedName name="____DAT49" localSheetId="28">#REF!</definedName>
    <definedName name="____DAT49">#REF!</definedName>
    <definedName name="____DAT5" localSheetId="28">'[2]2006_Ist bis Juli'!#REF!</definedName>
    <definedName name="____DAT5">'[2]2006_Ist bis Juli'!#REF!</definedName>
    <definedName name="____DAT50" localSheetId="28">#REF!</definedName>
    <definedName name="____DAT50">#REF!</definedName>
    <definedName name="____DAT51" localSheetId="28">#REF!</definedName>
    <definedName name="____DAT51">#REF!</definedName>
    <definedName name="____DAT52" localSheetId="28">#REF!</definedName>
    <definedName name="____DAT52">#REF!</definedName>
    <definedName name="____DAT53" localSheetId="28">#REF!</definedName>
    <definedName name="____DAT53">#REF!</definedName>
    <definedName name="____DAT54" localSheetId="28">#REF!</definedName>
    <definedName name="____DAT54">#REF!</definedName>
    <definedName name="____DAT55" localSheetId="28">#REF!</definedName>
    <definedName name="____DAT55">#REF!</definedName>
    <definedName name="____DAT56" localSheetId="28">#REF!</definedName>
    <definedName name="____DAT56">#REF!</definedName>
    <definedName name="____DAT57" localSheetId="28">#REF!</definedName>
    <definedName name="____DAT57">#REF!</definedName>
    <definedName name="____DAT58" localSheetId="28">#REF!</definedName>
    <definedName name="____DAT58">#REF!</definedName>
    <definedName name="____DAT59" localSheetId="28">#REF!</definedName>
    <definedName name="____DAT59">#REF!</definedName>
    <definedName name="____DAT6" localSheetId="28">'[2]2006_Ist bis Juli'!#REF!</definedName>
    <definedName name="____DAT6">'[2]2006_Ist bis Juli'!#REF!</definedName>
    <definedName name="____DAT60" localSheetId="28">#REF!</definedName>
    <definedName name="____DAT60">#REF!</definedName>
    <definedName name="____DAT61" localSheetId="28">#REF!</definedName>
    <definedName name="____DAT61">#REF!</definedName>
    <definedName name="____DAT62" localSheetId="28">#REF!</definedName>
    <definedName name="____DAT62">#REF!</definedName>
    <definedName name="____DAT63" localSheetId="28">#REF!</definedName>
    <definedName name="____DAT63">#REF!</definedName>
    <definedName name="____DAT64" localSheetId="28">#REF!</definedName>
    <definedName name="____DAT64">#REF!</definedName>
    <definedName name="____DAT65" localSheetId="28">#REF!</definedName>
    <definedName name="____DAT65">#REF!</definedName>
    <definedName name="____DAT66" localSheetId="28">#REF!</definedName>
    <definedName name="____DAT66">#REF!</definedName>
    <definedName name="____DAT67" localSheetId="28">#REF!</definedName>
    <definedName name="____DAT67">#REF!</definedName>
    <definedName name="____DAT68" localSheetId="28">#REF!</definedName>
    <definedName name="____DAT68">#REF!</definedName>
    <definedName name="____DAT69" localSheetId="28">#REF!</definedName>
    <definedName name="____DAT69">#REF!</definedName>
    <definedName name="____DAT7" localSheetId="28">'[3]2006_Ist bis Juli'!#REF!</definedName>
    <definedName name="____DAT7">'[3]2006_Ist bis Juli'!#REF!</definedName>
    <definedName name="____DAT70" localSheetId="28">#REF!</definedName>
    <definedName name="____DAT70">#REF!</definedName>
    <definedName name="____DAT71" localSheetId="28">#REF!</definedName>
    <definedName name="____DAT71">#REF!</definedName>
    <definedName name="____DAT72" localSheetId="28">#REF!</definedName>
    <definedName name="____DAT72">#REF!</definedName>
    <definedName name="____DAT73" localSheetId="28">#REF!</definedName>
    <definedName name="____DAT73">#REF!</definedName>
    <definedName name="____DAT8" localSheetId="28">'[3]2006_Ist bis Juli'!#REF!</definedName>
    <definedName name="____DAT8">'[3]2006_Ist bis Juli'!#REF!</definedName>
    <definedName name="____DAT9" localSheetId="28">#REF!</definedName>
    <definedName name="____DAT9">#REF!</definedName>
    <definedName name="____PC2006" localSheetId="28">'[4]ÜT Personal'!#REF!</definedName>
    <definedName name="____PC2006">'[4]ÜT Personal'!#REF!</definedName>
    <definedName name="____per1" localSheetId="28">#REF!</definedName>
    <definedName name="____per1">#REF!</definedName>
    <definedName name="____per2" localSheetId="28">#REF!</definedName>
    <definedName name="____per2">#REF!</definedName>
    <definedName name="___DAT10" localSheetId="28">#REF!</definedName>
    <definedName name="___DAT10">#REF!</definedName>
    <definedName name="___DAT11" localSheetId="28">#REF!</definedName>
    <definedName name="___DAT11">#REF!</definedName>
    <definedName name="___DAT12" localSheetId="28">#REF!</definedName>
    <definedName name="___DAT12">#REF!</definedName>
    <definedName name="___DAT13" localSheetId="28">#REF!</definedName>
    <definedName name="___DAT13">#REF!</definedName>
    <definedName name="___DAT14" localSheetId="28">#REF!</definedName>
    <definedName name="___DAT14">#REF!</definedName>
    <definedName name="___DAT15" localSheetId="28">#REF!</definedName>
    <definedName name="___DAT15">#REF!</definedName>
    <definedName name="___DAT16" localSheetId="28">#REF!</definedName>
    <definedName name="___DAT16">#REF!</definedName>
    <definedName name="___DAT17" localSheetId="28">#REF!</definedName>
    <definedName name="___DAT17">#REF!</definedName>
    <definedName name="___DAT18" localSheetId="28">#REF!</definedName>
    <definedName name="___DAT18">#REF!</definedName>
    <definedName name="___DAT19" localSheetId="28">#REF!</definedName>
    <definedName name="___DAT19">#REF!</definedName>
    <definedName name="___DAT20" localSheetId="28">#REF!</definedName>
    <definedName name="___DAT20">#REF!</definedName>
    <definedName name="___DAT21" localSheetId="28">#REF!</definedName>
    <definedName name="___DAT21">#REF!</definedName>
    <definedName name="___DAT22" localSheetId="28">#REF!</definedName>
    <definedName name="___DAT22">#REF!</definedName>
    <definedName name="___DAT23" localSheetId="28">#REF!</definedName>
    <definedName name="___DAT23">#REF!</definedName>
    <definedName name="___DAT24" localSheetId="28">#REF!</definedName>
    <definedName name="___DAT24">#REF!</definedName>
    <definedName name="___DAT25" localSheetId="28">#REF!</definedName>
    <definedName name="___DAT25">#REF!</definedName>
    <definedName name="___DAT26" localSheetId="28">#REF!</definedName>
    <definedName name="___DAT26">#REF!</definedName>
    <definedName name="___DAT27" localSheetId="28">#REF!</definedName>
    <definedName name="___DAT27">#REF!</definedName>
    <definedName name="___DAT28" localSheetId="28">#REF!</definedName>
    <definedName name="___DAT28">#REF!</definedName>
    <definedName name="___DAT29" localSheetId="28">#REF!</definedName>
    <definedName name="___DAT29">#REF!</definedName>
    <definedName name="___DAT3" localSheetId="28">#REF!</definedName>
    <definedName name="___DAT3">#REF!</definedName>
    <definedName name="___DAT30" localSheetId="28">#REF!</definedName>
    <definedName name="___DAT30">#REF!</definedName>
    <definedName name="___DAT31" localSheetId="28">#REF!</definedName>
    <definedName name="___DAT31">#REF!</definedName>
    <definedName name="___DAT32" localSheetId="28">#REF!</definedName>
    <definedName name="___DAT32">#REF!</definedName>
    <definedName name="___DAT33" localSheetId="28">#REF!</definedName>
    <definedName name="___DAT33">#REF!</definedName>
    <definedName name="___DAT34" localSheetId="28">#REF!</definedName>
    <definedName name="___DAT34">#REF!</definedName>
    <definedName name="___DAT35" localSheetId="28">#REF!</definedName>
    <definedName name="___DAT35">#REF!</definedName>
    <definedName name="___DAT36" localSheetId="28">#REF!</definedName>
    <definedName name="___DAT36">#REF!</definedName>
    <definedName name="___DAT37" localSheetId="28">#REF!</definedName>
    <definedName name="___DAT37">#REF!</definedName>
    <definedName name="___DAT38" localSheetId="28">#REF!</definedName>
    <definedName name="___DAT38">#REF!</definedName>
    <definedName name="___DAT39" localSheetId="28">#REF!</definedName>
    <definedName name="___DAT39">#REF!</definedName>
    <definedName name="___DAT4" localSheetId="28">#REF!</definedName>
    <definedName name="___DAT4">#REF!</definedName>
    <definedName name="___DAT40" localSheetId="28">#REF!</definedName>
    <definedName name="___DAT40">#REF!</definedName>
    <definedName name="___DAT41" localSheetId="28">#REF!</definedName>
    <definedName name="___DAT41">#REF!</definedName>
    <definedName name="___DAT42" localSheetId="28">#REF!</definedName>
    <definedName name="___DAT42">#REF!</definedName>
    <definedName name="___DAT43" localSheetId="28">#REF!</definedName>
    <definedName name="___DAT43">#REF!</definedName>
    <definedName name="___DAT44" localSheetId="28">#REF!</definedName>
    <definedName name="___DAT44">#REF!</definedName>
    <definedName name="___DAT45" localSheetId="28">#REF!</definedName>
    <definedName name="___DAT45">#REF!</definedName>
    <definedName name="___DAT46" localSheetId="28">#REF!</definedName>
    <definedName name="___DAT46">#REF!</definedName>
    <definedName name="___DAT47" localSheetId="28">#REF!</definedName>
    <definedName name="___DAT47">#REF!</definedName>
    <definedName name="___DAT48" localSheetId="28">#REF!</definedName>
    <definedName name="___DAT48">#REF!</definedName>
    <definedName name="___DAT49" localSheetId="28">#REF!</definedName>
    <definedName name="___DAT49">#REF!</definedName>
    <definedName name="___DAT50" localSheetId="28">#REF!</definedName>
    <definedName name="___DAT50">#REF!</definedName>
    <definedName name="___DAT51" localSheetId="28">#REF!</definedName>
    <definedName name="___DAT51">#REF!</definedName>
    <definedName name="___DAT52" localSheetId="28">#REF!</definedName>
    <definedName name="___DAT52">#REF!</definedName>
    <definedName name="___DAT53" localSheetId="28">#REF!</definedName>
    <definedName name="___DAT53">#REF!</definedName>
    <definedName name="___DAT54" localSheetId="28">#REF!</definedName>
    <definedName name="___DAT54">#REF!</definedName>
    <definedName name="___DAT55" localSheetId="28">#REF!</definedName>
    <definedName name="___DAT55">#REF!</definedName>
    <definedName name="___DAT56" localSheetId="28">#REF!</definedName>
    <definedName name="___DAT56">#REF!</definedName>
    <definedName name="___DAT57" localSheetId="28">#REF!</definedName>
    <definedName name="___DAT57">#REF!</definedName>
    <definedName name="___DAT58" localSheetId="28">#REF!</definedName>
    <definedName name="___DAT58">#REF!</definedName>
    <definedName name="___DAT59" localSheetId="28">#REF!</definedName>
    <definedName name="___DAT59">#REF!</definedName>
    <definedName name="___DAT60" localSheetId="28">#REF!</definedName>
    <definedName name="___DAT60">#REF!</definedName>
    <definedName name="___DAT61" localSheetId="28">#REF!</definedName>
    <definedName name="___DAT61">#REF!</definedName>
    <definedName name="___DAT62" localSheetId="28">#REF!</definedName>
    <definedName name="___DAT62">#REF!</definedName>
    <definedName name="___DAT63" localSheetId="28">#REF!</definedName>
    <definedName name="___DAT63">#REF!</definedName>
    <definedName name="___DAT64" localSheetId="28">#REF!</definedName>
    <definedName name="___DAT64">#REF!</definedName>
    <definedName name="___DAT65" localSheetId="28">#REF!</definedName>
    <definedName name="___DAT65">#REF!</definedName>
    <definedName name="___DAT66" localSheetId="28">#REF!</definedName>
    <definedName name="___DAT66">#REF!</definedName>
    <definedName name="___DAT67" localSheetId="28">#REF!</definedName>
    <definedName name="___DAT67">#REF!</definedName>
    <definedName name="___DAT68" localSheetId="28">#REF!</definedName>
    <definedName name="___DAT68">#REF!</definedName>
    <definedName name="___DAT69" localSheetId="28">#REF!</definedName>
    <definedName name="___DAT69">#REF!</definedName>
    <definedName name="___DAT70" localSheetId="28">#REF!</definedName>
    <definedName name="___DAT70">#REF!</definedName>
    <definedName name="___DAT71" localSheetId="28">#REF!</definedName>
    <definedName name="___DAT71">#REF!</definedName>
    <definedName name="___DAT72" localSheetId="28">#REF!</definedName>
    <definedName name="___DAT72">#REF!</definedName>
    <definedName name="___DAT73" localSheetId="28">#REF!</definedName>
    <definedName name="___DAT73">#REF!</definedName>
    <definedName name="___DAT9" localSheetId="28">#REF!</definedName>
    <definedName name="___DAT9">#REF!</definedName>
    <definedName name="___i66000" localSheetId="28">'[1]FIP akt'!#REF!</definedName>
    <definedName name="___i66000">'[1]FIP akt'!#REF!</definedName>
    <definedName name="___PC2006" localSheetId="28">'[4]ÜT Personal'!#REF!</definedName>
    <definedName name="___PC2006">'[4]ÜT Personal'!#REF!</definedName>
    <definedName name="__DAT1" localSheetId="28">'[2]2006_Ist bis Juli'!#REF!</definedName>
    <definedName name="__DAT1">'[2]2006_Ist bis Juli'!#REF!</definedName>
    <definedName name="__DAT10" localSheetId="28">#REF!</definedName>
    <definedName name="__DAT10">#REF!</definedName>
    <definedName name="__DAT11" localSheetId="28">#REF!</definedName>
    <definedName name="__DAT11">#REF!</definedName>
    <definedName name="__DAT12" localSheetId="28">#REF!</definedName>
    <definedName name="__DAT12">#REF!</definedName>
    <definedName name="__DAT13" localSheetId="28">#REF!</definedName>
    <definedName name="__DAT13">#REF!</definedName>
    <definedName name="__DAT14" localSheetId="28">#REF!</definedName>
    <definedName name="__DAT14">#REF!</definedName>
    <definedName name="__DAT15" localSheetId="28">#REF!</definedName>
    <definedName name="__DAT15">#REF!</definedName>
    <definedName name="__DAT16" localSheetId="28">#REF!</definedName>
    <definedName name="__DAT16">#REF!</definedName>
    <definedName name="__DAT17" localSheetId="28">#REF!</definedName>
    <definedName name="__DAT17">#REF!</definedName>
    <definedName name="__DAT18" localSheetId="28">#REF!</definedName>
    <definedName name="__DAT18">#REF!</definedName>
    <definedName name="__DAT19" localSheetId="28">#REF!</definedName>
    <definedName name="__DAT19">#REF!</definedName>
    <definedName name="__DAT2" localSheetId="28">'[2]2006_Ist bis Juli'!#REF!</definedName>
    <definedName name="__DAT2">'[2]2006_Ist bis Juli'!#REF!</definedName>
    <definedName name="__DAT20" localSheetId="28">#REF!</definedName>
    <definedName name="__DAT20">#REF!</definedName>
    <definedName name="__DAT21" localSheetId="28">#REF!</definedName>
    <definedName name="__DAT21">#REF!</definedName>
    <definedName name="__DAT22" localSheetId="28">#REF!</definedName>
    <definedName name="__DAT22">#REF!</definedName>
    <definedName name="__DAT23" localSheetId="28">#REF!</definedName>
    <definedName name="__DAT23">#REF!</definedName>
    <definedName name="__DAT24" localSheetId="28">#REF!</definedName>
    <definedName name="__DAT24">#REF!</definedName>
    <definedName name="__DAT25" localSheetId="28">#REF!</definedName>
    <definedName name="__DAT25">#REF!</definedName>
    <definedName name="__DAT26" localSheetId="28">#REF!</definedName>
    <definedName name="__DAT26">#REF!</definedName>
    <definedName name="__DAT27" localSheetId="28">#REF!</definedName>
    <definedName name="__DAT27">#REF!</definedName>
    <definedName name="__DAT28" localSheetId="28">#REF!</definedName>
    <definedName name="__DAT28">#REF!</definedName>
    <definedName name="__DAT29" localSheetId="28">#REF!</definedName>
    <definedName name="__DAT29">#REF!</definedName>
    <definedName name="__DAT3" localSheetId="28">#REF!</definedName>
    <definedName name="__DAT3">#REF!</definedName>
    <definedName name="__DAT30" localSheetId="28">#REF!</definedName>
    <definedName name="__DAT30">#REF!</definedName>
    <definedName name="__DAT31" localSheetId="28">#REF!</definedName>
    <definedName name="__DAT31">#REF!</definedName>
    <definedName name="__DAT32" localSheetId="28">#REF!</definedName>
    <definedName name="__DAT32">#REF!</definedName>
    <definedName name="__DAT33" localSheetId="28">#REF!</definedName>
    <definedName name="__DAT33">#REF!</definedName>
    <definedName name="__DAT34" localSheetId="28">#REF!</definedName>
    <definedName name="__DAT34">#REF!</definedName>
    <definedName name="__DAT35" localSheetId="28">#REF!</definedName>
    <definedName name="__DAT35">#REF!</definedName>
    <definedName name="__DAT36" localSheetId="28">#REF!</definedName>
    <definedName name="__DAT36">#REF!</definedName>
    <definedName name="__DAT37" localSheetId="28">#REF!</definedName>
    <definedName name="__DAT37">#REF!</definedName>
    <definedName name="__DAT38" localSheetId="28">#REF!</definedName>
    <definedName name="__DAT38">#REF!</definedName>
    <definedName name="__DAT39" localSheetId="28">#REF!</definedName>
    <definedName name="__DAT39">#REF!</definedName>
    <definedName name="__DAT4" localSheetId="28">#REF!</definedName>
    <definedName name="__DAT4">#REF!</definedName>
    <definedName name="__DAT40" localSheetId="28">#REF!</definedName>
    <definedName name="__DAT40">#REF!</definedName>
    <definedName name="__DAT41" localSheetId="28">#REF!</definedName>
    <definedName name="__DAT41">#REF!</definedName>
    <definedName name="__DAT42" localSheetId="28">#REF!</definedName>
    <definedName name="__DAT42">#REF!</definedName>
    <definedName name="__DAT43" localSheetId="28">#REF!</definedName>
    <definedName name="__DAT43">#REF!</definedName>
    <definedName name="__DAT44" localSheetId="28">#REF!</definedName>
    <definedName name="__DAT44">#REF!</definedName>
    <definedName name="__DAT45" localSheetId="28">#REF!</definedName>
    <definedName name="__DAT45">#REF!</definedName>
    <definedName name="__DAT46" localSheetId="28">#REF!</definedName>
    <definedName name="__DAT46">#REF!</definedName>
    <definedName name="__DAT47" localSheetId="28">#REF!</definedName>
    <definedName name="__DAT47">#REF!</definedName>
    <definedName name="__DAT48" localSheetId="28">#REF!</definedName>
    <definedName name="__DAT48">#REF!</definedName>
    <definedName name="__DAT49" localSheetId="28">#REF!</definedName>
    <definedName name="__DAT49">#REF!</definedName>
    <definedName name="__DAT5" localSheetId="28">'[2]2006_Ist bis Juli'!#REF!</definedName>
    <definedName name="__DAT5">'[2]2006_Ist bis Juli'!#REF!</definedName>
    <definedName name="__DAT50" localSheetId="28">#REF!</definedName>
    <definedName name="__DAT50">#REF!</definedName>
    <definedName name="__DAT51" localSheetId="28">#REF!</definedName>
    <definedName name="__DAT51">#REF!</definedName>
    <definedName name="__DAT52" localSheetId="28">#REF!</definedName>
    <definedName name="__DAT52">#REF!</definedName>
    <definedName name="__DAT53" localSheetId="28">#REF!</definedName>
    <definedName name="__DAT53">#REF!</definedName>
    <definedName name="__DAT54" localSheetId="28">#REF!</definedName>
    <definedName name="__DAT54">#REF!</definedName>
    <definedName name="__DAT55" localSheetId="28">#REF!</definedName>
    <definedName name="__DAT55">#REF!</definedName>
    <definedName name="__DAT56" localSheetId="28">#REF!</definedName>
    <definedName name="__DAT56">#REF!</definedName>
    <definedName name="__DAT57" localSheetId="28">#REF!</definedName>
    <definedName name="__DAT57">#REF!</definedName>
    <definedName name="__DAT58" localSheetId="28">#REF!</definedName>
    <definedName name="__DAT58">#REF!</definedName>
    <definedName name="__DAT59" localSheetId="28">#REF!</definedName>
    <definedName name="__DAT59">#REF!</definedName>
    <definedName name="__DAT6" localSheetId="28">'[2]2006_Ist bis Juli'!#REF!</definedName>
    <definedName name="__DAT6">'[2]2006_Ist bis Juli'!#REF!</definedName>
    <definedName name="__DAT60" localSheetId="28">#REF!</definedName>
    <definedName name="__DAT60">#REF!</definedName>
    <definedName name="__DAT61" localSheetId="28">#REF!</definedName>
    <definedName name="__DAT61">#REF!</definedName>
    <definedName name="__DAT62" localSheetId="28">#REF!</definedName>
    <definedName name="__DAT62">#REF!</definedName>
    <definedName name="__DAT63" localSheetId="28">#REF!</definedName>
    <definedName name="__DAT63">#REF!</definedName>
    <definedName name="__DAT64" localSheetId="28">#REF!</definedName>
    <definedName name="__DAT64">#REF!</definedName>
    <definedName name="__DAT65" localSheetId="28">#REF!</definedName>
    <definedName name="__DAT65">#REF!</definedName>
    <definedName name="__DAT66" localSheetId="28">#REF!</definedName>
    <definedName name="__DAT66">#REF!</definedName>
    <definedName name="__DAT67" localSheetId="28">#REF!</definedName>
    <definedName name="__DAT67">#REF!</definedName>
    <definedName name="__DAT68" localSheetId="28">#REF!</definedName>
    <definedName name="__DAT68">#REF!</definedName>
    <definedName name="__DAT69" localSheetId="28">#REF!</definedName>
    <definedName name="__DAT69">#REF!</definedName>
    <definedName name="__DAT7" localSheetId="28">'[3]2006_Ist bis Juli'!#REF!</definedName>
    <definedName name="__DAT7">'[3]2006_Ist bis Juli'!#REF!</definedName>
    <definedName name="__DAT70" localSheetId="28">#REF!</definedName>
    <definedName name="__DAT70">#REF!</definedName>
    <definedName name="__DAT71" localSheetId="28">#REF!</definedName>
    <definedName name="__DAT71">#REF!</definedName>
    <definedName name="__DAT72" localSheetId="28">#REF!</definedName>
    <definedName name="__DAT72">#REF!</definedName>
    <definedName name="__DAT73" localSheetId="28">#REF!</definedName>
    <definedName name="__DAT73">#REF!</definedName>
    <definedName name="__DAT8" localSheetId="28">'[3]2006_Ist bis Juli'!#REF!</definedName>
    <definedName name="__DAT8">'[3]2006_Ist bis Juli'!#REF!</definedName>
    <definedName name="__DAT9" localSheetId="28">#REF!</definedName>
    <definedName name="__DAT9">#REF!</definedName>
    <definedName name="__i66000" localSheetId="28">'[1]FIP akt'!#REF!</definedName>
    <definedName name="__i66000">'[1]FIP akt'!#REF!</definedName>
    <definedName name="__PC2006" localSheetId="28">'[4]ÜT Personal'!#REF!</definedName>
    <definedName name="__PC2006">'[4]ÜT Personal'!#REF!</definedName>
    <definedName name="__per1" localSheetId="28">#REF!</definedName>
    <definedName name="__per1">#REF!</definedName>
    <definedName name="__per2" localSheetId="28">#REF!</definedName>
    <definedName name="__per2">#REF!</definedName>
    <definedName name="_1_">'[5]Zinsrisiko-Detail'!$A$1:$O$128</definedName>
    <definedName name="_5_">'[5]Zinsrisiko-Detail'!$A$1:$O$128</definedName>
    <definedName name="_BM" localSheetId="28">#REF!</definedName>
    <definedName name="_BM">#REF!</definedName>
    <definedName name="_bmv" localSheetId="28">#REF!</definedName>
    <definedName name="_bmv">#REF!</definedName>
    <definedName name="_BMVIT" localSheetId="28">#REF!</definedName>
    <definedName name="_BMVIT">#REF!</definedName>
    <definedName name="_DAT1" localSheetId="28">'[2]2006_Ist bis Juli'!#REF!</definedName>
    <definedName name="_DAT1">'[2]2006_Ist bis Juli'!#REF!</definedName>
    <definedName name="_DAT10" localSheetId="28">#REF!</definedName>
    <definedName name="_DAT10">#REF!</definedName>
    <definedName name="_DAT11" localSheetId="28">#REF!</definedName>
    <definedName name="_DAT11">#REF!</definedName>
    <definedName name="_DAT12" localSheetId="28">#REF!</definedName>
    <definedName name="_DAT12">#REF!</definedName>
    <definedName name="_DAT13" localSheetId="28">#REF!</definedName>
    <definedName name="_DAT13">#REF!</definedName>
    <definedName name="_DAT14" localSheetId="28">#REF!</definedName>
    <definedName name="_DAT14">#REF!</definedName>
    <definedName name="_DAT15" localSheetId="28">#REF!</definedName>
    <definedName name="_DAT15">#REF!</definedName>
    <definedName name="_DAT16" localSheetId="28">#REF!</definedName>
    <definedName name="_DAT16">#REF!</definedName>
    <definedName name="_DAT17" localSheetId="28">#REF!</definedName>
    <definedName name="_DAT17">#REF!</definedName>
    <definedName name="_DAT18" localSheetId="28">#REF!</definedName>
    <definedName name="_DAT18">#REF!</definedName>
    <definedName name="_DAT19" localSheetId="28">#REF!</definedName>
    <definedName name="_DAT19">#REF!</definedName>
    <definedName name="_DAT2" localSheetId="28">'[2]2006_Ist bis Juli'!#REF!</definedName>
    <definedName name="_DAT2">'[2]2006_Ist bis Juli'!#REF!</definedName>
    <definedName name="_DAT20" localSheetId="28">#REF!</definedName>
    <definedName name="_DAT20">#REF!</definedName>
    <definedName name="_DAT21" localSheetId="28">#REF!</definedName>
    <definedName name="_DAT21">#REF!</definedName>
    <definedName name="_DAT22" localSheetId="28">#REF!</definedName>
    <definedName name="_DAT22">#REF!</definedName>
    <definedName name="_DAT23" localSheetId="28">#REF!</definedName>
    <definedName name="_DAT23">#REF!</definedName>
    <definedName name="_DAT24" localSheetId="28">#REF!</definedName>
    <definedName name="_DAT24">#REF!</definedName>
    <definedName name="_DAT25" localSheetId="28">#REF!</definedName>
    <definedName name="_DAT25">#REF!</definedName>
    <definedName name="_DAT26" localSheetId="28">#REF!</definedName>
    <definedName name="_DAT26">#REF!</definedName>
    <definedName name="_DAT27" localSheetId="28">#REF!</definedName>
    <definedName name="_DAT27">#REF!</definedName>
    <definedName name="_DAT28" localSheetId="28">#REF!</definedName>
    <definedName name="_DAT28">#REF!</definedName>
    <definedName name="_DAT29" localSheetId="28">#REF!</definedName>
    <definedName name="_DAT29">#REF!</definedName>
    <definedName name="_DAT3" localSheetId="28">#REF!</definedName>
    <definedName name="_DAT3">#REF!</definedName>
    <definedName name="_DAT30" localSheetId="28">#REF!</definedName>
    <definedName name="_DAT30">#REF!</definedName>
    <definedName name="_DAT31" localSheetId="28">#REF!</definedName>
    <definedName name="_DAT31">#REF!</definedName>
    <definedName name="_DAT32" localSheetId="28">#REF!</definedName>
    <definedName name="_DAT32">#REF!</definedName>
    <definedName name="_DAT33" localSheetId="28">#REF!</definedName>
    <definedName name="_DAT33">#REF!</definedName>
    <definedName name="_DAT34" localSheetId="28">#REF!</definedName>
    <definedName name="_DAT34">#REF!</definedName>
    <definedName name="_DAT35" localSheetId="28">#REF!</definedName>
    <definedName name="_DAT35">#REF!</definedName>
    <definedName name="_DAT36" localSheetId="28">#REF!</definedName>
    <definedName name="_DAT36">#REF!</definedName>
    <definedName name="_DAT37" localSheetId="28">#REF!</definedName>
    <definedName name="_DAT37">#REF!</definedName>
    <definedName name="_DAT38" localSheetId="28">#REF!</definedName>
    <definedName name="_DAT38">#REF!</definedName>
    <definedName name="_DAT39" localSheetId="28">#REF!</definedName>
    <definedName name="_DAT39">#REF!</definedName>
    <definedName name="_DAT4" localSheetId="28">#REF!</definedName>
    <definedName name="_DAT4">#REF!</definedName>
    <definedName name="_DAT40" localSheetId="28">#REF!</definedName>
    <definedName name="_DAT40">#REF!</definedName>
    <definedName name="_DAT41" localSheetId="28">#REF!</definedName>
    <definedName name="_DAT41">#REF!</definedName>
    <definedName name="_DAT42" localSheetId="28">#REF!</definedName>
    <definedName name="_DAT42">#REF!</definedName>
    <definedName name="_DAT43" localSheetId="28">#REF!</definedName>
    <definedName name="_DAT43">#REF!</definedName>
    <definedName name="_DAT44" localSheetId="28">#REF!</definedName>
    <definedName name="_DAT44">#REF!</definedName>
    <definedName name="_DAT45" localSheetId="28">#REF!</definedName>
    <definedName name="_DAT45">#REF!</definedName>
    <definedName name="_DAT46" localSheetId="28">#REF!</definedName>
    <definedName name="_DAT46">#REF!</definedName>
    <definedName name="_DAT47" localSheetId="28">#REF!</definedName>
    <definedName name="_DAT47">#REF!</definedName>
    <definedName name="_DAT48" localSheetId="28">#REF!</definedName>
    <definedName name="_DAT48">#REF!</definedName>
    <definedName name="_DAT49" localSheetId="28">#REF!</definedName>
    <definedName name="_DAT49">#REF!</definedName>
    <definedName name="_DAT5" localSheetId="28">'[2]2006_Ist bis Juli'!#REF!</definedName>
    <definedName name="_DAT5">'[2]2006_Ist bis Juli'!#REF!</definedName>
    <definedName name="_DAT50" localSheetId="28">#REF!</definedName>
    <definedName name="_DAT50">#REF!</definedName>
    <definedName name="_DAT51" localSheetId="28">#REF!</definedName>
    <definedName name="_DAT51">#REF!</definedName>
    <definedName name="_DAT52" localSheetId="28">#REF!</definedName>
    <definedName name="_DAT52">#REF!</definedName>
    <definedName name="_DAT53" localSheetId="28">#REF!</definedName>
    <definedName name="_DAT53">#REF!</definedName>
    <definedName name="_DAT54" localSheetId="28">#REF!</definedName>
    <definedName name="_DAT54">#REF!</definedName>
    <definedName name="_DAT55" localSheetId="28">#REF!</definedName>
    <definedName name="_DAT55">#REF!</definedName>
    <definedName name="_DAT56" localSheetId="28">#REF!</definedName>
    <definedName name="_DAT56">#REF!</definedName>
    <definedName name="_DAT57" localSheetId="28">#REF!</definedName>
    <definedName name="_DAT57">#REF!</definedName>
    <definedName name="_DAT58" localSheetId="28">#REF!</definedName>
    <definedName name="_DAT58">#REF!</definedName>
    <definedName name="_DAT59" localSheetId="28">#REF!</definedName>
    <definedName name="_DAT59">#REF!</definedName>
    <definedName name="_DAT6" localSheetId="28">'[2]2006_Ist bis Juli'!#REF!</definedName>
    <definedName name="_DAT6">'[2]2006_Ist bis Juli'!#REF!</definedName>
    <definedName name="_DAT60" localSheetId="28">#REF!</definedName>
    <definedName name="_DAT60">#REF!</definedName>
    <definedName name="_DAT61" localSheetId="28">#REF!</definedName>
    <definedName name="_DAT61">#REF!</definedName>
    <definedName name="_DAT62" localSheetId="28">#REF!</definedName>
    <definedName name="_DAT62">#REF!</definedName>
    <definedName name="_DAT63" localSheetId="28">#REF!</definedName>
    <definedName name="_DAT63">#REF!</definedName>
    <definedName name="_DAT64" localSheetId="28">#REF!</definedName>
    <definedName name="_DAT64">#REF!</definedName>
    <definedName name="_DAT65" localSheetId="28">#REF!</definedName>
    <definedName name="_DAT65">#REF!</definedName>
    <definedName name="_DAT66" localSheetId="28">#REF!</definedName>
    <definedName name="_DAT66">#REF!</definedName>
    <definedName name="_DAT67" localSheetId="28">#REF!</definedName>
    <definedName name="_DAT67">#REF!</definedName>
    <definedName name="_DAT68" localSheetId="28">#REF!</definedName>
    <definedName name="_DAT68">#REF!</definedName>
    <definedName name="_DAT69" localSheetId="28">#REF!</definedName>
    <definedName name="_DAT69">#REF!</definedName>
    <definedName name="_DAT7" localSheetId="28">'[3]2006_Ist bis Juli'!#REF!</definedName>
    <definedName name="_DAT7">'[3]2006_Ist bis Juli'!#REF!</definedName>
    <definedName name="_DAT70" localSheetId="28">#REF!</definedName>
    <definedName name="_DAT70">#REF!</definedName>
    <definedName name="_DAT71" localSheetId="28">#REF!</definedName>
    <definedName name="_DAT71">#REF!</definedName>
    <definedName name="_DAT72" localSheetId="28">#REF!</definedName>
    <definedName name="_DAT72">#REF!</definedName>
    <definedName name="_DAT73" localSheetId="28">#REF!</definedName>
    <definedName name="_DAT73">#REF!</definedName>
    <definedName name="_DAT8" localSheetId="28">'[3]2006_Ist bis Juli'!#REF!</definedName>
    <definedName name="_DAT8">'[3]2006_Ist bis Juli'!#REF!</definedName>
    <definedName name="_DAT9" localSheetId="28">#REF!</definedName>
    <definedName name="_DAT9">#REF!</definedName>
    <definedName name="_Drucktitel">[6]Gesamt!$A$1:$O$65536,[6]Gesamt!$A$1:$IV$1</definedName>
    <definedName name="_Fill" localSheetId="28">[7]ÖBB_GESAMT!#REF!</definedName>
    <definedName name="_Fill">[7]ÖBB_GESAMT!#REF!</definedName>
    <definedName name="_xlnm._FilterDatabase" localSheetId="28">#REF!</definedName>
    <definedName name="_xlnm._FilterDatabase">#REF!</definedName>
    <definedName name="_i66000" localSheetId="28">'[8]FIP akt'!#REF!</definedName>
    <definedName name="_i66000">'[8]FIP akt'!#REF!</definedName>
    <definedName name="_MIP" localSheetId="28">#REF!</definedName>
    <definedName name="_MIP">#REF!</definedName>
    <definedName name="_ng1" localSheetId="28">#REF!</definedName>
    <definedName name="_ng1">#REF!</definedName>
    <definedName name="_ng2" localSheetId="28">#REF!</definedName>
    <definedName name="_ng2">#REF!</definedName>
    <definedName name="_PC2006" localSheetId="28">'[4]ÜT Personal'!#REF!</definedName>
    <definedName name="_PC2006">'[4]ÜT Personal'!#REF!</definedName>
    <definedName name="_per1" localSheetId="28">#REF!</definedName>
    <definedName name="_per1">#REF!</definedName>
    <definedName name="_per2" localSheetId="28">#REF!</definedName>
    <definedName name="_per2">#REF!</definedName>
    <definedName name="_st" localSheetId="28">#REF!</definedName>
    <definedName name="_st">#REF!</definedName>
    <definedName name="_Strecken" localSheetId="28">#REF!</definedName>
    <definedName name="_Strecken">#REF!</definedName>
    <definedName name="_ÜVO" localSheetId="28">#REF!</definedName>
    <definedName name="_ÜVO">#REF!</definedName>
    <definedName name="abc" localSheetId="28">'U22'!abc</definedName>
    <definedName name="abc">'U22'!abc</definedName>
    <definedName name="ae" localSheetId="28">#REF!</definedName>
    <definedName name="ae">#REF!</definedName>
    <definedName name="AS2DocOpenMode">"AS2DocumentBrowse"</definedName>
    <definedName name="asdfa" localSheetId="28">#REF!</definedName>
    <definedName name="asdfa">#REF!</definedName>
    <definedName name="Bemerkung" localSheetId="28">'[4]ÜT Personal'!#REF!</definedName>
    <definedName name="Bemerkung">'[4]ÜT Personal'!#REF!</definedName>
    <definedName name="BM" localSheetId="28">#REF!</definedName>
    <definedName name="BM">#REF!</definedName>
    <definedName name="bmv" localSheetId="28">#REF!</definedName>
    <definedName name="bmv">#REF!</definedName>
    <definedName name="BMVIT" localSheetId="28">#REF!</definedName>
    <definedName name="BMVIT">#REF!</definedName>
    <definedName name="Cash_Flow_aus_der_Finanzierungstätigkeit" localSheetId="28">#REF!</definedName>
    <definedName name="Cash_Flow_aus_der_Finanzierungstätigkeit">#REF!</definedName>
    <definedName name="Cash_Flow_aus_der_Investitionstätigkeit" localSheetId="28">#REF!</definedName>
    <definedName name="Cash_Flow_aus_der_Investitionstätigkeit">#REF!</definedName>
    <definedName name="Cash_Flow_aus_der_operativen_Tätigkeit" localSheetId="28">#REF!</definedName>
    <definedName name="Cash_Flow_aus_der_operativen_Tätigkeit">#REF!</definedName>
    <definedName name="catist" localSheetId="28">#REF!</definedName>
    <definedName name="catist">#REF!</definedName>
    <definedName name="catplan" localSheetId="28">#REF!</definedName>
    <definedName name="catplan">#REF!</definedName>
    <definedName name="catvj" localSheetId="28">#REF!</definedName>
    <definedName name="catvj">#REF!</definedName>
    <definedName name="catvors" localSheetId="28">#REF!</definedName>
    <definedName name="catvors">#REF!</definedName>
    <definedName name="CBWorkbookPriority" hidden="1">-238828510</definedName>
    <definedName name="checkUE" localSheetId="28">#REF!</definedName>
    <definedName name="checkUE">#REF!</definedName>
    <definedName name="Contratto" localSheetId="28">#REF!</definedName>
    <definedName name="Contratto">#REF!</definedName>
    <definedName name="DATA1" localSheetId="28">#REF!</definedName>
    <definedName name="DATA1">#REF!</definedName>
    <definedName name="DATA10" localSheetId="28">[9]flat!#REF!</definedName>
    <definedName name="DATA10">[9]flat!#REF!</definedName>
    <definedName name="DATA2" localSheetId="28">#REF!</definedName>
    <definedName name="DATA2">#REF!</definedName>
    <definedName name="DATA3" localSheetId="28">[10]ALV_KB!#REF!</definedName>
    <definedName name="DATA3">[10]ALV_KB!#REF!</definedName>
    <definedName name="DATA4" localSheetId="28">[10]ALV_KB!#REF!</definedName>
    <definedName name="DATA4">[10]ALV_KB!#REF!</definedName>
    <definedName name="DATA5" localSheetId="28">#REF!</definedName>
    <definedName name="DATA5">#REF!</definedName>
    <definedName name="DATA6" localSheetId="28">#REF!</definedName>
    <definedName name="DATA6">#REF!</definedName>
    <definedName name="DATA9" localSheetId="28">[9]flat!#REF!</definedName>
    <definedName name="DATA9">[9]flat!#REF!</definedName>
    <definedName name="datab" localSheetId="10">#REF!</definedName>
    <definedName name="datab" localSheetId="11">#REF!</definedName>
    <definedName name="datab" localSheetId="17">#REF!</definedName>
    <definedName name="datab" localSheetId="23">#REF!</definedName>
    <definedName name="datab" localSheetId="27">#REF!</definedName>
    <definedName name="datab" localSheetId="28">#REF!</definedName>
    <definedName name="datab" localSheetId="30">#REF!</definedName>
    <definedName name="datab" localSheetId="33">#REF!</definedName>
    <definedName name="datab" localSheetId="34">#REF!</definedName>
    <definedName name="datab" localSheetId="3">#REF!</definedName>
    <definedName name="datab" localSheetId="4">#REF!</definedName>
    <definedName name="datab" localSheetId="7">#REF!</definedName>
    <definedName name="datab" localSheetId="19">#REF!</definedName>
    <definedName name="datab" localSheetId="20">#REF!</definedName>
    <definedName name="datab" localSheetId="21">#REF!</definedName>
    <definedName name="datab" localSheetId="22">#REF!</definedName>
    <definedName name="datab" localSheetId="24">#REF!</definedName>
    <definedName name="datab">#REF!</definedName>
    <definedName name="_xlnm.Database" localSheetId="10">#REF!</definedName>
    <definedName name="_xlnm.Database" localSheetId="11">#REF!</definedName>
    <definedName name="_xlnm.Database" localSheetId="17">#REF!</definedName>
    <definedName name="_xlnm.Database" localSheetId="23">#REF!</definedName>
    <definedName name="_xlnm.Database" localSheetId="27">#REF!</definedName>
    <definedName name="_xlnm.Database" localSheetId="28">#REF!</definedName>
    <definedName name="_xlnm.Database" localSheetId="30">#REF!</definedName>
    <definedName name="_xlnm.Database" localSheetId="33">#REF!</definedName>
    <definedName name="_xlnm.Database" localSheetId="37">#REF!</definedName>
    <definedName name="_xlnm.Database" localSheetId="3">#REF!</definedName>
    <definedName name="_xlnm.Database" localSheetId="4">#REF!</definedName>
    <definedName name="_xlnm.Database" localSheetId="7">#REF!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4">#REF!</definedName>
    <definedName name="_xlnm.Database">#REF!</definedName>
    <definedName name="Detail" localSheetId="28">'[2]2006_Ist bis Juli'!#REF!</definedName>
    <definedName name="Detail">'[2]2006_Ist bis Juli'!#REF!</definedName>
    <definedName name="dgb" localSheetId="28">#REF!</definedName>
    <definedName name="dgb">#REF!</definedName>
    <definedName name="DifferenzaIT">'[11]DBFM-Italia'!$G$186</definedName>
    <definedName name="_xlnm.Print_Area" localSheetId="0">Ü1!$A$1:$J$42</definedName>
    <definedName name="_xlnm.Print_Area" localSheetId="23">Ü18!$A$1:$J$86</definedName>
    <definedName name="_xlnm.Print_Area" localSheetId="1">Ü2!$A$1:$J$43</definedName>
    <definedName name="_xlnm.Print_Area" localSheetId="27">Ü21!$A$1:$G$27</definedName>
    <definedName name="_xlnm.Print_Area" localSheetId="28">'U22'!$A$1:$I$44</definedName>
    <definedName name="_xlnm.Print_Area" localSheetId="33">Ü27!$A$1:$L$26</definedName>
    <definedName name="_xlnm.Print_Area" localSheetId="35">Ü29!$A$1:$H$26</definedName>
    <definedName name="_xlnm.Print_Area" localSheetId="2">Ü3!$A$1:$J$43</definedName>
    <definedName name="_xlnm.Print_Area" localSheetId="36">Ü30!$A$1:$H$25</definedName>
    <definedName name="_xlnm.Print_Area" localSheetId="3">Ü4!$A$1:$J$45</definedName>
    <definedName name="_xlnm.Print_Area" localSheetId="4">Ü5!$A$1:$G$42</definedName>
    <definedName name="_xlnm.Print_Area" localSheetId="5">Ü6!$A$1:$K$43</definedName>
    <definedName name="_xlnm.Print_Area" localSheetId="7">Ü8!$A$1:$L$52</definedName>
    <definedName name="Druckbereich_MI" localSheetId="10">#REF!</definedName>
    <definedName name="Druckbereich_MI" localSheetId="11">#REF!</definedName>
    <definedName name="Druckbereich_MI" localSheetId="17">#REF!</definedName>
    <definedName name="Druckbereich_MI" localSheetId="23">#REF!</definedName>
    <definedName name="Druckbereich_MI" localSheetId="27">#REF!</definedName>
    <definedName name="Druckbereich_MI" localSheetId="28">#REF!</definedName>
    <definedName name="Druckbereich_MI" localSheetId="30">#REF!</definedName>
    <definedName name="Druckbereich_MI" localSheetId="33">#REF!</definedName>
    <definedName name="Druckbereich_MI" localSheetId="34">#REF!</definedName>
    <definedName name="Druckbereich_MI" localSheetId="37">#REF!</definedName>
    <definedName name="Druckbereich_MI" localSheetId="3">#REF!</definedName>
    <definedName name="Druckbereich_MI" localSheetId="4">#REF!</definedName>
    <definedName name="Druckbereich_MI" localSheetId="7">#REF!</definedName>
    <definedName name="Druckbereich_MI" localSheetId="19">#REF!</definedName>
    <definedName name="Druckbereich_MI" localSheetId="20">#REF!</definedName>
    <definedName name="Druckbereich_MI" localSheetId="21">#REF!</definedName>
    <definedName name="Druckbereich_MI" localSheetId="22">#REF!</definedName>
    <definedName name="Druckbereich_MI" localSheetId="24">#REF!</definedName>
    <definedName name="Druckbereich_MI">#REF!</definedName>
    <definedName name="_xlnm.Print_Titles" localSheetId="23">Ü18!$1:$6</definedName>
    <definedName name="_xlnm.Print_Titles" localSheetId="18">'ÜE-15'!$4:$8</definedName>
    <definedName name="_xlnm.Print_Titles" localSheetId="19">'ÜE-15 (2)'!$4:$8</definedName>
    <definedName name="_xlnm.Print_Titles" localSheetId="20">'ÜE-15 (3)'!$4:$8</definedName>
    <definedName name="_xlnm.Print_Titles" localSheetId="21">'ÜE-15 (4)'!$4:$8</definedName>
    <definedName name="_xlnm.Print_Titles" localSheetId="22">'ÜE-15 (5)'!$4:$8</definedName>
    <definedName name="_xlnm.Print_Titles" localSheetId="24">'ÜE-15a (2)'!$1:$6</definedName>
    <definedName name="_xlnm.Print_Titles">[12]Gesamt!$A$1:$O$65536,[12]Gesamt!$A$1:$IV$1</definedName>
    <definedName name="Drucktitel1">[12]Gesamt!$A$1:$O$65536,[12]Gesamt!$A$1:$IV$1</definedName>
    <definedName name="Drucktitel2">[12]Gesamt!$A$1:$O$65536,[12]Gesamt!$A$1:$IV$1</definedName>
    <definedName name="Drucktitel3">[12]Gesamt!$A$1:$O$65536,[12]Gesamt!$A$1:$IV$1</definedName>
    <definedName name="EB" localSheetId="28">#REF!</definedName>
    <definedName name="EB">#REF!</definedName>
    <definedName name="EIN" localSheetId="28">#REF!</definedName>
    <definedName name="EIN">#REF!</definedName>
    <definedName name="EXPORT" localSheetId="28">#REF!</definedName>
    <definedName name="EXPORT">#REF!</definedName>
    <definedName name="fertig" localSheetId="28">'[13]FIP akt'!#REF!</definedName>
    <definedName name="fertig">'[13]FIP akt'!#REF!</definedName>
    <definedName name="fghd" localSheetId="28">'[2]2006_Ist bis Juli'!#REF!</definedName>
    <definedName name="fghd">'[2]2006_Ist bis Juli'!#REF!</definedName>
    <definedName name="FilterDatenbank" localSheetId="28">#REF!</definedName>
    <definedName name="FilterDatenbank">#REF!</definedName>
    <definedName name="Final_check" localSheetId="28">#REF!</definedName>
    <definedName name="Final_check">#REF!</definedName>
    <definedName name="freq" localSheetId="28">#REF!</definedName>
    <definedName name="freq">#REF!</definedName>
    <definedName name="gehalt" localSheetId="28">#REF!</definedName>
    <definedName name="gehalt">#REF!</definedName>
    <definedName name="großBis" localSheetId="28">#REF!</definedName>
    <definedName name="großBis">#REF!</definedName>
    <definedName name="großÜber" localSheetId="28">#REF!</definedName>
    <definedName name="großÜber">#REF!</definedName>
    <definedName name="hbg" localSheetId="28">#REF!</definedName>
    <definedName name="hbg">#REF!</definedName>
    <definedName name="HTML_CodePage">1252</definedName>
    <definedName name="HTML_Control" localSheetId="28">{"'Sheet1'!$A$1:$H$145"}</definedName>
    <definedName name="HTML_Control">{"'Sheet1'!$A$1:$H$145"}</definedName>
    <definedName name="HTML_Description">""</definedName>
    <definedName name="HTML_Email">""</definedName>
    <definedName name="HTML_Header">"Country Risk Premiums"</definedName>
    <definedName name="HTML_LastUpdate">"2/19/99"</definedName>
    <definedName name="HTML_LineAfter">TRUE</definedName>
    <definedName name="HTML_LineBefore">TRUE</definedName>
    <definedName name="HTML_Name">"Aswath Damodaran"</definedName>
    <definedName name="HTML_OBDlg2">TRUE</definedName>
    <definedName name="HTML_OBDlg4">TRUE</definedName>
    <definedName name="HTML_OS">1</definedName>
    <definedName name="HTML_PathFile" hidden="1">"C:\jb98\3d\daten\kap10.ok\j-1001.htm"</definedName>
    <definedName name="HTML_PathFileMac">"Macintosh HD:HomePageStuff:New_Home_Page:datafile:ctryprem.html"</definedName>
    <definedName name="HTML_Title">"Country Risk Premiums"</definedName>
    <definedName name="inh.Verz.1" localSheetId="10">#REF!</definedName>
    <definedName name="inh.Verz.1" localSheetId="17">#REF!</definedName>
    <definedName name="inh.Verz.1" localSheetId="23">#REF!</definedName>
    <definedName name="inh.Verz.1" localSheetId="1">#REF!</definedName>
    <definedName name="inh.Verz.1" localSheetId="27">#REF!</definedName>
    <definedName name="inh.Verz.1" localSheetId="28">#REF!</definedName>
    <definedName name="inh.Verz.1" localSheetId="30">#REF!</definedName>
    <definedName name="inh.Verz.1" localSheetId="33">#REF!</definedName>
    <definedName name="inh.Verz.1" localSheetId="2">#REF!</definedName>
    <definedName name="inh.Verz.1" localSheetId="3">#REF!</definedName>
    <definedName name="inh.Verz.1" localSheetId="4">#REF!</definedName>
    <definedName name="inh.Verz.1" localSheetId="5">#REF!</definedName>
    <definedName name="inh.Verz.1" localSheetId="7">#REF!</definedName>
    <definedName name="inh.Verz.1" localSheetId="19">#REF!</definedName>
    <definedName name="inh.Verz.1" localSheetId="20">#REF!</definedName>
    <definedName name="inh.Verz.1" localSheetId="21">#REF!</definedName>
    <definedName name="inh.Verz.1" localSheetId="22">#REF!</definedName>
    <definedName name="inh.Verz.1" localSheetId="24">#REF!</definedName>
    <definedName name="inh.Verz.1">#REF!</definedName>
    <definedName name="inkl_KW" localSheetId="28">#REF!</definedName>
    <definedName name="inkl_KW">#REF!</definedName>
    <definedName name="inmio" localSheetId="28">#REF!</definedName>
    <definedName name="inmio">#REF!</definedName>
    <definedName name="JZ" localSheetId="28">#REF!</definedName>
    <definedName name="JZ">#REF!</definedName>
    <definedName name="kizu" localSheetId="28">#REF!</definedName>
    <definedName name="kizu">#REF!</definedName>
    <definedName name="kleinBis" localSheetId="28">#REF!</definedName>
    <definedName name="kleinBis">#REF!</definedName>
    <definedName name="kleinÜber" localSheetId="28">#REF!</definedName>
    <definedName name="kleinÜber">#REF!</definedName>
    <definedName name="köpfe" localSheetId="28">#REF!</definedName>
    <definedName name="köpfe">#REF!</definedName>
    <definedName name="linear">[14]zentrEing!$B$22</definedName>
    <definedName name="mio" localSheetId="28">#REF!</definedName>
    <definedName name="mio">#REF!</definedName>
    <definedName name="MIP_BMÖWVK" localSheetId="28">#REF!</definedName>
    <definedName name="MIP_BMÖWVK">#REF!</definedName>
    <definedName name="mlvg" localSheetId="28">#REF!</definedName>
    <definedName name="mlvg">#REF!</definedName>
    <definedName name="Nebengebühreneffekt__2">'[15]AktA85-96 (2)'!$D$23</definedName>
    <definedName name="Nebengebühreneffekt_3">'[16]AktA85-96 (2)'!$D$23</definedName>
    <definedName name="Nebengebüreneffekt_3">'[16]AktA85-96 (2)'!$D$23</definedName>
    <definedName name="ng" localSheetId="28">#REF!</definedName>
    <definedName name="ng">#REF!</definedName>
    <definedName name="Ngebef_2">'[15]AktA85-96 (2)'!$D$23</definedName>
    <definedName name="Ngebef_3">'[15]AktA85-96 (2)'!$D$23</definedName>
    <definedName name="Ngebef2">'[15]AktA85-96 (2)'!$D$23</definedName>
    <definedName name="Ngebef3">'[15]AktA85-96 (2)'!$D$23</definedName>
    <definedName name="Partner" localSheetId="28">'[4]ÜT Personal'!#REF!</definedName>
    <definedName name="Partner">'[4]ÜT Personal'!#REF!</definedName>
    <definedName name="pass_Steuerabgr">'[17]Bilanz und Erläuterungen'!$H$2346</definedName>
    <definedName name="PbisHBG" localSheetId="28">#REF!</definedName>
    <definedName name="PbisHBG">#REF!</definedName>
    <definedName name="pens1" localSheetId="28">#REF!</definedName>
    <definedName name="pens1">#REF!</definedName>
    <definedName name="pens2" localSheetId="28">#REF!</definedName>
    <definedName name="pens2">#REF!</definedName>
    <definedName name="perplanend" localSheetId="28">#REF!</definedName>
    <definedName name="perplanend">#REF!</definedName>
    <definedName name="pervjend" localSheetId="28">#REF!</definedName>
    <definedName name="pervjend">#REF!</definedName>
    <definedName name="PFN_fine" localSheetId="28">#REF!</definedName>
    <definedName name="PFN_fine">#REF!</definedName>
    <definedName name="PROZ" localSheetId="28">#REF!</definedName>
    <definedName name="PROZ">#REF!</definedName>
    <definedName name="PüberHBG" localSheetId="28">#REF!</definedName>
    <definedName name="PüberHBG">#REF!</definedName>
    <definedName name="RFBILA">[10]RFBILA!$A$2:$G$126</definedName>
    <definedName name="RicaviIT">'[11]DBFM-Italia'!$G$150</definedName>
    <definedName name="Risikozuschlag" localSheetId="28">#REF!</definedName>
    <definedName name="Risikozuschlag">#REF!</definedName>
    <definedName name="RngCheckinta" localSheetId="28">#REF!</definedName>
    <definedName name="RngCheckinta">#REF!</definedName>
    <definedName name="RngCheckintp" localSheetId="28">#REF!</definedName>
    <definedName name="RngCheckintp">#REF!</definedName>
    <definedName name="rngCopyinta" localSheetId="28">#REF!</definedName>
    <definedName name="rngCopyinta">#REF!</definedName>
    <definedName name="rngCopyintp" localSheetId="28">#REF!</definedName>
    <definedName name="rngCopyintp">#REF!</definedName>
    <definedName name="rngPasteinta" localSheetId="28">#REF!</definedName>
    <definedName name="rngPasteinta">#REF!</definedName>
    <definedName name="rngPasteintp" localSheetId="28">#REF!</definedName>
    <definedName name="rngPasteintp">#REF!</definedName>
    <definedName name="sap_D0001_00000001" localSheetId="28">#REF!</definedName>
    <definedName name="sap_D0001_00000001">#REF!</definedName>
    <definedName name="sap_D0002_00000001" localSheetId="28">#REF!</definedName>
    <definedName name="sap_D0002_00000001">#REF!</definedName>
    <definedName name="sap_D0003_00000001" localSheetId="28">#REF!</definedName>
    <definedName name="sap_D0003_00000001">#REF!</definedName>
    <definedName name="sap_D0004_00000001" localSheetId="28">#REF!</definedName>
    <definedName name="sap_D0004_00000001">#REF!</definedName>
    <definedName name="sap_D0005_00000001" localSheetId="28">#REF!</definedName>
    <definedName name="sap_D0005_00000001">#REF!</definedName>
    <definedName name="sap_D0006_00000001" localSheetId="28">#REF!</definedName>
    <definedName name="sap_D0006_00000001">#REF!</definedName>
    <definedName name="sap_D0007_00000001" localSheetId="28">#REF!</definedName>
    <definedName name="sap_D0007_00000001">#REF!</definedName>
    <definedName name="sap_D0008_00000001" localSheetId="28">#REF!</definedName>
    <definedName name="sap_D0008_00000001">#REF!</definedName>
    <definedName name="sap_D0009_00000001" localSheetId="28">#REF!</definedName>
    <definedName name="sap_D0009_00000001">#REF!</definedName>
    <definedName name="sap_D0010_00000001" localSheetId="28">#REF!</definedName>
    <definedName name="sap_D0010_00000001">#REF!</definedName>
    <definedName name="sap_D0011_00000001" localSheetId="28">#REF!</definedName>
    <definedName name="sap_D0011_00000001">#REF!</definedName>
    <definedName name="sap_D0012_00000001" localSheetId="28">#REF!</definedName>
    <definedName name="sap_D0012_00000001">#REF!</definedName>
    <definedName name="sap_D0013_00000001" localSheetId="28">#REF!</definedName>
    <definedName name="sap_D0013_00000001">#REF!</definedName>
    <definedName name="sap_D0014_00000001" localSheetId="28">#REF!</definedName>
    <definedName name="sap_D0014_00000001">#REF!</definedName>
    <definedName name="sap_D0015_00000001" localSheetId="28">#REF!</definedName>
    <definedName name="sap_D0015_00000001">#REF!</definedName>
    <definedName name="sap_D0016_00000001" localSheetId="28">#REF!</definedName>
    <definedName name="sap_D0016_00000001">#REF!</definedName>
    <definedName name="sap_D0017_00000001" localSheetId="28">#REF!</definedName>
    <definedName name="sap_D0017_00000001">#REF!</definedName>
    <definedName name="sap_D0018_00000001" localSheetId="28">#REF!</definedName>
    <definedName name="sap_D0018_00000001">#REF!</definedName>
    <definedName name="sap_D0019_00000001" localSheetId="28">#REF!</definedName>
    <definedName name="sap_D0019_00000001">#REF!</definedName>
    <definedName name="sap_D0020_00000001" localSheetId="28">#REF!</definedName>
    <definedName name="sap_D0020_00000001">#REF!</definedName>
    <definedName name="sap_D0021_00000001" localSheetId="28">#REF!</definedName>
    <definedName name="sap_D0021_00000001">#REF!</definedName>
    <definedName name="sap_D0022_00000001" localSheetId="28">#REF!</definedName>
    <definedName name="sap_D0022_00000001">#REF!</definedName>
    <definedName name="sap_D0023_00000001" localSheetId="28">#REF!</definedName>
    <definedName name="sap_D0023_00000001">#REF!</definedName>
    <definedName name="sap_D0024_00000001" localSheetId="28">#REF!</definedName>
    <definedName name="sap_D0024_00000001">#REF!</definedName>
    <definedName name="sap_D0025_00000001" localSheetId="28">#REF!</definedName>
    <definedName name="sap_D0025_00000001">#REF!</definedName>
    <definedName name="sap_D0026_00000001" localSheetId="28">#REF!</definedName>
    <definedName name="sap_D0026_00000001">#REF!</definedName>
    <definedName name="sap_D0027_00000001" localSheetId="28">#REF!</definedName>
    <definedName name="sap_D0027_00000001">#REF!</definedName>
    <definedName name="sap_D0028_00000001" localSheetId="28">#REF!</definedName>
    <definedName name="sap_D0028_00000001">#REF!</definedName>
    <definedName name="sap_F0001" localSheetId="28">#REF!</definedName>
    <definedName name="sap_F0001">#REF!</definedName>
    <definedName name="sap_F0002" localSheetId="28">#REF!</definedName>
    <definedName name="sap_F0002">#REF!</definedName>
    <definedName name="sap_F0003" localSheetId="28">#REF!</definedName>
    <definedName name="sap_F0003">#REF!</definedName>
    <definedName name="sap_F0004" localSheetId="28">#REF!</definedName>
    <definedName name="sap_F0004">#REF!</definedName>
    <definedName name="sap_F0005" localSheetId="28">#REF!</definedName>
    <definedName name="sap_F0005">#REF!</definedName>
    <definedName name="sap_F0006" localSheetId="28">#REF!</definedName>
    <definedName name="sap_F0006">#REF!</definedName>
    <definedName name="sap_F0007" localSheetId="28">#REF!</definedName>
    <definedName name="sap_F0007">#REF!</definedName>
    <definedName name="sap_F0008" localSheetId="28">#REF!</definedName>
    <definedName name="sap_F0008">#REF!</definedName>
    <definedName name="sap_F0009" localSheetId="28">#REF!</definedName>
    <definedName name="sap_F0009">#REF!</definedName>
    <definedName name="sap_F0010" localSheetId="28">#REF!</definedName>
    <definedName name="sap_F0010">#REF!</definedName>
    <definedName name="sap_F0011" localSheetId="28">#REF!</definedName>
    <definedName name="sap_F0011">#REF!</definedName>
    <definedName name="sap_K0001" localSheetId="28">#REF!</definedName>
    <definedName name="sap_K0001">#REF!</definedName>
    <definedName name="sap_K0002" localSheetId="28">#REF!</definedName>
    <definedName name="sap_K0002">#REF!</definedName>
    <definedName name="sap_K0003" localSheetId="28">#REF!</definedName>
    <definedName name="sap_K0003">#REF!</definedName>
    <definedName name="sap_K0004" localSheetId="28">#REF!</definedName>
    <definedName name="sap_K0004">#REF!</definedName>
    <definedName name="sap_K0005" localSheetId="28">#REF!</definedName>
    <definedName name="sap_K0005">#REF!</definedName>
    <definedName name="sap_K0006" localSheetId="28">#REF!</definedName>
    <definedName name="sap_K0006">#REF!</definedName>
    <definedName name="sap_K0007" localSheetId="28">#REF!</definedName>
    <definedName name="sap_K0007">#REF!</definedName>
    <definedName name="sap_K0008" localSheetId="28">#REF!</definedName>
    <definedName name="sap_K0008">#REF!</definedName>
    <definedName name="sap_K0009" localSheetId="28">#REF!</definedName>
    <definedName name="sap_K0009">#REF!</definedName>
    <definedName name="sap_K0010" localSheetId="28">#REF!</definedName>
    <definedName name="sap_K0010">#REF!</definedName>
    <definedName name="sap_K0011" localSheetId="28">#REF!</definedName>
    <definedName name="sap_K0011">#REF!</definedName>
    <definedName name="sap_S0001" localSheetId="28">#REF!</definedName>
    <definedName name="sap_S0001">#REF!</definedName>
    <definedName name="sap_S0002" localSheetId="28">#REF!</definedName>
    <definedName name="sap_S0002">#REF!</definedName>
    <definedName name="sap_S0003" localSheetId="28">#REF!</definedName>
    <definedName name="sap_S0003">#REF!</definedName>
    <definedName name="sap_S0004" localSheetId="28">#REF!</definedName>
    <definedName name="sap_S0004">#REF!</definedName>
    <definedName name="sap_S0005" localSheetId="28">#REF!</definedName>
    <definedName name="sap_S0005">#REF!</definedName>
    <definedName name="sap_S0006" localSheetId="28">#REF!</definedName>
    <definedName name="sap_S0006">#REF!</definedName>
    <definedName name="sap_S0007" localSheetId="28">#REF!</definedName>
    <definedName name="sap_S0007">#REF!</definedName>
    <definedName name="sap_S0008" localSheetId="28">#REF!</definedName>
    <definedName name="sap_S0008">#REF!</definedName>
    <definedName name="sap_S0009" localSheetId="28">#REF!</definedName>
    <definedName name="sap_S0009">#REF!</definedName>
    <definedName name="sap_S0010" localSheetId="28">#REF!</definedName>
    <definedName name="sap_S0010">#REF!</definedName>
    <definedName name="sap_S0011" localSheetId="28">#REF!</definedName>
    <definedName name="sap_S0011">#REF!</definedName>
    <definedName name="sap_S0012" localSheetId="28">#REF!</definedName>
    <definedName name="sap_S0012">#REF!</definedName>
    <definedName name="sap_S0013" localSheetId="28">#REF!</definedName>
    <definedName name="sap_S0013">#REF!</definedName>
    <definedName name="sap_S0014" localSheetId="28">#REF!</definedName>
    <definedName name="sap_S0014">#REF!</definedName>
    <definedName name="sap_S0015" localSheetId="28">#REF!</definedName>
    <definedName name="sap_S0015">#REF!</definedName>
    <definedName name="sap_S0016" localSheetId="28">#REF!</definedName>
    <definedName name="sap_S0016">#REF!</definedName>
    <definedName name="sap_S0017" localSheetId="28">#REF!</definedName>
    <definedName name="sap_S0017">#REF!</definedName>
    <definedName name="sap_S0018" localSheetId="28">#REF!</definedName>
    <definedName name="sap_S0018">#REF!</definedName>
    <definedName name="sap_S0019" localSheetId="28">#REF!</definedName>
    <definedName name="sap_S0019">#REF!</definedName>
    <definedName name="sap_S0020" localSheetId="28">#REF!</definedName>
    <definedName name="sap_S0020">#REF!</definedName>
    <definedName name="sap_S0021" localSheetId="28">#REF!</definedName>
    <definedName name="sap_S0021">#REF!</definedName>
    <definedName name="sap_S0022" localSheetId="28">#REF!</definedName>
    <definedName name="sap_S0022">#REF!</definedName>
    <definedName name="sap_S0023" localSheetId="28">#REF!</definedName>
    <definedName name="sap_S0023">#REF!</definedName>
    <definedName name="sap_S0024" localSheetId="28">#REF!</definedName>
    <definedName name="sap_S0024">#REF!</definedName>
    <definedName name="sap_S0025" localSheetId="28">#REF!</definedName>
    <definedName name="sap_S0025">#REF!</definedName>
    <definedName name="sap_S0026" localSheetId="28">#REF!</definedName>
    <definedName name="sap_S0026">#REF!</definedName>
    <definedName name="sap_S0027" localSheetId="28">#REF!</definedName>
    <definedName name="sap_S0027">#REF!</definedName>
    <definedName name="sap_S0028" localSheetId="28">#REF!</definedName>
    <definedName name="sap_S0028">#REF!</definedName>
    <definedName name="sap_Z0001_00000001" localSheetId="28">#REF!</definedName>
    <definedName name="sap_Z0001_00000001">#REF!</definedName>
    <definedName name="sap_Z0002_00000001" localSheetId="28">#REF!</definedName>
    <definedName name="sap_Z0002_00000001">#REF!</definedName>
    <definedName name="sap_Z0003_00000001" localSheetId="28">#REF!</definedName>
    <definedName name="sap_Z0003_00000001">#REF!</definedName>
    <definedName name="sap_Z0004_00000001" localSheetId="28">#REF!</definedName>
    <definedName name="sap_Z0004_00000001">#REF!</definedName>
    <definedName name="sap_Z0005_00000001" localSheetId="28">#REF!</definedName>
    <definedName name="sap_Z0005_00000001">#REF!</definedName>
    <definedName name="sap_Z0006_00000001" localSheetId="28">#REF!</definedName>
    <definedName name="sap_Z0006_00000001">#REF!</definedName>
    <definedName name="sap_Z0007_00000001" localSheetId="28">#REF!</definedName>
    <definedName name="sap_Z0007_00000001">#REF!</definedName>
    <definedName name="sap_Z0008_00000001" localSheetId="28">#REF!</definedName>
    <definedName name="sap_Z0008_00000001">#REF!</definedName>
    <definedName name="sap_Z0009_00000001" localSheetId="28">#REF!</definedName>
    <definedName name="sap_Z0009_00000001">#REF!</definedName>
    <definedName name="sap_Z0010_00000001" localSheetId="28">#REF!</definedName>
    <definedName name="sap_Z0010_00000001">#REF!</definedName>
    <definedName name="sap_Z0011_00000001" localSheetId="28">#REF!</definedName>
    <definedName name="sap_Z0011_00000001">#REF!</definedName>
    <definedName name="SAPBEXdnldView" hidden="1">"453ZNH9UMWPNMHQ8LCHVSZSXB"</definedName>
    <definedName name="SAPBEXrevision">4</definedName>
    <definedName name="SAPBEXsysID" hidden="1">"PW3"</definedName>
    <definedName name="SAPBEXwbID">"8XOW2GSLG43BL23CIQ8OMCW0R"</definedName>
    <definedName name="sdfasd" localSheetId="28">#REF!</definedName>
    <definedName name="sdfasd">#REF!</definedName>
    <definedName name="SelezionaDeselezionaTutto" localSheetId="28">'U22'!SelezionaDeselezionaTutto</definedName>
    <definedName name="SelezionaDeselezionaTutto">'U22'!SelezionaDeselezionaTutto</definedName>
    <definedName name="so_rst_Bil_Dat">'[17]Bilanz und Erläuterungen'!$H$2372:$H$2414</definedName>
    <definedName name="so_rst_lfr">'[17]Bilanz und Erläuterungen'!$L$2372:$L$2414</definedName>
    <definedName name="st" localSheetId="28">#REF!</definedName>
    <definedName name="st">#REF!</definedName>
    <definedName name="Steiner" localSheetId="28">#REF!</definedName>
    <definedName name="Steiner">#REF!</definedName>
    <definedName name="Strecken" localSheetId="28">#REF!</definedName>
    <definedName name="Strecken">#REF!</definedName>
    <definedName name="_xlnm.Criteria" localSheetId="17">#REF!</definedName>
    <definedName name="_xlnm.Criteria" localSheetId="23">#REF!</definedName>
    <definedName name="_xlnm.Criteria" localSheetId="27">#REF!</definedName>
    <definedName name="_xlnm.Criteria" localSheetId="28">#REF!</definedName>
    <definedName name="_xlnm.Criteria" localSheetId="30">#REF!</definedName>
    <definedName name="_xlnm.Criteria" localSheetId="33">#REF!</definedName>
    <definedName name="_xlnm.Criteria" localSheetId="37">#REF!</definedName>
    <definedName name="_xlnm.Criteria" localSheetId="3">#REF!</definedName>
    <definedName name="_xlnm.Criteria" localSheetId="4">#REF!</definedName>
    <definedName name="_xlnm.Criteria" localSheetId="19">#REF!</definedName>
    <definedName name="_xlnm.Criteria" localSheetId="20">#REF!</definedName>
    <definedName name="_xlnm.Criteria" localSheetId="21">#REF!</definedName>
    <definedName name="_xlnm.Criteria" localSheetId="22">#REF!</definedName>
    <definedName name="_xlnm.Criteria" localSheetId="24">#REF!</definedName>
    <definedName name="_xlnm.Criteria">#REF!</definedName>
    <definedName name="summe" localSheetId="28">#REF!</definedName>
    <definedName name="summe">#REF!</definedName>
    <definedName name="TEST0" localSheetId="28">#REF!</definedName>
    <definedName name="TEST0">#REF!</definedName>
    <definedName name="TEST1" localSheetId="28">#REF!</definedName>
    <definedName name="TEST1">#REF!</definedName>
    <definedName name="TESTHKEY" localSheetId="28">'[2]2006_Ist bis Juli'!#REF!</definedName>
    <definedName name="TESTHKEY">'[2]2006_Ist bis Juli'!#REF!</definedName>
    <definedName name="TESTKEYS" localSheetId="28">#REF!</definedName>
    <definedName name="TESTKEYS">#REF!</definedName>
    <definedName name="TESTVKEY" localSheetId="28">#REF!</definedName>
    <definedName name="TESTVKEY">#REF!</definedName>
    <definedName name="tsd" localSheetId="28">#REF!</definedName>
    <definedName name="tsd">#REF!</definedName>
    <definedName name="ÜVO_Antrag_Kienzer" localSheetId="28">#REF!</definedName>
    <definedName name="ÜVO_Antrag_Kienzer">#REF!</definedName>
    <definedName name="vbä" localSheetId="28">#REF!</definedName>
    <definedName name="vbä">#REF!</definedName>
    <definedName name="VBÄüber" localSheetId="28">#REF!</definedName>
    <definedName name="VBÄüber">#REF!</definedName>
    <definedName name="xxxxx">'[16]AktA85-96 (2)'!$D$23</definedName>
    <definedName name="Zinssatz" localSheetId="28">#REF!</definedName>
    <definedName name="Zinssatz">#REF!</definedName>
    <definedName name="Zinssatz_Imp">[18]Deckblatt!$H$21</definedName>
    <definedName name="Zinssatz_inklusive_Risikozuschlag" localSheetId="28">#REF!</definedName>
    <definedName name="Zinssatz_inklusive_Risikozuschlag">#REF!</definedName>
    <definedName name="zulagen" localSheetId="28">#REF!</definedName>
    <definedName name="zulagen">#REF!</definedName>
  </definedNames>
  <calcPr calcId="145621"/>
</workbook>
</file>

<file path=xl/calcChain.xml><?xml version="1.0" encoding="utf-8"?>
<calcChain xmlns="http://schemas.openxmlformats.org/spreadsheetml/2006/main">
  <c r="C5" i="39" l="1"/>
  <c r="B5" i="39"/>
  <c r="F5" i="39"/>
  <c r="E5" i="39"/>
  <c r="D5" i="39"/>
  <c r="G5" i="39"/>
  <c r="H7" i="39" l="1"/>
  <c r="G6" i="28" l="1"/>
  <c r="K48" i="53" l="1"/>
  <c r="J48" i="53"/>
  <c r="H48" i="53"/>
  <c r="F12" i="53"/>
  <c r="F48" i="53"/>
  <c r="D48" i="53"/>
  <c r="K38" i="92" l="1"/>
  <c r="K34" i="92"/>
  <c r="K30" i="92"/>
  <c r="K26" i="92"/>
  <c r="K22" i="92"/>
  <c r="K18" i="92"/>
  <c r="K14" i="92"/>
  <c r="K10" i="92"/>
  <c r="K6" i="92"/>
  <c r="K29" i="28" l="1"/>
  <c r="K42" i="92"/>
  <c r="E20" i="51" l="1"/>
  <c r="E15" i="51"/>
  <c r="C15" i="51"/>
  <c r="D15" i="51"/>
  <c r="G33" i="37"/>
  <c r="J41" i="50"/>
  <c r="J38" i="92"/>
  <c r="I38" i="92"/>
  <c r="H38" i="92"/>
  <c r="G38" i="92"/>
  <c r="F38" i="92"/>
  <c r="E38" i="92"/>
  <c r="D38" i="92"/>
  <c r="C38" i="92"/>
  <c r="B38" i="92"/>
  <c r="J34" i="92"/>
  <c r="I34" i="92"/>
  <c r="H34" i="92"/>
  <c r="G34" i="92"/>
  <c r="F34" i="92"/>
  <c r="E34" i="92"/>
  <c r="D34" i="92"/>
  <c r="C34" i="92"/>
  <c r="B34" i="92"/>
  <c r="J30" i="92"/>
  <c r="I30" i="92"/>
  <c r="H30" i="92"/>
  <c r="G30" i="92"/>
  <c r="F30" i="92"/>
  <c r="E30" i="92"/>
  <c r="D30" i="92"/>
  <c r="C30" i="92"/>
  <c r="B30" i="92"/>
  <c r="J26" i="92"/>
  <c r="I26" i="92"/>
  <c r="H26" i="92"/>
  <c r="G26" i="92"/>
  <c r="F26" i="92"/>
  <c r="E26" i="92"/>
  <c r="D26" i="92"/>
  <c r="C26" i="92"/>
  <c r="B26" i="92"/>
  <c r="J22" i="92"/>
  <c r="I22" i="92"/>
  <c r="H22" i="92"/>
  <c r="G22" i="92"/>
  <c r="F22" i="92"/>
  <c r="E22" i="92"/>
  <c r="D22" i="92"/>
  <c r="C22" i="92"/>
  <c r="B22" i="92"/>
  <c r="J18" i="92"/>
  <c r="I18" i="92"/>
  <c r="H18" i="92"/>
  <c r="G18" i="92"/>
  <c r="F18" i="92"/>
  <c r="E18" i="92"/>
  <c r="D18" i="92"/>
  <c r="C18" i="92"/>
  <c r="B18" i="92"/>
  <c r="J14" i="92"/>
  <c r="I14" i="92"/>
  <c r="H14" i="92"/>
  <c r="G14" i="92"/>
  <c r="F14" i="92"/>
  <c r="E14" i="92"/>
  <c r="D14" i="92"/>
  <c r="C14" i="92"/>
  <c r="B14" i="92"/>
  <c r="J10" i="92"/>
  <c r="I10" i="92"/>
  <c r="H10" i="92"/>
  <c r="G10" i="92"/>
  <c r="F10" i="92"/>
  <c r="E10" i="92"/>
  <c r="D10" i="92"/>
  <c r="C10" i="92"/>
  <c r="B10" i="92"/>
  <c r="J6" i="92"/>
  <c r="I6" i="92"/>
  <c r="H6" i="92"/>
  <c r="G6" i="92"/>
  <c r="F6" i="92"/>
  <c r="E6" i="92"/>
  <c r="D6" i="92"/>
  <c r="C6" i="92"/>
  <c r="B6" i="92"/>
  <c r="E21" i="51" l="1"/>
  <c r="J84" i="50"/>
  <c r="E84" i="50"/>
  <c r="G23" i="32" l="1"/>
  <c r="G34" i="37" l="1"/>
  <c r="G34" i="36"/>
  <c r="G40" i="36"/>
  <c r="G36" i="36"/>
  <c r="G28" i="36"/>
  <c r="H17" i="39" l="1"/>
  <c r="H12" i="39"/>
  <c r="H16" i="38" l="1"/>
  <c r="H11" i="38"/>
  <c r="H7" i="38"/>
  <c r="G15" i="83"/>
  <c r="G17" i="83" s="1"/>
  <c r="N11" i="84" l="1"/>
  <c r="N5" i="84"/>
  <c r="N18" i="84" s="1"/>
  <c r="C37" i="87" l="1"/>
  <c r="I14" i="8" l="1"/>
  <c r="I13" i="8"/>
  <c r="I15" i="8"/>
  <c r="I9" i="8" l="1"/>
  <c r="I16" i="8" s="1"/>
  <c r="I17" i="8" s="1"/>
  <c r="K30" i="7"/>
  <c r="K31" i="7"/>
  <c r="K24" i="7"/>
  <c r="K25" i="7"/>
  <c r="K19" i="7"/>
  <c r="K14" i="7"/>
  <c r="K9" i="7"/>
  <c r="H71" i="50" l="1"/>
  <c r="G71" i="50"/>
  <c r="H39" i="50"/>
  <c r="H36" i="50"/>
  <c r="H23" i="50"/>
  <c r="G23" i="50"/>
  <c r="H15" i="50"/>
  <c r="G15" i="50"/>
  <c r="H25" i="90" l="1"/>
  <c r="G25" i="90"/>
  <c r="F25" i="90"/>
  <c r="E25" i="90"/>
  <c r="D25" i="90"/>
  <c r="C25" i="90"/>
  <c r="H20" i="90"/>
  <c r="H33" i="90" s="1"/>
  <c r="G20" i="90"/>
  <c r="F20" i="90"/>
  <c r="E20" i="90"/>
  <c r="D20" i="90"/>
  <c r="D33" i="90" s="1"/>
  <c r="C20" i="90"/>
  <c r="H15" i="90"/>
  <c r="G15" i="90"/>
  <c r="F15" i="90"/>
  <c r="E15" i="90"/>
  <c r="D15" i="90"/>
  <c r="C15" i="90"/>
  <c r="E14" i="90"/>
  <c r="E9" i="90" s="1"/>
  <c r="D14" i="90"/>
  <c r="H11" i="90"/>
  <c r="G11" i="90"/>
  <c r="G9" i="90" s="1"/>
  <c r="F11" i="90"/>
  <c r="F9" i="90" s="1"/>
  <c r="E11" i="90"/>
  <c r="D11" i="90"/>
  <c r="C11" i="90"/>
  <c r="C9" i="90" s="1"/>
  <c r="H9" i="90"/>
  <c r="D9" i="90"/>
  <c r="H6" i="90"/>
  <c r="G6" i="90"/>
  <c r="F6" i="90"/>
  <c r="E6" i="90"/>
  <c r="D6" i="90"/>
  <c r="C6" i="90"/>
  <c r="F33" i="90" l="1"/>
  <c r="E33" i="90"/>
  <c r="C33" i="90"/>
  <c r="G33" i="90"/>
  <c r="C39" i="50" l="1"/>
  <c r="C84" i="50" s="1"/>
  <c r="F33" i="33"/>
  <c r="E33" i="33"/>
  <c r="F11" i="33"/>
  <c r="G30" i="33"/>
  <c r="G23" i="33"/>
  <c r="G11" i="33"/>
  <c r="G30" i="37"/>
  <c r="G14" i="37"/>
  <c r="G7" i="33"/>
  <c r="G6" i="37"/>
  <c r="G16" i="33" l="1"/>
  <c r="G35" i="33" s="1"/>
  <c r="G37" i="37"/>
  <c r="F30" i="32"/>
  <c r="G11" i="32"/>
  <c r="G7" i="32"/>
  <c r="F28" i="36"/>
  <c r="E28" i="36"/>
  <c r="G15" i="36"/>
  <c r="G30" i="36"/>
  <c r="G7" i="36"/>
  <c r="G44" i="36" l="1"/>
  <c r="G6" i="33"/>
  <c r="G16" i="32"/>
  <c r="G6" i="36"/>
  <c r="I44" i="12"/>
  <c r="I41" i="12"/>
  <c r="I33" i="12"/>
  <c r="I27" i="12"/>
  <c r="I20" i="12"/>
  <c r="D44" i="12"/>
  <c r="D41" i="12"/>
  <c r="D33" i="12"/>
  <c r="D27" i="12"/>
  <c r="D20" i="12"/>
  <c r="G6" i="32" l="1"/>
  <c r="G35" i="32"/>
  <c r="I45" i="12"/>
  <c r="D45" i="12"/>
  <c r="I58" i="80"/>
  <c r="I54" i="80"/>
  <c r="I50" i="80"/>
  <c r="I39" i="80"/>
  <c r="I34" i="80"/>
  <c r="I16" i="80"/>
  <c r="E58" i="80"/>
  <c r="E54" i="80"/>
  <c r="E50" i="80"/>
  <c r="D50" i="80"/>
  <c r="D39" i="80"/>
  <c r="E39" i="80"/>
  <c r="E34" i="80"/>
  <c r="E16" i="80"/>
  <c r="I20" i="28" l="1"/>
  <c r="J20" i="28"/>
  <c r="K20" i="28"/>
  <c r="D37" i="87" l="1"/>
  <c r="E37" i="87"/>
  <c r="J46" i="53" l="1"/>
  <c r="J47" i="53"/>
  <c r="F47" i="53"/>
  <c r="K46" i="53"/>
  <c r="K47" i="53"/>
  <c r="K45" i="53"/>
  <c r="D46" i="53"/>
  <c r="D47" i="53"/>
  <c r="H47" i="53" l="1"/>
  <c r="F46" i="53"/>
  <c r="H46" i="53"/>
  <c r="K11" i="84" l="1"/>
  <c r="G11" i="84"/>
  <c r="M11" i="84"/>
  <c r="I11" i="84"/>
  <c r="E11" i="84"/>
  <c r="C11" i="84"/>
  <c r="J5" i="84"/>
  <c r="F5" i="84"/>
  <c r="L5" i="84"/>
  <c r="H5" i="84"/>
  <c r="K5" i="84"/>
  <c r="G5" i="84"/>
  <c r="C5" i="84" l="1"/>
  <c r="C18" i="84" s="1"/>
  <c r="D5" i="84"/>
  <c r="K18" i="84"/>
  <c r="F11" i="84"/>
  <c r="F18" i="84" s="1"/>
  <c r="J11" i="84"/>
  <c r="J18" i="84" s="1"/>
  <c r="G18" i="84"/>
  <c r="E5" i="84"/>
  <c r="E18" i="84" s="1"/>
  <c r="I5" i="84"/>
  <c r="I18" i="84" s="1"/>
  <c r="M5" i="84"/>
  <c r="M18" i="84" s="1"/>
  <c r="D11" i="84"/>
  <c r="D18" i="84" s="1"/>
  <c r="H11" i="84"/>
  <c r="H18" i="84" s="1"/>
  <c r="L11" i="84"/>
  <c r="L18" i="84" s="1"/>
  <c r="B20" i="51" l="1"/>
  <c r="C20" i="51"/>
  <c r="D20" i="51"/>
  <c r="B15" i="51"/>
  <c r="B21" i="51" l="1"/>
  <c r="C21" i="51"/>
  <c r="D21" i="51"/>
  <c r="H84" i="50" l="1"/>
  <c r="I84" i="50"/>
  <c r="D84" i="50"/>
  <c r="AC149" i="27"/>
  <c r="AC147" i="27" s="1"/>
  <c r="AC150" i="27"/>
  <c r="G9" i="8" l="1"/>
  <c r="G14" i="8" l="1"/>
  <c r="H13" i="8"/>
  <c r="H15" i="8"/>
  <c r="G13" i="8"/>
  <c r="F13" i="8"/>
  <c r="E13" i="8"/>
  <c r="E15" i="8"/>
  <c r="E14" i="8"/>
  <c r="E9" i="8" l="1"/>
  <c r="E16" i="8" s="1"/>
  <c r="H9" i="8"/>
  <c r="H16" i="8" s="1"/>
  <c r="H14" i="8"/>
  <c r="H17" i="8" l="1"/>
  <c r="E16" i="39"/>
  <c r="E11" i="39"/>
  <c r="E30" i="33" l="1"/>
  <c r="F30" i="33"/>
  <c r="E23" i="33" l="1"/>
  <c r="F23" i="33"/>
  <c r="E11" i="33"/>
  <c r="F7" i="33"/>
  <c r="E7" i="33"/>
  <c r="E30" i="37"/>
  <c r="F30" i="37"/>
  <c r="E14" i="37"/>
  <c r="F14" i="37"/>
  <c r="E6" i="37"/>
  <c r="F6" i="37"/>
  <c r="E37" i="37" l="1"/>
  <c r="E16" i="33"/>
  <c r="E35" i="33" s="1"/>
  <c r="F16" i="33"/>
  <c r="F6" i="33" s="1"/>
  <c r="F37" i="37"/>
  <c r="E6" i="33" l="1"/>
  <c r="F35" i="33"/>
  <c r="F15" i="83" l="1"/>
  <c r="F17" i="83" s="1"/>
  <c r="D15" i="83"/>
  <c r="D17" i="83" s="1"/>
  <c r="B15" i="83"/>
  <c r="B17" i="83" s="1"/>
  <c r="K15" i="82"/>
  <c r="K18" i="82" s="1"/>
  <c r="J15" i="82"/>
  <c r="J18" i="82" s="1"/>
  <c r="I15" i="82"/>
  <c r="I18" i="82" s="1"/>
  <c r="G15" i="82"/>
  <c r="G18" i="82" s="1"/>
  <c r="F15" i="82"/>
  <c r="F18" i="82" s="1"/>
  <c r="D15" i="82"/>
  <c r="D18" i="82" s="1"/>
  <c r="C15" i="82"/>
  <c r="C18" i="82" s="1"/>
  <c r="B15" i="82"/>
  <c r="B18" i="82" s="1"/>
  <c r="E23" i="32" l="1"/>
  <c r="F23" i="32"/>
  <c r="E11" i="32"/>
  <c r="F11" i="32"/>
  <c r="E7" i="32"/>
  <c r="F7" i="32"/>
  <c r="E15" i="36"/>
  <c r="E40" i="36"/>
  <c r="F40" i="36"/>
  <c r="E36" i="36"/>
  <c r="F36" i="36"/>
  <c r="E30" i="36"/>
  <c r="F30" i="36"/>
  <c r="F7" i="36"/>
  <c r="F15" i="36"/>
  <c r="E7" i="36"/>
  <c r="E6" i="36" l="1"/>
  <c r="E44" i="36" s="1"/>
  <c r="F6" i="36"/>
  <c r="F44" i="36" s="1"/>
  <c r="F16" i="32"/>
  <c r="F35" i="32" s="1"/>
  <c r="E16" i="32"/>
  <c r="E35" i="32" s="1"/>
  <c r="F6" i="32" l="1"/>
  <c r="E6" i="32"/>
  <c r="G50" i="80" l="1"/>
  <c r="H50" i="80"/>
  <c r="C50" i="80"/>
  <c r="D16" i="80"/>
  <c r="G16" i="80"/>
  <c r="H16" i="80"/>
  <c r="C16" i="80"/>
  <c r="H58" i="80"/>
  <c r="G58" i="80"/>
  <c r="D58" i="80"/>
  <c r="C58" i="80"/>
  <c r="H54" i="80"/>
  <c r="G54" i="80"/>
  <c r="D54" i="80"/>
  <c r="C54" i="80"/>
  <c r="H39" i="80"/>
  <c r="G39" i="80"/>
  <c r="C39" i="80"/>
  <c r="H34" i="80"/>
  <c r="G34" i="80"/>
  <c r="D34" i="80"/>
  <c r="C34" i="80"/>
  <c r="G58" i="13"/>
  <c r="G54" i="13"/>
  <c r="G48" i="13"/>
  <c r="G44" i="13"/>
  <c r="G37" i="13"/>
  <c r="G32" i="13"/>
  <c r="G44" i="12" l="1"/>
  <c r="H44" i="12"/>
  <c r="G41" i="12"/>
  <c r="H41" i="12"/>
  <c r="G33" i="12"/>
  <c r="H33" i="12"/>
  <c r="G27" i="12"/>
  <c r="H27" i="12"/>
  <c r="G20" i="12"/>
  <c r="H20" i="12"/>
  <c r="B44" i="12"/>
  <c r="C44" i="12"/>
  <c r="B41" i="12"/>
  <c r="C41" i="12"/>
  <c r="B33" i="12"/>
  <c r="C33" i="12"/>
  <c r="C20" i="12"/>
  <c r="C27" i="12"/>
  <c r="B27" i="12"/>
  <c r="B20" i="12"/>
  <c r="H45" i="12" l="1"/>
  <c r="G45" i="12"/>
  <c r="C45" i="12"/>
  <c r="B45" i="12"/>
  <c r="G12" i="39"/>
  <c r="F7" i="39"/>
  <c r="G7" i="39"/>
  <c r="E15" i="39"/>
  <c r="E10" i="39"/>
  <c r="F17" i="39" l="1"/>
  <c r="G17" i="39"/>
  <c r="E17" i="39"/>
  <c r="E12" i="39"/>
  <c r="F12" i="39"/>
  <c r="D10" i="39"/>
  <c r="D12" i="39" s="1"/>
  <c r="F16" i="38" l="1"/>
  <c r="G16" i="38"/>
  <c r="E16" i="38"/>
  <c r="F11" i="38"/>
  <c r="G11" i="38"/>
  <c r="E11" i="38"/>
  <c r="F7" i="38" l="1"/>
  <c r="G7" i="38"/>
  <c r="J29" i="28" l="1"/>
  <c r="I29" i="28"/>
  <c r="H20" i="28"/>
  <c r="J30" i="7" l="1"/>
  <c r="J31" i="7"/>
  <c r="I31" i="7"/>
  <c r="I30" i="7"/>
  <c r="H24" i="7"/>
  <c r="I19" i="7"/>
  <c r="J19" i="7"/>
  <c r="K32" i="7" s="1"/>
  <c r="H19" i="7"/>
  <c r="I25" i="7"/>
  <c r="J25" i="7"/>
  <c r="J24" i="7"/>
  <c r="G24" i="7"/>
  <c r="I24" i="7"/>
  <c r="I14" i="7"/>
  <c r="J14" i="7"/>
  <c r="I9" i="7"/>
  <c r="J9" i="7"/>
  <c r="K26" i="7" s="1"/>
  <c r="J26" i="7" l="1"/>
  <c r="J32" i="7"/>
  <c r="I32" i="7"/>
  <c r="AA167" i="58" l="1"/>
  <c r="Z167" i="58"/>
  <c r="Y167" i="58"/>
  <c r="X167" i="58"/>
  <c r="W167" i="58"/>
  <c r="V167" i="58"/>
  <c r="U167" i="58"/>
  <c r="T167" i="58"/>
  <c r="S167" i="58"/>
  <c r="R167" i="58"/>
  <c r="Q167" i="58"/>
  <c r="P167" i="58"/>
  <c r="M167" i="58"/>
  <c r="L167" i="58"/>
  <c r="AA166" i="58"/>
  <c r="Z166" i="58"/>
  <c r="Y166" i="58"/>
  <c r="X166" i="58"/>
  <c r="W166" i="58"/>
  <c r="V166" i="58"/>
  <c r="U166" i="58"/>
  <c r="T166" i="58"/>
  <c r="S166" i="58"/>
  <c r="R166" i="58"/>
  <c r="Q166" i="58"/>
  <c r="P166" i="58"/>
  <c r="O166" i="58"/>
  <c r="O167" i="58" s="1"/>
  <c r="N166" i="58"/>
  <c r="N167" i="58" s="1"/>
  <c r="M166" i="58"/>
  <c r="L166" i="58"/>
  <c r="K166" i="58"/>
  <c r="K167" i="58" s="1"/>
  <c r="J166" i="58"/>
  <c r="J167" i="58" s="1"/>
  <c r="AA165" i="58"/>
  <c r="Z165" i="58"/>
  <c r="Y165" i="58"/>
  <c r="X165" i="58"/>
  <c r="W165" i="58"/>
  <c r="V165" i="58"/>
  <c r="U165" i="58"/>
  <c r="T165" i="58"/>
  <c r="S165" i="58"/>
  <c r="R165" i="58"/>
  <c r="Q165" i="58"/>
  <c r="AA164" i="58"/>
  <c r="Z164" i="58"/>
  <c r="Y164" i="58"/>
  <c r="X164" i="58"/>
  <c r="W164" i="58"/>
  <c r="V164" i="58"/>
  <c r="U164" i="58"/>
  <c r="T164" i="58"/>
  <c r="S164" i="58"/>
  <c r="R164" i="58"/>
  <c r="Q164" i="58"/>
  <c r="P164" i="58"/>
  <c r="O164" i="58"/>
  <c r="AA162" i="58"/>
  <c r="Z162" i="58"/>
  <c r="Y162" i="58"/>
  <c r="X162" i="58"/>
  <c r="W162" i="58"/>
  <c r="V162" i="58"/>
  <c r="U162" i="58"/>
  <c r="T162" i="58"/>
  <c r="S162" i="58"/>
  <c r="R162" i="58"/>
  <c r="Q162" i="58"/>
  <c r="AA161" i="58"/>
  <c r="Z161" i="58"/>
  <c r="Y161" i="58"/>
  <c r="X161" i="58"/>
  <c r="W161" i="58"/>
  <c r="V161" i="58"/>
  <c r="U161" i="58"/>
  <c r="T161" i="58"/>
  <c r="S161" i="58"/>
  <c r="R161" i="58"/>
  <c r="Q161" i="58"/>
  <c r="AA160" i="58"/>
  <c r="Z160" i="58"/>
  <c r="Y160" i="58"/>
  <c r="X160" i="58"/>
  <c r="W160" i="58"/>
  <c r="V160" i="58"/>
  <c r="U160" i="58"/>
  <c r="T160" i="58"/>
  <c r="S160" i="58"/>
  <c r="R160" i="58"/>
  <c r="Q160" i="58"/>
  <c r="AA159" i="58"/>
  <c r="Z159" i="58"/>
  <c r="Y159" i="58"/>
  <c r="X159" i="58"/>
  <c r="W159" i="58"/>
  <c r="V159" i="58"/>
  <c r="U159" i="58"/>
  <c r="T159" i="58"/>
  <c r="S159" i="58"/>
  <c r="R159" i="58"/>
  <c r="Q159" i="58"/>
  <c r="AA158" i="58"/>
  <c r="Z158" i="58"/>
  <c r="Y158" i="58"/>
  <c r="X158" i="58"/>
  <c r="W158" i="58"/>
  <c r="V158" i="58"/>
  <c r="U158" i="58"/>
  <c r="T158" i="58"/>
  <c r="S158" i="58"/>
  <c r="R158" i="58"/>
  <c r="Q158" i="58"/>
  <c r="AA155" i="58"/>
  <c r="Z155" i="58"/>
  <c r="Y155" i="58"/>
  <c r="X155" i="58"/>
  <c r="W155" i="58"/>
  <c r="V155" i="58"/>
  <c r="U155" i="58"/>
  <c r="T155" i="58"/>
  <c r="S155" i="58"/>
  <c r="R155" i="58"/>
  <c r="Q155" i="58"/>
  <c r="AA153" i="58"/>
  <c r="Z153" i="58"/>
  <c r="Y153" i="58"/>
  <c r="X153" i="58"/>
  <c r="W153" i="58"/>
  <c r="V153" i="58"/>
  <c r="U153" i="58"/>
  <c r="T153" i="58"/>
  <c r="S153" i="58"/>
  <c r="R153" i="58"/>
  <c r="Q153" i="58"/>
  <c r="AA152" i="58"/>
  <c r="Z152" i="58"/>
  <c r="Y152" i="58"/>
  <c r="X152" i="58"/>
  <c r="W152" i="58"/>
  <c r="V152" i="58"/>
  <c r="U152" i="58"/>
  <c r="T152" i="58"/>
  <c r="S152" i="58"/>
  <c r="R152" i="58"/>
  <c r="Q152" i="58"/>
  <c r="AA151" i="58"/>
  <c r="Z151" i="58"/>
  <c r="Y151" i="58"/>
  <c r="X151" i="58"/>
  <c r="W151" i="58"/>
  <c r="V151" i="58"/>
  <c r="U151" i="58"/>
  <c r="T151" i="58"/>
  <c r="S151" i="58"/>
  <c r="R151" i="58"/>
  <c r="Q151" i="58"/>
  <c r="AA150" i="58"/>
  <c r="Z150" i="58"/>
  <c r="Y150" i="58"/>
  <c r="X150" i="58"/>
  <c r="W150" i="58"/>
  <c r="V150" i="58"/>
  <c r="U150" i="58"/>
  <c r="T150" i="58"/>
  <c r="S150" i="58"/>
  <c r="R150" i="58"/>
  <c r="Q150" i="58"/>
  <c r="AA149" i="58"/>
  <c r="Z149" i="58"/>
  <c r="Y149" i="58"/>
  <c r="X149" i="58"/>
  <c r="W149" i="58"/>
  <c r="V149" i="58"/>
  <c r="U149" i="58"/>
  <c r="T149" i="58"/>
  <c r="S149" i="58"/>
  <c r="R149" i="58"/>
  <c r="Q149" i="58"/>
  <c r="L149" i="58"/>
  <c r="AA148" i="58"/>
  <c r="Z148" i="58"/>
  <c r="Y148" i="58"/>
  <c r="X148" i="58"/>
  <c r="W148" i="58"/>
  <c r="V148" i="58"/>
  <c r="U148" i="58"/>
  <c r="T148" i="58"/>
  <c r="S148" i="58"/>
  <c r="R148" i="58"/>
  <c r="Q148" i="58"/>
  <c r="AA147" i="58"/>
  <c r="Z147" i="58"/>
  <c r="Y147" i="58"/>
  <c r="X147" i="58"/>
  <c r="W147" i="58"/>
  <c r="V147" i="58"/>
  <c r="U147" i="58"/>
  <c r="T147" i="58"/>
  <c r="S147" i="58"/>
  <c r="R147" i="58"/>
  <c r="Q147" i="58"/>
  <c r="AA146" i="58"/>
  <c r="Z146" i="58"/>
  <c r="Y146" i="58"/>
  <c r="X146" i="58"/>
  <c r="W146" i="58"/>
  <c r="V146" i="58"/>
  <c r="U146" i="58"/>
  <c r="T146" i="58"/>
  <c r="S146" i="58"/>
  <c r="R146" i="58"/>
  <c r="Q146" i="58"/>
  <c r="AA144" i="58"/>
  <c r="Z144" i="58"/>
  <c r="Y144" i="58"/>
  <c r="X144" i="58"/>
  <c r="W144" i="58"/>
  <c r="V144" i="58"/>
  <c r="U144" i="58"/>
  <c r="T144" i="58"/>
  <c r="S144" i="58"/>
  <c r="R144" i="58"/>
  <c r="Q144" i="58"/>
  <c r="AA136" i="58"/>
  <c r="Z136" i="58"/>
  <c r="Y136" i="58"/>
  <c r="X136" i="58"/>
  <c r="W136" i="58"/>
  <c r="V136" i="58"/>
  <c r="U136" i="58"/>
  <c r="T136" i="58"/>
  <c r="S136" i="58"/>
  <c r="R136" i="58"/>
  <c r="Q136" i="58"/>
  <c r="AA135" i="58"/>
  <c r="Z135" i="58"/>
  <c r="Y135" i="58"/>
  <c r="X135" i="58"/>
  <c r="W135" i="58"/>
  <c r="V135" i="58"/>
  <c r="U135" i="58"/>
  <c r="T135" i="58"/>
  <c r="S135" i="58"/>
  <c r="R135" i="58"/>
  <c r="Q135" i="58"/>
  <c r="AA133" i="58"/>
  <c r="Z133" i="58"/>
  <c r="Y133" i="58"/>
  <c r="X133" i="58"/>
  <c r="W133" i="58"/>
  <c r="V133" i="58"/>
  <c r="U133" i="58"/>
  <c r="T133" i="58"/>
  <c r="S133" i="58"/>
  <c r="R133" i="58"/>
  <c r="Q133" i="58"/>
  <c r="AA131" i="58"/>
  <c r="Z131" i="58"/>
  <c r="Y131" i="58"/>
  <c r="X131" i="58"/>
  <c r="W131" i="58"/>
  <c r="V131" i="58"/>
  <c r="U131" i="58"/>
  <c r="T131" i="58"/>
  <c r="S131" i="58"/>
  <c r="R131" i="58"/>
  <c r="Q131" i="58"/>
  <c r="AA129" i="58"/>
  <c r="Z129" i="58"/>
  <c r="Y129" i="58"/>
  <c r="X129" i="58"/>
  <c r="W129" i="58"/>
  <c r="V129" i="58"/>
  <c r="U129" i="58"/>
  <c r="T129" i="58"/>
  <c r="S129" i="58"/>
  <c r="R129" i="58"/>
  <c r="Q129" i="58"/>
  <c r="AA127" i="58"/>
  <c r="Z127" i="58"/>
  <c r="Y127" i="58"/>
  <c r="X127" i="58"/>
  <c r="W127" i="58"/>
  <c r="V127" i="58"/>
  <c r="U127" i="58"/>
  <c r="T127" i="58"/>
  <c r="S127" i="58"/>
  <c r="R127" i="58"/>
  <c r="Q127" i="58"/>
  <c r="AA126" i="58"/>
  <c r="Z126" i="58"/>
  <c r="Y126" i="58"/>
  <c r="X126" i="58"/>
  <c r="W126" i="58"/>
  <c r="V126" i="58"/>
  <c r="U126" i="58"/>
  <c r="T126" i="58"/>
  <c r="S126" i="58"/>
  <c r="R126" i="58"/>
  <c r="Q126" i="58"/>
  <c r="AA125" i="58"/>
  <c r="Z125" i="58"/>
  <c r="Y125" i="58"/>
  <c r="X125" i="58"/>
  <c r="W125" i="58"/>
  <c r="V125" i="58"/>
  <c r="U125" i="58"/>
  <c r="T125" i="58"/>
  <c r="S125" i="58"/>
  <c r="R125" i="58"/>
  <c r="Q125" i="58"/>
  <c r="AA123" i="58"/>
  <c r="Z123" i="58"/>
  <c r="Y123" i="58"/>
  <c r="X123" i="58"/>
  <c r="W123" i="58"/>
  <c r="V123" i="58"/>
  <c r="U123" i="58"/>
  <c r="T123" i="58"/>
  <c r="S123" i="58"/>
  <c r="R123" i="58"/>
  <c r="Q123" i="58"/>
  <c r="AA121" i="58"/>
  <c r="Z121" i="58"/>
  <c r="Y121" i="58"/>
  <c r="X121" i="58"/>
  <c r="W121" i="58"/>
  <c r="V121" i="58"/>
  <c r="U121" i="58"/>
  <c r="T121" i="58"/>
  <c r="S121" i="58"/>
  <c r="R121" i="58"/>
  <c r="Q121" i="58"/>
  <c r="AA120" i="58"/>
  <c r="Z120" i="58"/>
  <c r="Y120" i="58"/>
  <c r="X120" i="58"/>
  <c r="W120" i="58"/>
  <c r="V120" i="58"/>
  <c r="U120" i="58"/>
  <c r="T120" i="58"/>
  <c r="S120" i="58"/>
  <c r="R120" i="58"/>
  <c r="Q120" i="58"/>
  <c r="AA119" i="58"/>
  <c r="Z119" i="58"/>
  <c r="Y119" i="58"/>
  <c r="X119" i="58"/>
  <c r="W119" i="58"/>
  <c r="V119" i="58"/>
  <c r="U119" i="58"/>
  <c r="T119" i="58"/>
  <c r="S119" i="58"/>
  <c r="R119" i="58"/>
  <c r="Q119" i="58"/>
  <c r="AA118" i="58"/>
  <c r="Z118" i="58"/>
  <c r="Y118" i="58"/>
  <c r="X118" i="58"/>
  <c r="W118" i="58"/>
  <c r="V118" i="58"/>
  <c r="U118" i="58"/>
  <c r="T118" i="58"/>
  <c r="S118" i="58"/>
  <c r="R118" i="58"/>
  <c r="Q118" i="58"/>
  <c r="AA116" i="58"/>
  <c r="Z116" i="58"/>
  <c r="Y116" i="58"/>
  <c r="X116" i="58"/>
  <c r="W116" i="58"/>
  <c r="V116" i="58"/>
  <c r="U116" i="58"/>
  <c r="T116" i="58"/>
  <c r="S116" i="58"/>
  <c r="R116" i="58"/>
  <c r="Q116" i="58"/>
  <c r="AA114" i="58"/>
  <c r="Z114" i="58"/>
  <c r="Y114" i="58"/>
  <c r="X114" i="58"/>
  <c r="W114" i="58"/>
  <c r="V114" i="58"/>
  <c r="U114" i="58"/>
  <c r="T114" i="58"/>
  <c r="S114" i="58"/>
  <c r="R114" i="58"/>
  <c r="Q114" i="58"/>
  <c r="AA113" i="58"/>
  <c r="Z113" i="58"/>
  <c r="Y113" i="58"/>
  <c r="X113" i="58"/>
  <c r="W113" i="58"/>
  <c r="V113" i="58"/>
  <c r="U113" i="58"/>
  <c r="T113" i="58"/>
  <c r="S113" i="58"/>
  <c r="R113" i="58"/>
  <c r="Q113" i="58"/>
  <c r="AA112" i="58"/>
  <c r="Z112" i="58"/>
  <c r="Y112" i="58"/>
  <c r="X112" i="58"/>
  <c r="W112" i="58"/>
  <c r="V112" i="58"/>
  <c r="U112" i="58"/>
  <c r="T112" i="58"/>
  <c r="S112" i="58"/>
  <c r="R112" i="58"/>
  <c r="Q112" i="58"/>
  <c r="AA111" i="58"/>
  <c r="Z111" i="58"/>
  <c r="Y111" i="58"/>
  <c r="X111" i="58"/>
  <c r="W111" i="58"/>
  <c r="V111" i="58"/>
  <c r="U111" i="58"/>
  <c r="T111" i="58"/>
  <c r="S111" i="58"/>
  <c r="R111" i="58"/>
  <c r="Q111" i="58"/>
  <c r="P111" i="58"/>
  <c r="O111" i="58"/>
  <c r="AA110" i="58"/>
  <c r="Z110" i="58"/>
  <c r="Y110" i="58"/>
  <c r="X110" i="58"/>
  <c r="W110" i="58"/>
  <c r="V110" i="58"/>
  <c r="U110" i="58"/>
  <c r="T110" i="58"/>
  <c r="S110" i="58"/>
  <c r="R110" i="58"/>
  <c r="Q110" i="58"/>
  <c r="AA109" i="58"/>
  <c r="Z109" i="58"/>
  <c r="Y109" i="58"/>
  <c r="X109" i="58"/>
  <c r="W109" i="58"/>
  <c r="V109" i="58"/>
  <c r="U109" i="58"/>
  <c r="T109" i="58"/>
  <c r="S109" i="58"/>
  <c r="R109" i="58"/>
  <c r="Q109" i="58"/>
  <c r="AA108" i="58"/>
  <c r="Z108" i="58"/>
  <c r="Y108" i="58"/>
  <c r="X108" i="58"/>
  <c r="W108" i="58"/>
  <c r="V108" i="58"/>
  <c r="U108" i="58"/>
  <c r="T108" i="58"/>
  <c r="S108" i="58"/>
  <c r="R108" i="58"/>
  <c r="Q108" i="58"/>
  <c r="AA107" i="58"/>
  <c r="Z107" i="58"/>
  <c r="Y107" i="58"/>
  <c r="X107" i="58"/>
  <c r="W107" i="58"/>
  <c r="V107" i="58"/>
  <c r="U107" i="58"/>
  <c r="T107" i="58"/>
  <c r="S107" i="58"/>
  <c r="R107" i="58"/>
  <c r="Q107" i="58"/>
  <c r="AA105" i="58"/>
  <c r="Z105" i="58"/>
  <c r="Y105" i="58"/>
  <c r="X105" i="58"/>
  <c r="W105" i="58"/>
  <c r="V105" i="58"/>
  <c r="U105" i="58"/>
  <c r="T105" i="58"/>
  <c r="S105" i="58"/>
  <c r="R105" i="58"/>
  <c r="Q105" i="58"/>
  <c r="AA103" i="58"/>
  <c r="Z103" i="58"/>
  <c r="Y103" i="58"/>
  <c r="X103" i="58"/>
  <c r="W103" i="58"/>
  <c r="V103" i="58"/>
  <c r="U103" i="58"/>
  <c r="T103" i="58"/>
  <c r="S103" i="58"/>
  <c r="R103" i="58"/>
  <c r="Q103" i="58"/>
  <c r="AA102" i="58"/>
  <c r="Z102" i="58"/>
  <c r="Y102" i="58"/>
  <c r="X102" i="58"/>
  <c r="W102" i="58"/>
  <c r="V102" i="58"/>
  <c r="U102" i="58"/>
  <c r="T102" i="58"/>
  <c r="S102" i="58"/>
  <c r="R102" i="58"/>
  <c r="Q102" i="58"/>
  <c r="AA101" i="58"/>
  <c r="Z101" i="58"/>
  <c r="Y101" i="58"/>
  <c r="X101" i="58"/>
  <c r="W101" i="58"/>
  <c r="V101" i="58"/>
  <c r="U101" i="58"/>
  <c r="T101" i="58"/>
  <c r="S101" i="58"/>
  <c r="R101" i="58"/>
  <c r="Q101" i="58"/>
  <c r="AA99" i="58"/>
  <c r="Z99" i="58"/>
  <c r="Y99" i="58"/>
  <c r="X99" i="58"/>
  <c r="W99" i="58"/>
  <c r="V99" i="58"/>
  <c r="U99" i="58"/>
  <c r="T99" i="58"/>
  <c r="S99" i="58"/>
  <c r="R99" i="58"/>
  <c r="Q99" i="58"/>
  <c r="AA98" i="58"/>
  <c r="Z98" i="58"/>
  <c r="Y98" i="58"/>
  <c r="X98" i="58"/>
  <c r="W98" i="58"/>
  <c r="V98" i="58"/>
  <c r="U98" i="58"/>
  <c r="T98" i="58"/>
  <c r="S98" i="58"/>
  <c r="R98" i="58"/>
  <c r="Q98" i="58"/>
  <c r="AA97" i="58"/>
  <c r="Z97" i="58"/>
  <c r="Y97" i="58"/>
  <c r="X97" i="58"/>
  <c r="W97" i="58"/>
  <c r="V97" i="58"/>
  <c r="U97" i="58"/>
  <c r="T97" i="58"/>
  <c r="S97" i="58"/>
  <c r="R97" i="58"/>
  <c r="Q97" i="58"/>
  <c r="AA96" i="58"/>
  <c r="Z96" i="58"/>
  <c r="Y96" i="58"/>
  <c r="X96" i="58"/>
  <c r="W96" i="58"/>
  <c r="V96" i="58"/>
  <c r="U96" i="58"/>
  <c r="T96" i="58"/>
  <c r="S96" i="58"/>
  <c r="R96" i="58"/>
  <c r="Q96" i="58"/>
  <c r="AA95" i="58"/>
  <c r="Z95" i="58"/>
  <c r="Y95" i="58"/>
  <c r="X95" i="58"/>
  <c r="W95" i="58"/>
  <c r="V95" i="58"/>
  <c r="U95" i="58"/>
  <c r="T95" i="58"/>
  <c r="S95" i="58"/>
  <c r="R95" i="58"/>
  <c r="Q95" i="58"/>
  <c r="AA93" i="58"/>
  <c r="Z93" i="58"/>
  <c r="Y93" i="58"/>
  <c r="X93" i="58"/>
  <c r="W93" i="58"/>
  <c r="V93" i="58"/>
  <c r="U93" i="58"/>
  <c r="T93" i="58"/>
  <c r="S93" i="58"/>
  <c r="R93" i="58"/>
  <c r="Q93" i="58"/>
  <c r="AA85" i="58"/>
  <c r="Z85" i="58"/>
  <c r="Y85" i="58"/>
  <c r="X85" i="58"/>
  <c r="W85" i="58"/>
  <c r="V85" i="58"/>
  <c r="U85" i="58"/>
  <c r="T85" i="58"/>
  <c r="S85" i="58"/>
  <c r="R85" i="58"/>
  <c r="Q85" i="58"/>
  <c r="AA84" i="58"/>
  <c r="Z84" i="58"/>
  <c r="Y84" i="58"/>
  <c r="X84" i="58"/>
  <c r="W84" i="58"/>
  <c r="V84" i="58"/>
  <c r="U84" i="58"/>
  <c r="T84" i="58"/>
  <c r="S84" i="58"/>
  <c r="R84" i="58"/>
  <c r="Q84" i="58"/>
  <c r="AA83" i="58"/>
  <c r="Z83" i="58"/>
  <c r="Y83" i="58"/>
  <c r="X83" i="58"/>
  <c r="W83" i="58"/>
  <c r="V83" i="58"/>
  <c r="U83" i="58"/>
  <c r="T83" i="58"/>
  <c r="S83" i="58"/>
  <c r="R83" i="58"/>
  <c r="Q83" i="58"/>
  <c r="P83" i="58"/>
  <c r="O83" i="58"/>
  <c r="N83" i="58"/>
  <c r="AA82" i="58"/>
  <c r="Z82" i="58"/>
  <c r="Y82" i="58"/>
  <c r="X82" i="58"/>
  <c r="W82" i="58"/>
  <c r="V82" i="58"/>
  <c r="U82" i="58"/>
  <c r="T82" i="58"/>
  <c r="S82" i="58"/>
  <c r="R82" i="58"/>
  <c r="Q82" i="58"/>
  <c r="AA81" i="58"/>
  <c r="Z81" i="58"/>
  <c r="Y81" i="58"/>
  <c r="X81" i="58"/>
  <c r="W81" i="58"/>
  <c r="V81" i="58"/>
  <c r="U81" i="58"/>
  <c r="T81" i="58"/>
  <c r="S81" i="58"/>
  <c r="R81" i="58"/>
  <c r="Q81" i="58"/>
  <c r="AA80" i="58"/>
  <c r="Z80" i="58"/>
  <c r="Y80" i="58"/>
  <c r="X80" i="58"/>
  <c r="W80" i="58"/>
  <c r="V80" i="58"/>
  <c r="U80" i="58"/>
  <c r="T80" i="58"/>
  <c r="S80" i="58"/>
  <c r="R80" i="58"/>
  <c r="Q80" i="58"/>
  <c r="AA79" i="58"/>
  <c r="Z79" i="58"/>
  <c r="Y79" i="58"/>
  <c r="X79" i="58"/>
  <c r="W79" i="58"/>
  <c r="V79" i="58"/>
  <c r="U79" i="58"/>
  <c r="T79" i="58"/>
  <c r="S79" i="58"/>
  <c r="R79" i="58"/>
  <c r="Q79" i="58"/>
  <c r="AA78" i="58"/>
  <c r="Z78" i="58"/>
  <c r="Y78" i="58"/>
  <c r="X78" i="58"/>
  <c r="W78" i="58"/>
  <c r="V78" i="58"/>
  <c r="U78" i="58"/>
  <c r="T78" i="58"/>
  <c r="S78" i="58"/>
  <c r="R78" i="58"/>
  <c r="Q78" i="58"/>
  <c r="AA76" i="58"/>
  <c r="Z76" i="58"/>
  <c r="Y76" i="58"/>
  <c r="X76" i="58"/>
  <c r="W76" i="58"/>
  <c r="V76" i="58"/>
  <c r="U76" i="58"/>
  <c r="T76" i="58"/>
  <c r="S76" i="58"/>
  <c r="R76" i="58"/>
  <c r="Q76" i="58"/>
  <c r="AA74" i="58"/>
  <c r="Z74" i="58"/>
  <c r="Y74" i="58"/>
  <c r="X74" i="58"/>
  <c r="W74" i="58"/>
  <c r="V74" i="58"/>
  <c r="U74" i="58"/>
  <c r="T74" i="58"/>
  <c r="S74" i="58"/>
  <c r="R74" i="58"/>
  <c r="Q74" i="58"/>
  <c r="AA73" i="58"/>
  <c r="Z73" i="58"/>
  <c r="Y73" i="58"/>
  <c r="X73" i="58"/>
  <c r="W73" i="58"/>
  <c r="V73" i="58"/>
  <c r="U73" i="58"/>
  <c r="T73" i="58"/>
  <c r="S73" i="58"/>
  <c r="R73" i="58"/>
  <c r="Q73" i="58"/>
  <c r="AA72" i="58"/>
  <c r="Z72" i="58"/>
  <c r="Y72" i="58"/>
  <c r="X72" i="58"/>
  <c r="W72" i="58"/>
  <c r="V72" i="58"/>
  <c r="U72" i="58"/>
  <c r="T72" i="58"/>
  <c r="S72" i="58"/>
  <c r="R72" i="58"/>
  <c r="Q72" i="58"/>
  <c r="AA70" i="58"/>
  <c r="Z70" i="58"/>
  <c r="Y70" i="58"/>
  <c r="X70" i="58"/>
  <c r="W70" i="58"/>
  <c r="V70" i="58"/>
  <c r="U70" i="58"/>
  <c r="T70" i="58"/>
  <c r="S70" i="58"/>
  <c r="R70" i="58"/>
  <c r="Q70" i="58"/>
  <c r="AA68" i="58"/>
  <c r="Z68" i="58"/>
  <c r="Y68" i="58"/>
  <c r="X68" i="58"/>
  <c r="W68" i="58"/>
  <c r="V68" i="58"/>
  <c r="U68" i="58"/>
  <c r="T68" i="58"/>
  <c r="S68" i="58"/>
  <c r="R68" i="58"/>
  <c r="Q68" i="58"/>
  <c r="O68" i="58"/>
  <c r="M68" i="58"/>
  <c r="L68" i="58"/>
  <c r="K68" i="58"/>
  <c r="J68" i="58"/>
  <c r="I68" i="58"/>
  <c r="H68" i="58"/>
  <c r="G68" i="58"/>
  <c r="AA67" i="58"/>
  <c r="Z67" i="58"/>
  <c r="Y67" i="58"/>
  <c r="X67" i="58"/>
  <c r="W67" i="58"/>
  <c r="V67" i="58"/>
  <c r="U67" i="58"/>
  <c r="T67" i="58"/>
  <c r="S67" i="58"/>
  <c r="R67" i="58"/>
  <c r="Q67" i="58"/>
  <c r="AA65" i="58"/>
  <c r="Z65" i="58"/>
  <c r="Y65" i="58"/>
  <c r="X65" i="58"/>
  <c r="W65" i="58"/>
  <c r="V65" i="58"/>
  <c r="U65" i="58"/>
  <c r="T65" i="58"/>
  <c r="S65" i="58"/>
  <c r="R65" i="58"/>
  <c r="Q65" i="58"/>
  <c r="AA63" i="58"/>
  <c r="Z63" i="58"/>
  <c r="Y63" i="58"/>
  <c r="X63" i="58"/>
  <c r="W63" i="58"/>
  <c r="V63" i="58"/>
  <c r="U63" i="58"/>
  <c r="T63" i="58"/>
  <c r="S63" i="58"/>
  <c r="R63" i="58"/>
  <c r="Q63" i="58"/>
  <c r="AA62" i="58"/>
  <c r="Z62" i="58"/>
  <c r="Y62" i="58"/>
  <c r="X62" i="58"/>
  <c r="W62" i="58"/>
  <c r="V62" i="58"/>
  <c r="U62" i="58"/>
  <c r="T62" i="58"/>
  <c r="S62" i="58"/>
  <c r="R62" i="58"/>
  <c r="Q62" i="58"/>
  <c r="O62" i="58"/>
  <c r="M62" i="58"/>
  <c r="AA61" i="58"/>
  <c r="Z61" i="58"/>
  <c r="Y61" i="58"/>
  <c r="X61" i="58"/>
  <c r="W61" i="58"/>
  <c r="V61" i="58"/>
  <c r="U61" i="58"/>
  <c r="T61" i="58"/>
  <c r="S61" i="58"/>
  <c r="R61" i="58"/>
  <c r="Q61" i="58"/>
  <c r="AA60" i="58"/>
  <c r="Z60" i="58"/>
  <c r="Y60" i="58"/>
  <c r="X60" i="58"/>
  <c r="W60" i="58"/>
  <c r="V60" i="58"/>
  <c r="U60" i="58"/>
  <c r="T60" i="58"/>
  <c r="S60" i="58"/>
  <c r="R60" i="58"/>
  <c r="Q60" i="58"/>
  <c r="AA59" i="58"/>
  <c r="Z59" i="58"/>
  <c r="Y59" i="58"/>
  <c r="X59" i="58"/>
  <c r="W59" i="58"/>
  <c r="V59" i="58"/>
  <c r="U59" i="58"/>
  <c r="T59" i="58"/>
  <c r="S59" i="58"/>
  <c r="R59" i="58"/>
  <c r="Q59" i="58"/>
  <c r="AA58" i="58"/>
  <c r="Z58" i="58"/>
  <c r="Y58" i="58"/>
  <c r="X58" i="58"/>
  <c r="W58" i="58"/>
  <c r="V58" i="58"/>
  <c r="U58" i="58"/>
  <c r="T58" i="58"/>
  <c r="S58" i="58"/>
  <c r="R58" i="58"/>
  <c r="Q58" i="58"/>
  <c r="AA56" i="58"/>
  <c r="Z56" i="58"/>
  <c r="Y56" i="58"/>
  <c r="X56" i="58"/>
  <c r="W56" i="58"/>
  <c r="V56" i="58"/>
  <c r="U56" i="58"/>
  <c r="T56" i="58"/>
  <c r="S56" i="58"/>
  <c r="R56" i="58"/>
  <c r="Q56" i="58"/>
  <c r="AA54" i="58"/>
  <c r="Z54" i="58"/>
  <c r="Y54" i="58"/>
  <c r="X54" i="58"/>
  <c r="W54" i="58"/>
  <c r="V54" i="58"/>
  <c r="U54" i="58"/>
  <c r="T54" i="58"/>
  <c r="S54" i="58"/>
  <c r="R54" i="58"/>
  <c r="Q54" i="58"/>
  <c r="AA53" i="58"/>
  <c r="Z53" i="58"/>
  <c r="Y53" i="58"/>
  <c r="X53" i="58"/>
  <c r="W53" i="58"/>
  <c r="V53" i="58"/>
  <c r="U53" i="58"/>
  <c r="T53" i="58"/>
  <c r="S53" i="58"/>
  <c r="R53" i="58"/>
  <c r="Q53" i="58"/>
  <c r="AA52" i="58"/>
  <c r="Z52" i="58"/>
  <c r="Y52" i="58"/>
  <c r="X52" i="58"/>
  <c r="W52" i="58"/>
  <c r="V52" i="58"/>
  <c r="U52" i="58"/>
  <c r="T52" i="58"/>
  <c r="S52" i="58"/>
  <c r="R52" i="58"/>
  <c r="Q52" i="58"/>
  <c r="P52" i="58"/>
  <c r="O52" i="58"/>
  <c r="AA51" i="58"/>
  <c r="Z51" i="58"/>
  <c r="Y51" i="58"/>
  <c r="X51" i="58"/>
  <c r="W51" i="58"/>
  <c r="V51" i="58"/>
  <c r="U51" i="58"/>
  <c r="T51" i="58"/>
  <c r="S51" i="58"/>
  <c r="R51" i="58"/>
  <c r="Q51" i="58"/>
  <c r="AA49" i="58"/>
  <c r="Z49" i="58"/>
  <c r="Y49" i="58"/>
  <c r="X49" i="58"/>
  <c r="W49" i="58"/>
  <c r="V49" i="58"/>
  <c r="U49" i="58"/>
  <c r="T49" i="58"/>
  <c r="S49" i="58"/>
  <c r="R49" i="58"/>
  <c r="Q49" i="58"/>
  <c r="AA41" i="58"/>
  <c r="Z41" i="58"/>
  <c r="Y41" i="58"/>
  <c r="X41" i="58"/>
  <c r="W41" i="58"/>
  <c r="V41" i="58"/>
  <c r="U41" i="58"/>
  <c r="T41" i="58"/>
  <c r="S41" i="58"/>
  <c r="R41" i="58"/>
  <c r="Q41" i="58"/>
  <c r="AA40" i="58"/>
  <c r="Z40" i="58"/>
  <c r="Y40" i="58"/>
  <c r="X40" i="58"/>
  <c r="W40" i="58"/>
  <c r="V40" i="58"/>
  <c r="U40" i="58"/>
  <c r="T40" i="58"/>
  <c r="S40" i="58"/>
  <c r="R40" i="58"/>
  <c r="Q40" i="58"/>
  <c r="AA39" i="58"/>
  <c r="Z39" i="58"/>
  <c r="Y39" i="58"/>
  <c r="X39" i="58"/>
  <c r="W39" i="58"/>
  <c r="V39" i="58"/>
  <c r="U39" i="58"/>
  <c r="T39" i="58"/>
  <c r="S39" i="58"/>
  <c r="R39" i="58"/>
  <c r="Q39" i="58"/>
  <c r="P39" i="58"/>
  <c r="N39" i="58"/>
  <c r="M39" i="58"/>
  <c r="L39" i="58"/>
  <c r="K39" i="58"/>
  <c r="J39" i="58"/>
  <c r="AA38" i="58"/>
  <c r="Z38" i="58"/>
  <c r="Y38" i="58"/>
  <c r="X38" i="58"/>
  <c r="W38" i="58"/>
  <c r="V38" i="58"/>
  <c r="U38" i="58"/>
  <c r="T38" i="58"/>
  <c r="S38" i="58"/>
  <c r="R38" i="58"/>
  <c r="Q38" i="58"/>
  <c r="AA37" i="58"/>
  <c r="Z37" i="58"/>
  <c r="Y37" i="58"/>
  <c r="X37" i="58"/>
  <c r="W37" i="58"/>
  <c r="V37" i="58"/>
  <c r="U37" i="58"/>
  <c r="T37" i="58"/>
  <c r="S37" i="58"/>
  <c r="R37" i="58"/>
  <c r="Q37" i="58"/>
  <c r="AA36" i="58"/>
  <c r="Z36" i="58"/>
  <c r="Y36" i="58"/>
  <c r="X36" i="58"/>
  <c r="W36" i="58"/>
  <c r="V36" i="58"/>
  <c r="U36" i="58"/>
  <c r="T36" i="58"/>
  <c r="S36" i="58"/>
  <c r="R36" i="58"/>
  <c r="Q36" i="58"/>
  <c r="AA35" i="58"/>
  <c r="Z35" i="58"/>
  <c r="Y35" i="58"/>
  <c r="X35" i="58"/>
  <c r="W35" i="58"/>
  <c r="V35" i="58"/>
  <c r="U35" i="58"/>
  <c r="T35" i="58"/>
  <c r="S35" i="58"/>
  <c r="R35" i="58"/>
  <c r="Q35" i="58"/>
  <c r="I35" i="58"/>
  <c r="AA33" i="58"/>
  <c r="Z33" i="58"/>
  <c r="Y33" i="58"/>
  <c r="X33" i="58"/>
  <c r="W33" i="58"/>
  <c r="V33" i="58"/>
  <c r="U33" i="58"/>
  <c r="T33" i="58"/>
  <c r="S33" i="58"/>
  <c r="R33" i="58"/>
  <c r="Q33" i="58"/>
  <c r="AA31" i="58"/>
  <c r="Z31" i="58"/>
  <c r="Y31" i="58"/>
  <c r="X31" i="58"/>
  <c r="W31" i="58"/>
  <c r="V31" i="58"/>
  <c r="U31" i="58"/>
  <c r="T31" i="58"/>
  <c r="S31" i="58"/>
  <c r="R31" i="58"/>
  <c r="Q31" i="58"/>
  <c r="AA30" i="58"/>
  <c r="AA29" i="58"/>
  <c r="AA28" i="58"/>
  <c r="AA27" i="58"/>
  <c r="AA26" i="58"/>
  <c r="Z26" i="58"/>
  <c r="Y26" i="58"/>
  <c r="X26" i="58"/>
  <c r="W26" i="58"/>
  <c r="V26" i="58"/>
  <c r="U26" i="58"/>
  <c r="T26" i="58"/>
  <c r="S26" i="58"/>
  <c r="R26" i="58"/>
  <c r="Q26" i="58"/>
  <c r="AA25" i="58"/>
  <c r="Z25" i="58"/>
  <c r="Y25" i="58"/>
  <c r="X25" i="58"/>
  <c r="W25" i="58"/>
  <c r="V25" i="58"/>
  <c r="U25" i="58"/>
  <c r="T25" i="58"/>
  <c r="S25" i="58"/>
  <c r="R25" i="58"/>
  <c r="Q25" i="58"/>
  <c r="AA24" i="58"/>
  <c r="Z24" i="58"/>
  <c r="Y24" i="58"/>
  <c r="X24" i="58"/>
  <c r="W24" i="58"/>
  <c r="V24" i="58"/>
  <c r="U24" i="58"/>
  <c r="T24" i="58"/>
  <c r="S24" i="58"/>
  <c r="R24" i="58"/>
  <c r="Q24" i="58"/>
  <c r="AA23" i="58"/>
  <c r="Z23" i="58"/>
  <c r="Y23" i="58"/>
  <c r="X23" i="58"/>
  <c r="W23" i="58"/>
  <c r="V23" i="58"/>
  <c r="U23" i="58"/>
  <c r="T23" i="58"/>
  <c r="S23" i="58"/>
  <c r="R23" i="58"/>
  <c r="Q23" i="58"/>
  <c r="AA21" i="58"/>
  <c r="Z21" i="58"/>
  <c r="Y21" i="58"/>
  <c r="X21" i="58"/>
  <c r="W21" i="58"/>
  <c r="V21" i="58"/>
  <c r="U21" i="58"/>
  <c r="T21" i="58"/>
  <c r="S21" i="58"/>
  <c r="R21" i="58"/>
  <c r="Q21" i="58"/>
  <c r="AA19" i="58"/>
  <c r="Z19" i="58"/>
  <c r="Y19" i="58"/>
  <c r="X19" i="58"/>
  <c r="W19" i="58"/>
  <c r="V19" i="58"/>
  <c r="U19" i="58"/>
  <c r="T19" i="58"/>
  <c r="S19" i="58"/>
  <c r="R19" i="58"/>
  <c r="Q19" i="58"/>
  <c r="AA18" i="58"/>
  <c r="Z18" i="58"/>
  <c r="Y18" i="58"/>
  <c r="X18" i="58"/>
  <c r="W18" i="58"/>
  <c r="V18" i="58"/>
  <c r="U18" i="58"/>
  <c r="T18" i="58"/>
  <c r="S18" i="58"/>
  <c r="R18" i="58"/>
  <c r="Q18" i="58"/>
  <c r="AA17" i="58"/>
  <c r="Z17" i="58"/>
  <c r="Y17" i="58"/>
  <c r="X17" i="58"/>
  <c r="W17" i="58"/>
  <c r="V17" i="58"/>
  <c r="U17" i="58"/>
  <c r="T17" i="58"/>
  <c r="S17" i="58"/>
  <c r="R17" i="58"/>
  <c r="Q17" i="58"/>
  <c r="AA16" i="58"/>
  <c r="Z16" i="58"/>
  <c r="Y16" i="58"/>
  <c r="X16" i="58"/>
  <c r="W16" i="58"/>
  <c r="V16" i="58"/>
  <c r="U16" i="58"/>
  <c r="T16" i="58"/>
  <c r="S16" i="58"/>
  <c r="R16" i="58"/>
  <c r="Q16" i="58"/>
  <c r="AA15" i="58"/>
  <c r="Z15" i="58"/>
  <c r="Y15" i="58"/>
  <c r="X15" i="58"/>
  <c r="W15" i="58"/>
  <c r="V15" i="58"/>
  <c r="U15" i="58"/>
  <c r="T15" i="58"/>
  <c r="S15" i="58"/>
  <c r="R15" i="58"/>
  <c r="Q15" i="58"/>
  <c r="AA14" i="58"/>
  <c r="Z14" i="58"/>
  <c r="Y14" i="58"/>
  <c r="X14" i="58"/>
  <c r="W14" i="58"/>
  <c r="V14" i="58"/>
  <c r="U14" i="58"/>
  <c r="T14" i="58"/>
  <c r="S14" i="58"/>
  <c r="R14" i="58"/>
  <c r="Q14" i="58"/>
  <c r="AA13" i="58"/>
  <c r="Z13" i="58"/>
  <c r="Y13" i="58"/>
  <c r="X13" i="58"/>
  <c r="W13" i="58"/>
  <c r="V13" i="58"/>
  <c r="U13" i="58"/>
  <c r="T13" i="58"/>
  <c r="S13" i="58"/>
  <c r="R13" i="58"/>
  <c r="Q13" i="58"/>
  <c r="AA12" i="58"/>
  <c r="Z12" i="58"/>
  <c r="Y12" i="58"/>
  <c r="X12" i="58"/>
  <c r="W12" i="58"/>
  <c r="V12" i="58"/>
  <c r="U12" i="58"/>
  <c r="T12" i="58"/>
  <c r="S12" i="58"/>
  <c r="R12" i="58"/>
  <c r="Q12" i="58"/>
  <c r="AA10" i="58"/>
  <c r="Z10" i="58"/>
  <c r="Y10" i="58"/>
  <c r="X10" i="58"/>
  <c r="W10" i="58"/>
  <c r="V10" i="58"/>
  <c r="U10" i="58"/>
  <c r="T10" i="58"/>
  <c r="S10" i="58"/>
  <c r="R10" i="58"/>
  <c r="Q10" i="58"/>
  <c r="AA167" i="57"/>
  <c r="Z167" i="57"/>
  <c r="Y167" i="57"/>
  <c r="X167" i="57"/>
  <c r="W167" i="57"/>
  <c r="V167" i="57"/>
  <c r="U167" i="57"/>
  <c r="T167" i="57"/>
  <c r="S167" i="57"/>
  <c r="R167" i="57"/>
  <c r="Q167" i="57"/>
  <c r="P167" i="57"/>
  <c r="M167" i="57"/>
  <c r="L167" i="57"/>
  <c r="AA166" i="57"/>
  <c r="Z166" i="57"/>
  <c r="Y166" i="57"/>
  <c r="X166" i="57"/>
  <c r="W166" i="57"/>
  <c r="V166" i="57"/>
  <c r="U166" i="57"/>
  <c r="T166" i="57"/>
  <c r="S166" i="57"/>
  <c r="R166" i="57"/>
  <c r="Q166" i="57"/>
  <c r="P166" i="57"/>
  <c r="O166" i="57"/>
  <c r="O167" i="57" s="1"/>
  <c r="N166" i="57"/>
  <c r="N167" i="57" s="1"/>
  <c r="M166" i="57"/>
  <c r="L166" i="57"/>
  <c r="K166" i="57"/>
  <c r="K167" i="57" s="1"/>
  <c r="J166" i="57"/>
  <c r="J167" i="57" s="1"/>
  <c r="AA165" i="57"/>
  <c r="Z165" i="57"/>
  <c r="Y165" i="57"/>
  <c r="X165" i="57"/>
  <c r="W165" i="57"/>
  <c r="V165" i="57"/>
  <c r="U165" i="57"/>
  <c r="T165" i="57"/>
  <c r="S165" i="57"/>
  <c r="R165" i="57"/>
  <c r="Q165" i="57"/>
  <c r="AA164" i="57"/>
  <c r="Z164" i="57"/>
  <c r="Y164" i="57"/>
  <c r="X164" i="57"/>
  <c r="W164" i="57"/>
  <c r="V164" i="57"/>
  <c r="U164" i="57"/>
  <c r="T164" i="57"/>
  <c r="S164" i="57"/>
  <c r="R164" i="57"/>
  <c r="Q164" i="57"/>
  <c r="P164" i="57"/>
  <c r="O164" i="57"/>
  <c r="AA162" i="57"/>
  <c r="Z162" i="57"/>
  <c r="Y162" i="57"/>
  <c r="X162" i="57"/>
  <c r="W162" i="57"/>
  <c r="V162" i="57"/>
  <c r="U162" i="57"/>
  <c r="T162" i="57"/>
  <c r="S162" i="57"/>
  <c r="R162" i="57"/>
  <c r="Q162" i="57"/>
  <c r="AA161" i="57"/>
  <c r="Z161" i="57"/>
  <c r="Y161" i="57"/>
  <c r="X161" i="57"/>
  <c r="W161" i="57"/>
  <c r="V161" i="57"/>
  <c r="U161" i="57"/>
  <c r="T161" i="57"/>
  <c r="S161" i="57"/>
  <c r="R161" i="57"/>
  <c r="Q161" i="57"/>
  <c r="AA160" i="57"/>
  <c r="Z160" i="57"/>
  <c r="Y160" i="57"/>
  <c r="X160" i="57"/>
  <c r="W160" i="57"/>
  <c r="V160" i="57"/>
  <c r="U160" i="57"/>
  <c r="T160" i="57"/>
  <c r="S160" i="57"/>
  <c r="R160" i="57"/>
  <c r="Q160" i="57"/>
  <c r="AA159" i="57"/>
  <c r="Z159" i="57"/>
  <c r="Y159" i="57"/>
  <c r="X159" i="57"/>
  <c r="W159" i="57"/>
  <c r="V159" i="57"/>
  <c r="U159" i="57"/>
  <c r="T159" i="57"/>
  <c r="S159" i="57"/>
  <c r="R159" i="57"/>
  <c r="Q159" i="57"/>
  <c r="AA158" i="57"/>
  <c r="Z158" i="57"/>
  <c r="Y158" i="57"/>
  <c r="X158" i="57"/>
  <c r="W158" i="57"/>
  <c r="V158" i="57"/>
  <c r="U158" i="57"/>
  <c r="T158" i="57"/>
  <c r="S158" i="57"/>
  <c r="R158" i="57"/>
  <c r="Q158" i="57"/>
  <c r="AA155" i="57"/>
  <c r="Z155" i="57"/>
  <c r="Y155" i="57"/>
  <c r="X155" i="57"/>
  <c r="W155" i="57"/>
  <c r="V155" i="57"/>
  <c r="U155" i="57"/>
  <c r="T155" i="57"/>
  <c r="S155" i="57"/>
  <c r="R155" i="57"/>
  <c r="Q155" i="57"/>
  <c r="AA153" i="57"/>
  <c r="Z153" i="57"/>
  <c r="Y153" i="57"/>
  <c r="X153" i="57"/>
  <c r="W153" i="57"/>
  <c r="V153" i="57"/>
  <c r="U153" i="57"/>
  <c r="T153" i="57"/>
  <c r="S153" i="57"/>
  <c r="R153" i="57"/>
  <c r="Q153" i="57"/>
  <c r="AA152" i="57"/>
  <c r="Z152" i="57"/>
  <c r="Y152" i="57"/>
  <c r="X152" i="57"/>
  <c r="W152" i="57"/>
  <c r="V152" i="57"/>
  <c r="U152" i="57"/>
  <c r="T152" i="57"/>
  <c r="S152" i="57"/>
  <c r="R152" i="57"/>
  <c r="Q152" i="57"/>
  <c r="AA151" i="57"/>
  <c r="Z151" i="57"/>
  <c r="Y151" i="57"/>
  <c r="X151" i="57"/>
  <c r="W151" i="57"/>
  <c r="V151" i="57"/>
  <c r="U151" i="57"/>
  <c r="T151" i="57"/>
  <c r="S151" i="57"/>
  <c r="R151" i="57"/>
  <c r="Q151" i="57"/>
  <c r="AA150" i="57"/>
  <c r="Z150" i="57"/>
  <c r="Y150" i="57"/>
  <c r="X150" i="57"/>
  <c r="W150" i="57"/>
  <c r="V150" i="57"/>
  <c r="U150" i="57"/>
  <c r="T150" i="57"/>
  <c r="S150" i="57"/>
  <c r="R150" i="57"/>
  <c r="Q150" i="57"/>
  <c r="AA149" i="57"/>
  <c r="Z149" i="57"/>
  <c r="Y149" i="57"/>
  <c r="X149" i="57"/>
  <c r="W149" i="57"/>
  <c r="V149" i="57"/>
  <c r="U149" i="57"/>
  <c r="T149" i="57"/>
  <c r="S149" i="57"/>
  <c r="R149" i="57"/>
  <c r="Q149" i="57"/>
  <c r="L149" i="57"/>
  <c r="AA148" i="57"/>
  <c r="Z148" i="57"/>
  <c r="Y148" i="57"/>
  <c r="X148" i="57"/>
  <c r="W148" i="57"/>
  <c r="V148" i="57"/>
  <c r="U148" i="57"/>
  <c r="T148" i="57"/>
  <c r="S148" i="57"/>
  <c r="R148" i="57"/>
  <c r="Q148" i="57"/>
  <c r="AA147" i="57"/>
  <c r="Z147" i="57"/>
  <c r="Y147" i="57"/>
  <c r="X147" i="57"/>
  <c r="W147" i="57"/>
  <c r="V147" i="57"/>
  <c r="U147" i="57"/>
  <c r="T147" i="57"/>
  <c r="S147" i="57"/>
  <c r="R147" i="57"/>
  <c r="Q147" i="57"/>
  <c r="AA146" i="57"/>
  <c r="Z146" i="57"/>
  <c r="Y146" i="57"/>
  <c r="X146" i="57"/>
  <c r="W146" i="57"/>
  <c r="V146" i="57"/>
  <c r="U146" i="57"/>
  <c r="T146" i="57"/>
  <c r="S146" i="57"/>
  <c r="R146" i="57"/>
  <c r="Q146" i="57"/>
  <c r="AA144" i="57"/>
  <c r="Z144" i="57"/>
  <c r="Y144" i="57"/>
  <c r="X144" i="57"/>
  <c r="W144" i="57"/>
  <c r="V144" i="57"/>
  <c r="U144" i="57"/>
  <c r="T144" i="57"/>
  <c r="S144" i="57"/>
  <c r="R144" i="57"/>
  <c r="Q144" i="57"/>
  <c r="AA136" i="57"/>
  <c r="Z136" i="57"/>
  <c r="Y136" i="57"/>
  <c r="X136" i="57"/>
  <c r="W136" i="57"/>
  <c r="V136" i="57"/>
  <c r="U136" i="57"/>
  <c r="T136" i="57"/>
  <c r="S136" i="57"/>
  <c r="R136" i="57"/>
  <c r="Q136" i="57"/>
  <c r="AA135" i="57"/>
  <c r="Z135" i="57"/>
  <c r="Y135" i="57"/>
  <c r="X135" i="57"/>
  <c r="W135" i="57"/>
  <c r="V135" i="57"/>
  <c r="U135" i="57"/>
  <c r="T135" i="57"/>
  <c r="S135" i="57"/>
  <c r="R135" i="57"/>
  <c r="Q135" i="57"/>
  <c r="AA133" i="57"/>
  <c r="Z133" i="57"/>
  <c r="Y133" i="57"/>
  <c r="X133" i="57"/>
  <c r="W133" i="57"/>
  <c r="V133" i="57"/>
  <c r="U133" i="57"/>
  <c r="T133" i="57"/>
  <c r="S133" i="57"/>
  <c r="R133" i="57"/>
  <c r="Q133" i="57"/>
  <c r="AA131" i="57"/>
  <c r="Z131" i="57"/>
  <c r="Y131" i="57"/>
  <c r="X131" i="57"/>
  <c r="W131" i="57"/>
  <c r="V131" i="57"/>
  <c r="U131" i="57"/>
  <c r="T131" i="57"/>
  <c r="S131" i="57"/>
  <c r="R131" i="57"/>
  <c r="Q131" i="57"/>
  <c r="AA129" i="57"/>
  <c r="Z129" i="57"/>
  <c r="Y129" i="57"/>
  <c r="X129" i="57"/>
  <c r="W129" i="57"/>
  <c r="V129" i="57"/>
  <c r="U129" i="57"/>
  <c r="T129" i="57"/>
  <c r="S129" i="57"/>
  <c r="R129" i="57"/>
  <c r="Q129" i="57"/>
  <c r="AA127" i="57"/>
  <c r="Z127" i="57"/>
  <c r="Y127" i="57"/>
  <c r="X127" i="57"/>
  <c r="W127" i="57"/>
  <c r="V127" i="57"/>
  <c r="U127" i="57"/>
  <c r="T127" i="57"/>
  <c r="S127" i="57"/>
  <c r="R127" i="57"/>
  <c r="Q127" i="57"/>
  <c r="AA126" i="57"/>
  <c r="Z126" i="57"/>
  <c r="Y126" i="57"/>
  <c r="X126" i="57"/>
  <c r="W126" i="57"/>
  <c r="V126" i="57"/>
  <c r="U126" i="57"/>
  <c r="T126" i="57"/>
  <c r="S126" i="57"/>
  <c r="R126" i="57"/>
  <c r="Q126" i="57"/>
  <c r="AA125" i="57"/>
  <c r="Z125" i="57"/>
  <c r="Y125" i="57"/>
  <c r="X125" i="57"/>
  <c r="W125" i="57"/>
  <c r="V125" i="57"/>
  <c r="U125" i="57"/>
  <c r="T125" i="57"/>
  <c r="S125" i="57"/>
  <c r="R125" i="57"/>
  <c r="Q125" i="57"/>
  <c r="AA123" i="57"/>
  <c r="Z123" i="57"/>
  <c r="Y123" i="57"/>
  <c r="X123" i="57"/>
  <c r="W123" i="57"/>
  <c r="V123" i="57"/>
  <c r="U123" i="57"/>
  <c r="T123" i="57"/>
  <c r="S123" i="57"/>
  <c r="R123" i="57"/>
  <c r="Q123" i="57"/>
  <c r="AA121" i="57"/>
  <c r="Z121" i="57"/>
  <c r="Y121" i="57"/>
  <c r="X121" i="57"/>
  <c r="W121" i="57"/>
  <c r="V121" i="57"/>
  <c r="U121" i="57"/>
  <c r="T121" i="57"/>
  <c r="S121" i="57"/>
  <c r="R121" i="57"/>
  <c r="Q121" i="57"/>
  <c r="AA120" i="57"/>
  <c r="Z120" i="57"/>
  <c r="Y120" i="57"/>
  <c r="X120" i="57"/>
  <c r="W120" i="57"/>
  <c r="V120" i="57"/>
  <c r="U120" i="57"/>
  <c r="T120" i="57"/>
  <c r="S120" i="57"/>
  <c r="R120" i="57"/>
  <c r="Q120" i="57"/>
  <c r="AA119" i="57"/>
  <c r="Z119" i="57"/>
  <c r="Y119" i="57"/>
  <c r="X119" i="57"/>
  <c r="W119" i="57"/>
  <c r="V119" i="57"/>
  <c r="U119" i="57"/>
  <c r="T119" i="57"/>
  <c r="S119" i="57"/>
  <c r="R119" i="57"/>
  <c r="Q119" i="57"/>
  <c r="AA118" i="57"/>
  <c r="Z118" i="57"/>
  <c r="Y118" i="57"/>
  <c r="X118" i="57"/>
  <c r="W118" i="57"/>
  <c r="V118" i="57"/>
  <c r="U118" i="57"/>
  <c r="T118" i="57"/>
  <c r="S118" i="57"/>
  <c r="R118" i="57"/>
  <c r="Q118" i="57"/>
  <c r="AA116" i="57"/>
  <c r="Z116" i="57"/>
  <c r="Y116" i="57"/>
  <c r="X116" i="57"/>
  <c r="W116" i="57"/>
  <c r="V116" i="57"/>
  <c r="U116" i="57"/>
  <c r="T116" i="57"/>
  <c r="S116" i="57"/>
  <c r="R116" i="57"/>
  <c r="Q116" i="57"/>
  <c r="AA114" i="57"/>
  <c r="Z114" i="57"/>
  <c r="Y114" i="57"/>
  <c r="X114" i="57"/>
  <c r="W114" i="57"/>
  <c r="V114" i="57"/>
  <c r="U114" i="57"/>
  <c r="T114" i="57"/>
  <c r="S114" i="57"/>
  <c r="R114" i="57"/>
  <c r="Q114" i="57"/>
  <c r="AA113" i="57"/>
  <c r="Z113" i="57"/>
  <c r="Y113" i="57"/>
  <c r="X113" i="57"/>
  <c r="W113" i="57"/>
  <c r="V113" i="57"/>
  <c r="U113" i="57"/>
  <c r="T113" i="57"/>
  <c r="S113" i="57"/>
  <c r="R113" i="57"/>
  <c r="Q113" i="57"/>
  <c r="AA112" i="57"/>
  <c r="Z112" i="57"/>
  <c r="Y112" i="57"/>
  <c r="X112" i="57"/>
  <c r="W112" i="57"/>
  <c r="V112" i="57"/>
  <c r="U112" i="57"/>
  <c r="T112" i="57"/>
  <c r="S112" i="57"/>
  <c r="R112" i="57"/>
  <c r="Q112" i="57"/>
  <c r="AA111" i="57"/>
  <c r="Z111" i="57"/>
  <c r="Y111" i="57"/>
  <c r="X111" i="57"/>
  <c r="W111" i="57"/>
  <c r="V111" i="57"/>
  <c r="U111" i="57"/>
  <c r="T111" i="57"/>
  <c r="S111" i="57"/>
  <c r="R111" i="57"/>
  <c r="Q111" i="57"/>
  <c r="P111" i="57"/>
  <c r="O111" i="57"/>
  <c r="AA110" i="57"/>
  <c r="Z110" i="57"/>
  <c r="Y110" i="57"/>
  <c r="X110" i="57"/>
  <c r="W110" i="57"/>
  <c r="V110" i="57"/>
  <c r="U110" i="57"/>
  <c r="T110" i="57"/>
  <c r="S110" i="57"/>
  <c r="R110" i="57"/>
  <c r="Q110" i="57"/>
  <c r="AA109" i="57"/>
  <c r="Z109" i="57"/>
  <c r="Y109" i="57"/>
  <c r="X109" i="57"/>
  <c r="W109" i="57"/>
  <c r="V109" i="57"/>
  <c r="U109" i="57"/>
  <c r="T109" i="57"/>
  <c r="S109" i="57"/>
  <c r="R109" i="57"/>
  <c r="Q109" i="57"/>
  <c r="AA108" i="57"/>
  <c r="Z108" i="57"/>
  <c r="Y108" i="57"/>
  <c r="X108" i="57"/>
  <c r="W108" i="57"/>
  <c r="V108" i="57"/>
  <c r="U108" i="57"/>
  <c r="T108" i="57"/>
  <c r="S108" i="57"/>
  <c r="R108" i="57"/>
  <c r="Q108" i="57"/>
  <c r="AA107" i="57"/>
  <c r="Z107" i="57"/>
  <c r="Y107" i="57"/>
  <c r="X107" i="57"/>
  <c r="W107" i="57"/>
  <c r="V107" i="57"/>
  <c r="U107" i="57"/>
  <c r="T107" i="57"/>
  <c r="S107" i="57"/>
  <c r="R107" i="57"/>
  <c r="Q107" i="57"/>
  <c r="AA105" i="57"/>
  <c r="Z105" i="57"/>
  <c r="Y105" i="57"/>
  <c r="X105" i="57"/>
  <c r="W105" i="57"/>
  <c r="V105" i="57"/>
  <c r="U105" i="57"/>
  <c r="T105" i="57"/>
  <c r="S105" i="57"/>
  <c r="R105" i="57"/>
  <c r="Q105" i="57"/>
  <c r="AA103" i="57"/>
  <c r="Z103" i="57"/>
  <c r="Y103" i="57"/>
  <c r="X103" i="57"/>
  <c r="W103" i="57"/>
  <c r="V103" i="57"/>
  <c r="U103" i="57"/>
  <c r="T103" i="57"/>
  <c r="S103" i="57"/>
  <c r="R103" i="57"/>
  <c r="Q103" i="57"/>
  <c r="AA102" i="57"/>
  <c r="Z102" i="57"/>
  <c r="Y102" i="57"/>
  <c r="X102" i="57"/>
  <c r="W102" i="57"/>
  <c r="V102" i="57"/>
  <c r="U102" i="57"/>
  <c r="T102" i="57"/>
  <c r="S102" i="57"/>
  <c r="R102" i="57"/>
  <c r="Q102" i="57"/>
  <c r="AA101" i="57"/>
  <c r="Z101" i="57"/>
  <c r="Y101" i="57"/>
  <c r="X101" i="57"/>
  <c r="W101" i="57"/>
  <c r="V101" i="57"/>
  <c r="U101" i="57"/>
  <c r="T101" i="57"/>
  <c r="S101" i="57"/>
  <c r="R101" i="57"/>
  <c r="Q101" i="57"/>
  <c r="AA99" i="57"/>
  <c r="Z99" i="57"/>
  <c r="Y99" i="57"/>
  <c r="X99" i="57"/>
  <c r="W99" i="57"/>
  <c r="V99" i="57"/>
  <c r="U99" i="57"/>
  <c r="T99" i="57"/>
  <c r="S99" i="57"/>
  <c r="R99" i="57"/>
  <c r="Q99" i="57"/>
  <c r="AA98" i="57"/>
  <c r="Z98" i="57"/>
  <c r="Y98" i="57"/>
  <c r="X98" i="57"/>
  <c r="W98" i="57"/>
  <c r="V98" i="57"/>
  <c r="U98" i="57"/>
  <c r="T98" i="57"/>
  <c r="S98" i="57"/>
  <c r="R98" i="57"/>
  <c r="Q98" i="57"/>
  <c r="AA97" i="57"/>
  <c r="Z97" i="57"/>
  <c r="Y97" i="57"/>
  <c r="X97" i="57"/>
  <c r="W97" i="57"/>
  <c r="V97" i="57"/>
  <c r="U97" i="57"/>
  <c r="T97" i="57"/>
  <c r="S97" i="57"/>
  <c r="R97" i="57"/>
  <c r="Q97" i="57"/>
  <c r="AA96" i="57"/>
  <c r="Z96" i="57"/>
  <c r="Y96" i="57"/>
  <c r="X96" i="57"/>
  <c r="W96" i="57"/>
  <c r="V96" i="57"/>
  <c r="U96" i="57"/>
  <c r="T96" i="57"/>
  <c r="S96" i="57"/>
  <c r="R96" i="57"/>
  <c r="Q96" i="57"/>
  <c r="AA95" i="57"/>
  <c r="Z95" i="57"/>
  <c r="Y95" i="57"/>
  <c r="X95" i="57"/>
  <c r="W95" i="57"/>
  <c r="V95" i="57"/>
  <c r="U95" i="57"/>
  <c r="T95" i="57"/>
  <c r="S95" i="57"/>
  <c r="R95" i="57"/>
  <c r="Q95" i="57"/>
  <c r="AA93" i="57"/>
  <c r="Z93" i="57"/>
  <c r="Y93" i="57"/>
  <c r="X93" i="57"/>
  <c r="W93" i="57"/>
  <c r="V93" i="57"/>
  <c r="U93" i="57"/>
  <c r="T93" i="57"/>
  <c r="S93" i="57"/>
  <c r="R93" i="57"/>
  <c r="Q93" i="57"/>
  <c r="AA85" i="57"/>
  <c r="Z85" i="57"/>
  <c r="Y85" i="57"/>
  <c r="X85" i="57"/>
  <c r="W85" i="57"/>
  <c r="V85" i="57"/>
  <c r="U85" i="57"/>
  <c r="T85" i="57"/>
  <c r="S85" i="57"/>
  <c r="R85" i="57"/>
  <c r="Q85" i="57"/>
  <c r="AA84" i="57"/>
  <c r="Z84" i="57"/>
  <c r="Y84" i="57"/>
  <c r="X84" i="57"/>
  <c r="W84" i="57"/>
  <c r="V84" i="57"/>
  <c r="U84" i="57"/>
  <c r="T84" i="57"/>
  <c r="S84" i="57"/>
  <c r="R84" i="57"/>
  <c r="Q84" i="57"/>
  <c r="AA83" i="57"/>
  <c r="Z83" i="57"/>
  <c r="Y83" i="57"/>
  <c r="X83" i="57"/>
  <c r="W83" i="57"/>
  <c r="V83" i="57"/>
  <c r="U83" i="57"/>
  <c r="T83" i="57"/>
  <c r="S83" i="57"/>
  <c r="R83" i="57"/>
  <c r="Q83" i="57"/>
  <c r="P83" i="57"/>
  <c r="O83" i="57"/>
  <c r="N83" i="57"/>
  <c r="AA82" i="57"/>
  <c r="Z82" i="57"/>
  <c r="Y82" i="57"/>
  <c r="X82" i="57"/>
  <c r="W82" i="57"/>
  <c r="V82" i="57"/>
  <c r="U82" i="57"/>
  <c r="T82" i="57"/>
  <c r="S82" i="57"/>
  <c r="R82" i="57"/>
  <c r="Q82" i="57"/>
  <c r="AA81" i="57"/>
  <c r="Z81" i="57"/>
  <c r="Y81" i="57"/>
  <c r="X81" i="57"/>
  <c r="W81" i="57"/>
  <c r="V81" i="57"/>
  <c r="U81" i="57"/>
  <c r="T81" i="57"/>
  <c r="S81" i="57"/>
  <c r="R81" i="57"/>
  <c r="Q81" i="57"/>
  <c r="AA80" i="57"/>
  <c r="Z80" i="57"/>
  <c r="Y80" i="57"/>
  <c r="X80" i="57"/>
  <c r="W80" i="57"/>
  <c r="V80" i="57"/>
  <c r="U80" i="57"/>
  <c r="T80" i="57"/>
  <c r="S80" i="57"/>
  <c r="R80" i="57"/>
  <c r="Q80" i="57"/>
  <c r="AA79" i="57"/>
  <c r="Z79" i="57"/>
  <c r="Y79" i="57"/>
  <c r="X79" i="57"/>
  <c r="W79" i="57"/>
  <c r="V79" i="57"/>
  <c r="U79" i="57"/>
  <c r="T79" i="57"/>
  <c r="S79" i="57"/>
  <c r="R79" i="57"/>
  <c r="Q79" i="57"/>
  <c r="AA78" i="57"/>
  <c r="Z78" i="57"/>
  <c r="Y78" i="57"/>
  <c r="X78" i="57"/>
  <c r="W78" i="57"/>
  <c r="V78" i="57"/>
  <c r="U78" i="57"/>
  <c r="T78" i="57"/>
  <c r="S78" i="57"/>
  <c r="R78" i="57"/>
  <c r="Q78" i="57"/>
  <c r="AA76" i="57"/>
  <c r="Z76" i="57"/>
  <c r="Y76" i="57"/>
  <c r="X76" i="57"/>
  <c r="W76" i="57"/>
  <c r="V76" i="57"/>
  <c r="U76" i="57"/>
  <c r="T76" i="57"/>
  <c r="S76" i="57"/>
  <c r="R76" i="57"/>
  <c r="Q76" i="57"/>
  <c r="AA74" i="57"/>
  <c r="Z74" i="57"/>
  <c r="Y74" i="57"/>
  <c r="X74" i="57"/>
  <c r="W74" i="57"/>
  <c r="V74" i="57"/>
  <c r="U74" i="57"/>
  <c r="T74" i="57"/>
  <c r="S74" i="57"/>
  <c r="R74" i="57"/>
  <c r="Q74" i="57"/>
  <c r="AA73" i="57"/>
  <c r="Z73" i="57"/>
  <c r="Y73" i="57"/>
  <c r="X73" i="57"/>
  <c r="W73" i="57"/>
  <c r="V73" i="57"/>
  <c r="U73" i="57"/>
  <c r="T73" i="57"/>
  <c r="S73" i="57"/>
  <c r="R73" i="57"/>
  <c r="Q73" i="57"/>
  <c r="AA72" i="57"/>
  <c r="Z72" i="57"/>
  <c r="Y72" i="57"/>
  <c r="X72" i="57"/>
  <c r="W72" i="57"/>
  <c r="V72" i="57"/>
  <c r="U72" i="57"/>
  <c r="T72" i="57"/>
  <c r="S72" i="57"/>
  <c r="R72" i="57"/>
  <c r="Q72" i="57"/>
  <c r="AA70" i="57"/>
  <c r="Z70" i="57"/>
  <c r="Y70" i="57"/>
  <c r="X70" i="57"/>
  <c r="W70" i="57"/>
  <c r="V70" i="57"/>
  <c r="U70" i="57"/>
  <c r="T70" i="57"/>
  <c r="S70" i="57"/>
  <c r="R70" i="57"/>
  <c r="Q70" i="57"/>
  <c r="AA68" i="57"/>
  <c r="Z68" i="57"/>
  <c r="Y68" i="57"/>
  <c r="X68" i="57"/>
  <c r="W68" i="57"/>
  <c r="V68" i="57"/>
  <c r="U68" i="57"/>
  <c r="T68" i="57"/>
  <c r="S68" i="57"/>
  <c r="R68" i="57"/>
  <c r="Q68" i="57"/>
  <c r="O68" i="57"/>
  <c r="M68" i="57"/>
  <c r="L68" i="57"/>
  <c r="K68" i="57"/>
  <c r="J68" i="57"/>
  <c r="I68" i="57"/>
  <c r="H68" i="57"/>
  <c r="G68" i="57"/>
  <c r="AA67" i="57"/>
  <c r="Z67" i="57"/>
  <c r="Y67" i="57"/>
  <c r="X67" i="57"/>
  <c r="W67" i="57"/>
  <c r="V67" i="57"/>
  <c r="U67" i="57"/>
  <c r="T67" i="57"/>
  <c r="S67" i="57"/>
  <c r="R67" i="57"/>
  <c r="Q67" i="57"/>
  <c r="AA65" i="57"/>
  <c r="Z65" i="57"/>
  <c r="Y65" i="57"/>
  <c r="X65" i="57"/>
  <c r="W65" i="57"/>
  <c r="V65" i="57"/>
  <c r="U65" i="57"/>
  <c r="T65" i="57"/>
  <c r="S65" i="57"/>
  <c r="R65" i="57"/>
  <c r="Q65" i="57"/>
  <c r="AA63" i="57"/>
  <c r="Z63" i="57"/>
  <c r="Y63" i="57"/>
  <c r="X63" i="57"/>
  <c r="W63" i="57"/>
  <c r="V63" i="57"/>
  <c r="U63" i="57"/>
  <c r="T63" i="57"/>
  <c r="S63" i="57"/>
  <c r="R63" i="57"/>
  <c r="Q63" i="57"/>
  <c r="AA62" i="57"/>
  <c r="Z62" i="57"/>
  <c r="Y62" i="57"/>
  <c r="X62" i="57"/>
  <c r="W62" i="57"/>
  <c r="V62" i="57"/>
  <c r="U62" i="57"/>
  <c r="T62" i="57"/>
  <c r="S62" i="57"/>
  <c r="R62" i="57"/>
  <c r="Q62" i="57"/>
  <c r="O62" i="57"/>
  <c r="M62" i="57"/>
  <c r="AA61" i="57"/>
  <c r="Z61" i="57"/>
  <c r="Y61" i="57"/>
  <c r="X61" i="57"/>
  <c r="W61" i="57"/>
  <c r="V61" i="57"/>
  <c r="U61" i="57"/>
  <c r="T61" i="57"/>
  <c r="S61" i="57"/>
  <c r="R61" i="57"/>
  <c r="Q61" i="57"/>
  <c r="AA60" i="57"/>
  <c r="Z60" i="57"/>
  <c r="Y60" i="57"/>
  <c r="X60" i="57"/>
  <c r="W60" i="57"/>
  <c r="V60" i="57"/>
  <c r="U60" i="57"/>
  <c r="T60" i="57"/>
  <c r="S60" i="57"/>
  <c r="R60" i="57"/>
  <c r="Q60" i="57"/>
  <c r="AA59" i="57"/>
  <c r="Z59" i="57"/>
  <c r="Y59" i="57"/>
  <c r="X59" i="57"/>
  <c r="W59" i="57"/>
  <c r="V59" i="57"/>
  <c r="U59" i="57"/>
  <c r="T59" i="57"/>
  <c r="S59" i="57"/>
  <c r="R59" i="57"/>
  <c r="Q59" i="57"/>
  <c r="AA58" i="57"/>
  <c r="Z58" i="57"/>
  <c r="Y58" i="57"/>
  <c r="X58" i="57"/>
  <c r="W58" i="57"/>
  <c r="V58" i="57"/>
  <c r="U58" i="57"/>
  <c r="T58" i="57"/>
  <c r="S58" i="57"/>
  <c r="R58" i="57"/>
  <c r="Q58" i="57"/>
  <c r="AA56" i="57"/>
  <c r="Z56" i="57"/>
  <c r="Y56" i="57"/>
  <c r="X56" i="57"/>
  <c r="W56" i="57"/>
  <c r="V56" i="57"/>
  <c r="U56" i="57"/>
  <c r="T56" i="57"/>
  <c r="S56" i="57"/>
  <c r="R56" i="57"/>
  <c r="Q56" i="57"/>
  <c r="AA54" i="57"/>
  <c r="Z54" i="57"/>
  <c r="Y54" i="57"/>
  <c r="X54" i="57"/>
  <c r="W54" i="57"/>
  <c r="V54" i="57"/>
  <c r="U54" i="57"/>
  <c r="T54" i="57"/>
  <c r="S54" i="57"/>
  <c r="R54" i="57"/>
  <c r="Q54" i="57"/>
  <c r="AA53" i="57"/>
  <c r="Z53" i="57"/>
  <c r="Y53" i="57"/>
  <c r="X53" i="57"/>
  <c r="W53" i="57"/>
  <c r="V53" i="57"/>
  <c r="U53" i="57"/>
  <c r="T53" i="57"/>
  <c r="S53" i="57"/>
  <c r="R53" i="57"/>
  <c r="Q53" i="57"/>
  <c r="AA52" i="57"/>
  <c r="Z52" i="57"/>
  <c r="Y52" i="57"/>
  <c r="X52" i="57"/>
  <c r="W52" i="57"/>
  <c r="V52" i="57"/>
  <c r="U52" i="57"/>
  <c r="T52" i="57"/>
  <c r="S52" i="57"/>
  <c r="R52" i="57"/>
  <c r="Q52" i="57"/>
  <c r="P52" i="57"/>
  <c r="O52" i="57"/>
  <c r="AA51" i="57"/>
  <c r="Z51" i="57"/>
  <c r="Y51" i="57"/>
  <c r="X51" i="57"/>
  <c r="W51" i="57"/>
  <c r="V51" i="57"/>
  <c r="U51" i="57"/>
  <c r="T51" i="57"/>
  <c r="S51" i="57"/>
  <c r="R51" i="57"/>
  <c r="Q51" i="57"/>
  <c r="AA49" i="57"/>
  <c r="Z49" i="57"/>
  <c r="Y49" i="57"/>
  <c r="X49" i="57"/>
  <c r="W49" i="57"/>
  <c r="V49" i="57"/>
  <c r="U49" i="57"/>
  <c r="T49" i="57"/>
  <c r="S49" i="57"/>
  <c r="R49" i="57"/>
  <c r="Q49" i="57"/>
  <c r="AA41" i="57"/>
  <c r="Z41" i="57"/>
  <c r="Y41" i="57"/>
  <c r="X41" i="57"/>
  <c r="W41" i="57"/>
  <c r="V41" i="57"/>
  <c r="U41" i="57"/>
  <c r="T41" i="57"/>
  <c r="S41" i="57"/>
  <c r="R41" i="57"/>
  <c r="Q41" i="57"/>
  <c r="AA40" i="57"/>
  <c r="Z40" i="57"/>
  <c r="Y40" i="57"/>
  <c r="X40" i="57"/>
  <c r="W40" i="57"/>
  <c r="V40" i="57"/>
  <c r="U40" i="57"/>
  <c r="T40" i="57"/>
  <c r="S40" i="57"/>
  <c r="R40" i="57"/>
  <c r="Q40" i="57"/>
  <c r="AA39" i="57"/>
  <c r="Z39" i="57"/>
  <c r="Y39" i="57"/>
  <c r="X39" i="57"/>
  <c r="W39" i="57"/>
  <c r="V39" i="57"/>
  <c r="U39" i="57"/>
  <c r="T39" i="57"/>
  <c r="S39" i="57"/>
  <c r="R39" i="57"/>
  <c r="Q39" i="57"/>
  <c r="P39" i="57"/>
  <c r="N39" i="57"/>
  <c r="M39" i="57"/>
  <c r="L39" i="57"/>
  <c r="K39" i="57"/>
  <c r="J39" i="57"/>
  <c r="AA38" i="57"/>
  <c r="Z38" i="57"/>
  <c r="Y38" i="57"/>
  <c r="X38" i="57"/>
  <c r="W38" i="57"/>
  <c r="V38" i="57"/>
  <c r="U38" i="57"/>
  <c r="T38" i="57"/>
  <c r="S38" i="57"/>
  <c r="R38" i="57"/>
  <c r="Q38" i="57"/>
  <c r="AA37" i="57"/>
  <c r="Z37" i="57"/>
  <c r="Y37" i="57"/>
  <c r="X37" i="57"/>
  <c r="W37" i="57"/>
  <c r="V37" i="57"/>
  <c r="U37" i="57"/>
  <c r="T37" i="57"/>
  <c r="S37" i="57"/>
  <c r="R37" i="57"/>
  <c r="Q37" i="57"/>
  <c r="AA36" i="57"/>
  <c r="Z36" i="57"/>
  <c r="Y36" i="57"/>
  <c r="X36" i="57"/>
  <c r="W36" i="57"/>
  <c r="V36" i="57"/>
  <c r="U36" i="57"/>
  <c r="T36" i="57"/>
  <c r="S36" i="57"/>
  <c r="R36" i="57"/>
  <c r="Q36" i="57"/>
  <c r="AA35" i="57"/>
  <c r="Z35" i="57"/>
  <c r="Y35" i="57"/>
  <c r="X35" i="57"/>
  <c r="W35" i="57"/>
  <c r="V35" i="57"/>
  <c r="U35" i="57"/>
  <c r="T35" i="57"/>
  <c r="S35" i="57"/>
  <c r="R35" i="57"/>
  <c r="Q35" i="57"/>
  <c r="I35" i="57"/>
  <c r="AA33" i="57"/>
  <c r="Z33" i="57"/>
  <c r="Y33" i="57"/>
  <c r="X33" i="57"/>
  <c r="W33" i="57"/>
  <c r="V33" i="57"/>
  <c r="U33" i="57"/>
  <c r="T33" i="57"/>
  <c r="S33" i="57"/>
  <c r="R33" i="57"/>
  <c r="Q33" i="57"/>
  <c r="AA31" i="57"/>
  <c r="Z31" i="57"/>
  <c r="Y31" i="57"/>
  <c r="X31" i="57"/>
  <c r="W31" i="57"/>
  <c r="V31" i="57"/>
  <c r="U31" i="57"/>
  <c r="T31" i="57"/>
  <c r="S31" i="57"/>
  <c r="R31" i="57"/>
  <c r="Q31" i="57"/>
  <c r="AA30" i="57"/>
  <c r="AA29" i="57"/>
  <c r="AA28" i="57"/>
  <c r="AA27" i="57"/>
  <c r="AA26" i="57"/>
  <c r="Z26" i="57"/>
  <c r="Y26" i="57"/>
  <c r="X26" i="57"/>
  <c r="W26" i="57"/>
  <c r="V26" i="57"/>
  <c r="U26" i="57"/>
  <c r="T26" i="57"/>
  <c r="S26" i="57"/>
  <c r="R26" i="57"/>
  <c r="Q26" i="57"/>
  <c r="AA25" i="57"/>
  <c r="Z25" i="57"/>
  <c r="Y25" i="57"/>
  <c r="X25" i="57"/>
  <c r="W25" i="57"/>
  <c r="V25" i="57"/>
  <c r="U25" i="57"/>
  <c r="T25" i="57"/>
  <c r="S25" i="57"/>
  <c r="R25" i="57"/>
  <c r="Q25" i="57"/>
  <c r="AA24" i="57"/>
  <c r="Z24" i="57"/>
  <c r="Y24" i="57"/>
  <c r="X24" i="57"/>
  <c r="W24" i="57"/>
  <c r="V24" i="57"/>
  <c r="U24" i="57"/>
  <c r="T24" i="57"/>
  <c r="S24" i="57"/>
  <c r="R24" i="57"/>
  <c r="Q24" i="57"/>
  <c r="AA23" i="57"/>
  <c r="Z23" i="57"/>
  <c r="Y23" i="57"/>
  <c r="X23" i="57"/>
  <c r="W23" i="57"/>
  <c r="V23" i="57"/>
  <c r="U23" i="57"/>
  <c r="T23" i="57"/>
  <c r="S23" i="57"/>
  <c r="R23" i="57"/>
  <c r="Q23" i="57"/>
  <c r="AA21" i="57"/>
  <c r="Z21" i="57"/>
  <c r="Y21" i="57"/>
  <c r="X21" i="57"/>
  <c r="W21" i="57"/>
  <c r="V21" i="57"/>
  <c r="U21" i="57"/>
  <c r="T21" i="57"/>
  <c r="S21" i="57"/>
  <c r="R21" i="57"/>
  <c r="Q21" i="57"/>
  <c r="AA19" i="57"/>
  <c r="Z19" i="57"/>
  <c r="Y19" i="57"/>
  <c r="X19" i="57"/>
  <c r="W19" i="57"/>
  <c r="V19" i="57"/>
  <c r="U19" i="57"/>
  <c r="T19" i="57"/>
  <c r="S19" i="57"/>
  <c r="R19" i="57"/>
  <c r="Q19" i="57"/>
  <c r="AA18" i="57"/>
  <c r="Z18" i="57"/>
  <c r="Y18" i="57"/>
  <c r="X18" i="57"/>
  <c r="W18" i="57"/>
  <c r="V18" i="57"/>
  <c r="U18" i="57"/>
  <c r="T18" i="57"/>
  <c r="S18" i="57"/>
  <c r="R18" i="57"/>
  <c r="Q18" i="57"/>
  <c r="AA17" i="57"/>
  <c r="Z17" i="57"/>
  <c r="Y17" i="57"/>
  <c r="X17" i="57"/>
  <c r="W17" i="57"/>
  <c r="V17" i="57"/>
  <c r="U17" i="57"/>
  <c r="T17" i="57"/>
  <c r="S17" i="57"/>
  <c r="R17" i="57"/>
  <c r="Q17" i="57"/>
  <c r="AA16" i="57"/>
  <c r="Z16" i="57"/>
  <c r="Y16" i="57"/>
  <c r="X16" i="57"/>
  <c r="W16" i="57"/>
  <c r="V16" i="57"/>
  <c r="U16" i="57"/>
  <c r="T16" i="57"/>
  <c r="S16" i="57"/>
  <c r="R16" i="57"/>
  <c r="Q16" i="57"/>
  <c r="AA15" i="57"/>
  <c r="Z15" i="57"/>
  <c r="Y15" i="57"/>
  <c r="X15" i="57"/>
  <c r="W15" i="57"/>
  <c r="V15" i="57"/>
  <c r="U15" i="57"/>
  <c r="T15" i="57"/>
  <c r="S15" i="57"/>
  <c r="R15" i="57"/>
  <c r="Q15" i="57"/>
  <c r="AA14" i="57"/>
  <c r="Z14" i="57"/>
  <c r="Y14" i="57"/>
  <c r="X14" i="57"/>
  <c r="W14" i="57"/>
  <c r="V14" i="57"/>
  <c r="U14" i="57"/>
  <c r="T14" i="57"/>
  <c r="S14" i="57"/>
  <c r="R14" i="57"/>
  <c r="Q14" i="57"/>
  <c r="AA13" i="57"/>
  <c r="Z13" i="57"/>
  <c r="Y13" i="57"/>
  <c r="X13" i="57"/>
  <c r="W13" i="57"/>
  <c r="V13" i="57"/>
  <c r="U13" i="57"/>
  <c r="T13" i="57"/>
  <c r="S13" i="57"/>
  <c r="R13" i="57"/>
  <c r="Q13" i="57"/>
  <c r="AA12" i="57"/>
  <c r="Z12" i="57"/>
  <c r="Y12" i="57"/>
  <c r="X12" i="57"/>
  <c r="W12" i="57"/>
  <c r="V12" i="57"/>
  <c r="U12" i="57"/>
  <c r="T12" i="57"/>
  <c r="S12" i="57"/>
  <c r="R12" i="57"/>
  <c r="Q12" i="57"/>
  <c r="AA10" i="57"/>
  <c r="Z10" i="57"/>
  <c r="Y10" i="57"/>
  <c r="X10" i="57"/>
  <c r="W10" i="57"/>
  <c r="V10" i="57"/>
  <c r="U10" i="57"/>
  <c r="T10" i="57"/>
  <c r="S10" i="57"/>
  <c r="R10" i="57"/>
  <c r="Q10" i="57"/>
  <c r="AA167" i="56"/>
  <c r="Z167" i="56"/>
  <c r="Y167" i="56"/>
  <c r="X167" i="56"/>
  <c r="W167" i="56"/>
  <c r="V167" i="56"/>
  <c r="U167" i="56"/>
  <c r="T167" i="56"/>
  <c r="S167" i="56"/>
  <c r="R167" i="56"/>
  <c r="Q167" i="56"/>
  <c r="P167" i="56"/>
  <c r="O167" i="56"/>
  <c r="L167" i="56"/>
  <c r="K167" i="56"/>
  <c r="AA166" i="56"/>
  <c r="Z166" i="56"/>
  <c r="Y166" i="56"/>
  <c r="X166" i="56"/>
  <c r="W166" i="56"/>
  <c r="V166" i="56"/>
  <c r="U166" i="56"/>
  <c r="T166" i="56"/>
  <c r="S166" i="56"/>
  <c r="R166" i="56"/>
  <c r="Q166" i="56"/>
  <c r="P166" i="56"/>
  <c r="O166" i="56"/>
  <c r="N166" i="56"/>
  <c r="N167" i="56" s="1"/>
  <c r="M166" i="56"/>
  <c r="M167" i="56" s="1"/>
  <c r="L166" i="56"/>
  <c r="K166" i="56"/>
  <c r="J166" i="56"/>
  <c r="J167" i="56" s="1"/>
  <c r="AA165" i="56"/>
  <c r="Z165" i="56"/>
  <c r="Y165" i="56"/>
  <c r="X165" i="56"/>
  <c r="W165" i="56"/>
  <c r="V165" i="56"/>
  <c r="U165" i="56"/>
  <c r="T165" i="56"/>
  <c r="S165" i="56"/>
  <c r="R165" i="56"/>
  <c r="Q165" i="56"/>
  <c r="AA164" i="56"/>
  <c r="Z164" i="56"/>
  <c r="Y164" i="56"/>
  <c r="X164" i="56"/>
  <c r="W164" i="56"/>
  <c r="V164" i="56"/>
  <c r="U164" i="56"/>
  <c r="T164" i="56"/>
  <c r="S164" i="56"/>
  <c r="R164" i="56"/>
  <c r="Q164" i="56"/>
  <c r="P164" i="56"/>
  <c r="O164" i="56"/>
  <c r="AA162" i="56"/>
  <c r="Z162" i="56"/>
  <c r="Y162" i="56"/>
  <c r="X162" i="56"/>
  <c r="W162" i="56"/>
  <c r="V162" i="56"/>
  <c r="U162" i="56"/>
  <c r="T162" i="56"/>
  <c r="S162" i="56"/>
  <c r="R162" i="56"/>
  <c r="Q162" i="56"/>
  <c r="AA161" i="56"/>
  <c r="Z161" i="56"/>
  <c r="Y161" i="56"/>
  <c r="X161" i="56"/>
  <c r="W161" i="56"/>
  <c r="V161" i="56"/>
  <c r="U161" i="56"/>
  <c r="T161" i="56"/>
  <c r="S161" i="56"/>
  <c r="R161" i="56"/>
  <c r="Q161" i="56"/>
  <c r="AA160" i="56"/>
  <c r="Z160" i="56"/>
  <c r="Y160" i="56"/>
  <c r="X160" i="56"/>
  <c r="W160" i="56"/>
  <c r="V160" i="56"/>
  <c r="U160" i="56"/>
  <c r="T160" i="56"/>
  <c r="S160" i="56"/>
  <c r="R160" i="56"/>
  <c r="Q160" i="56"/>
  <c r="AA159" i="56"/>
  <c r="Z159" i="56"/>
  <c r="Y159" i="56"/>
  <c r="X159" i="56"/>
  <c r="W159" i="56"/>
  <c r="V159" i="56"/>
  <c r="U159" i="56"/>
  <c r="T159" i="56"/>
  <c r="S159" i="56"/>
  <c r="R159" i="56"/>
  <c r="Q159" i="56"/>
  <c r="AA158" i="56"/>
  <c r="Z158" i="56"/>
  <c r="Y158" i="56"/>
  <c r="X158" i="56"/>
  <c r="W158" i="56"/>
  <c r="V158" i="56"/>
  <c r="U158" i="56"/>
  <c r="T158" i="56"/>
  <c r="S158" i="56"/>
  <c r="R158" i="56"/>
  <c r="Q158" i="56"/>
  <c r="AA155" i="56"/>
  <c r="Z155" i="56"/>
  <c r="Y155" i="56"/>
  <c r="X155" i="56"/>
  <c r="W155" i="56"/>
  <c r="V155" i="56"/>
  <c r="U155" i="56"/>
  <c r="T155" i="56"/>
  <c r="S155" i="56"/>
  <c r="R155" i="56"/>
  <c r="Q155" i="56"/>
  <c r="AA153" i="56"/>
  <c r="Z153" i="56"/>
  <c r="Y153" i="56"/>
  <c r="X153" i="56"/>
  <c r="W153" i="56"/>
  <c r="V153" i="56"/>
  <c r="U153" i="56"/>
  <c r="T153" i="56"/>
  <c r="S153" i="56"/>
  <c r="R153" i="56"/>
  <c r="Q153" i="56"/>
  <c r="AA152" i="56"/>
  <c r="Z152" i="56"/>
  <c r="Y152" i="56"/>
  <c r="X152" i="56"/>
  <c r="W152" i="56"/>
  <c r="V152" i="56"/>
  <c r="U152" i="56"/>
  <c r="T152" i="56"/>
  <c r="S152" i="56"/>
  <c r="R152" i="56"/>
  <c r="Q152" i="56"/>
  <c r="AA151" i="56"/>
  <c r="Z151" i="56"/>
  <c r="Y151" i="56"/>
  <c r="X151" i="56"/>
  <c r="W151" i="56"/>
  <c r="V151" i="56"/>
  <c r="U151" i="56"/>
  <c r="T151" i="56"/>
  <c r="S151" i="56"/>
  <c r="R151" i="56"/>
  <c r="Q151" i="56"/>
  <c r="AA150" i="56"/>
  <c r="Z150" i="56"/>
  <c r="Y150" i="56"/>
  <c r="X150" i="56"/>
  <c r="W150" i="56"/>
  <c r="V150" i="56"/>
  <c r="U150" i="56"/>
  <c r="T150" i="56"/>
  <c r="S150" i="56"/>
  <c r="R150" i="56"/>
  <c r="Q150" i="56"/>
  <c r="AA149" i="56"/>
  <c r="Z149" i="56"/>
  <c r="Y149" i="56"/>
  <c r="X149" i="56"/>
  <c r="W149" i="56"/>
  <c r="V149" i="56"/>
  <c r="U149" i="56"/>
  <c r="T149" i="56"/>
  <c r="S149" i="56"/>
  <c r="R149" i="56"/>
  <c r="Q149" i="56"/>
  <c r="L149" i="56"/>
  <c r="AA148" i="56"/>
  <c r="Z148" i="56"/>
  <c r="Y148" i="56"/>
  <c r="X148" i="56"/>
  <c r="W148" i="56"/>
  <c r="V148" i="56"/>
  <c r="U148" i="56"/>
  <c r="T148" i="56"/>
  <c r="S148" i="56"/>
  <c r="R148" i="56"/>
  <c r="Q148" i="56"/>
  <c r="AA147" i="56"/>
  <c r="Z147" i="56"/>
  <c r="Y147" i="56"/>
  <c r="X147" i="56"/>
  <c r="W147" i="56"/>
  <c r="V147" i="56"/>
  <c r="U147" i="56"/>
  <c r="T147" i="56"/>
  <c r="S147" i="56"/>
  <c r="R147" i="56"/>
  <c r="Q147" i="56"/>
  <c r="AA146" i="56"/>
  <c r="Z146" i="56"/>
  <c r="Y146" i="56"/>
  <c r="X146" i="56"/>
  <c r="W146" i="56"/>
  <c r="V146" i="56"/>
  <c r="U146" i="56"/>
  <c r="T146" i="56"/>
  <c r="S146" i="56"/>
  <c r="R146" i="56"/>
  <c r="Q146" i="56"/>
  <c r="AA144" i="56"/>
  <c r="Z144" i="56"/>
  <c r="Y144" i="56"/>
  <c r="X144" i="56"/>
  <c r="W144" i="56"/>
  <c r="V144" i="56"/>
  <c r="U144" i="56"/>
  <c r="T144" i="56"/>
  <c r="S144" i="56"/>
  <c r="R144" i="56"/>
  <c r="Q144" i="56"/>
  <c r="AA136" i="56"/>
  <c r="Z136" i="56"/>
  <c r="Y136" i="56"/>
  <c r="X136" i="56"/>
  <c r="W136" i="56"/>
  <c r="V136" i="56"/>
  <c r="U136" i="56"/>
  <c r="T136" i="56"/>
  <c r="S136" i="56"/>
  <c r="R136" i="56"/>
  <c r="Q136" i="56"/>
  <c r="AA135" i="56"/>
  <c r="Z135" i="56"/>
  <c r="Y135" i="56"/>
  <c r="X135" i="56"/>
  <c r="W135" i="56"/>
  <c r="V135" i="56"/>
  <c r="U135" i="56"/>
  <c r="T135" i="56"/>
  <c r="S135" i="56"/>
  <c r="R135" i="56"/>
  <c r="Q135" i="56"/>
  <c r="AA133" i="56"/>
  <c r="Z133" i="56"/>
  <c r="Y133" i="56"/>
  <c r="X133" i="56"/>
  <c r="W133" i="56"/>
  <c r="V133" i="56"/>
  <c r="U133" i="56"/>
  <c r="T133" i="56"/>
  <c r="S133" i="56"/>
  <c r="R133" i="56"/>
  <c r="Q133" i="56"/>
  <c r="AA131" i="56"/>
  <c r="Z131" i="56"/>
  <c r="Y131" i="56"/>
  <c r="X131" i="56"/>
  <c r="W131" i="56"/>
  <c r="V131" i="56"/>
  <c r="U131" i="56"/>
  <c r="T131" i="56"/>
  <c r="S131" i="56"/>
  <c r="R131" i="56"/>
  <c r="Q131" i="56"/>
  <c r="AA129" i="56"/>
  <c r="Z129" i="56"/>
  <c r="Y129" i="56"/>
  <c r="X129" i="56"/>
  <c r="W129" i="56"/>
  <c r="V129" i="56"/>
  <c r="U129" i="56"/>
  <c r="T129" i="56"/>
  <c r="S129" i="56"/>
  <c r="R129" i="56"/>
  <c r="Q129" i="56"/>
  <c r="AA127" i="56"/>
  <c r="Z127" i="56"/>
  <c r="Y127" i="56"/>
  <c r="X127" i="56"/>
  <c r="W127" i="56"/>
  <c r="V127" i="56"/>
  <c r="U127" i="56"/>
  <c r="T127" i="56"/>
  <c r="S127" i="56"/>
  <c r="R127" i="56"/>
  <c r="Q127" i="56"/>
  <c r="AA126" i="56"/>
  <c r="Z126" i="56"/>
  <c r="Y126" i="56"/>
  <c r="X126" i="56"/>
  <c r="W126" i="56"/>
  <c r="V126" i="56"/>
  <c r="U126" i="56"/>
  <c r="T126" i="56"/>
  <c r="S126" i="56"/>
  <c r="R126" i="56"/>
  <c r="Q126" i="56"/>
  <c r="AA125" i="56"/>
  <c r="Z125" i="56"/>
  <c r="Y125" i="56"/>
  <c r="X125" i="56"/>
  <c r="W125" i="56"/>
  <c r="V125" i="56"/>
  <c r="U125" i="56"/>
  <c r="T125" i="56"/>
  <c r="S125" i="56"/>
  <c r="R125" i="56"/>
  <c r="Q125" i="56"/>
  <c r="AA123" i="56"/>
  <c r="Z123" i="56"/>
  <c r="Y123" i="56"/>
  <c r="X123" i="56"/>
  <c r="W123" i="56"/>
  <c r="V123" i="56"/>
  <c r="U123" i="56"/>
  <c r="T123" i="56"/>
  <c r="S123" i="56"/>
  <c r="R123" i="56"/>
  <c r="Q123" i="56"/>
  <c r="AA121" i="56"/>
  <c r="Z121" i="56"/>
  <c r="Y121" i="56"/>
  <c r="X121" i="56"/>
  <c r="W121" i="56"/>
  <c r="V121" i="56"/>
  <c r="U121" i="56"/>
  <c r="T121" i="56"/>
  <c r="S121" i="56"/>
  <c r="R121" i="56"/>
  <c r="Q121" i="56"/>
  <c r="AA120" i="56"/>
  <c r="Z120" i="56"/>
  <c r="Y120" i="56"/>
  <c r="X120" i="56"/>
  <c r="W120" i="56"/>
  <c r="V120" i="56"/>
  <c r="U120" i="56"/>
  <c r="T120" i="56"/>
  <c r="S120" i="56"/>
  <c r="R120" i="56"/>
  <c r="Q120" i="56"/>
  <c r="AA119" i="56"/>
  <c r="Z119" i="56"/>
  <c r="Y119" i="56"/>
  <c r="X119" i="56"/>
  <c r="W119" i="56"/>
  <c r="V119" i="56"/>
  <c r="U119" i="56"/>
  <c r="T119" i="56"/>
  <c r="S119" i="56"/>
  <c r="R119" i="56"/>
  <c r="Q119" i="56"/>
  <c r="AA118" i="56"/>
  <c r="Z118" i="56"/>
  <c r="Y118" i="56"/>
  <c r="X118" i="56"/>
  <c r="W118" i="56"/>
  <c r="V118" i="56"/>
  <c r="U118" i="56"/>
  <c r="T118" i="56"/>
  <c r="S118" i="56"/>
  <c r="R118" i="56"/>
  <c r="Q118" i="56"/>
  <c r="AA116" i="56"/>
  <c r="Z116" i="56"/>
  <c r="Y116" i="56"/>
  <c r="X116" i="56"/>
  <c r="W116" i="56"/>
  <c r="V116" i="56"/>
  <c r="U116" i="56"/>
  <c r="T116" i="56"/>
  <c r="S116" i="56"/>
  <c r="R116" i="56"/>
  <c r="Q116" i="56"/>
  <c r="AA114" i="56"/>
  <c r="Z114" i="56"/>
  <c r="Y114" i="56"/>
  <c r="X114" i="56"/>
  <c r="W114" i="56"/>
  <c r="V114" i="56"/>
  <c r="U114" i="56"/>
  <c r="T114" i="56"/>
  <c r="S114" i="56"/>
  <c r="R114" i="56"/>
  <c r="Q114" i="56"/>
  <c r="AA113" i="56"/>
  <c r="Z113" i="56"/>
  <c r="Y113" i="56"/>
  <c r="X113" i="56"/>
  <c r="W113" i="56"/>
  <c r="V113" i="56"/>
  <c r="U113" i="56"/>
  <c r="T113" i="56"/>
  <c r="S113" i="56"/>
  <c r="R113" i="56"/>
  <c r="Q113" i="56"/>
  <c r="AA112" i="56"/>
  <c r="Z112" i="56"/>
  <c r="Y112" i="56"/>
  <c r="X112" i="56"/>
  <c r="W112" i="56"/>
  <c r="V112" i="56"/>
  <c r="U112" i="56"/>
  <c r="T112" i="56"/>
  <c r="S112" i="56"/>
  <c r="R112" i="56"/>
  <c r="Q112" i="56"/>
  <c r="AA111" i="56"/>
  <c r="Z111" i="56"/>
  <c r="Y111" i="56"/>
  <c r="X111" i="56"/>
  <c r="W111" i="56"/>
  <c r="V111" i="56"/>
  <c r="U111" i="56"/>
  <c r="T111" i="56"/>
  <c r="S111" i="56"/>
  <c r="R111" i="56"/>
  <c r="Q111" i="56"/>
  <c r="P111" i="56"/>
  <c r="O111" i="56"/>
  <c r="AA110" i="56"/>
  <c r="Z110" i="56"/>
  <c r="Y110" i="56"/>
  <c r="X110" i="56"/>
  <c r="W110" i="56"/>
  <c r="V110" i="56"/>
  <c r="U110" i="56"/>
  <c r="T110" i="56"/>
  <c r="S110" i="56"/>
  <c r="R110" i="56"/>
  <c r="Q110" i="56"/>
  <c r="AA109" i="56"/>
  <c r="Z109" i="56"/>
  <c r="Y109" i="56"/>
  <c r="X109" i="56"/>
  <c r="W109" i="56"/>
  <c r="V109" i="56"/>
  <c r="U109" i="56"/>
  <c r="T109" i="56"/>
  <c r="S109" i="56"/>
  <c r="R109" i="56"/>
  <c r="Q109" i="56"/>
  <c r="AA108" i="56"/>
  <c r="Z108" i="56"/>
  <c r="Y108" i="56"/>
  <c r="X108" i="56"/>
  <c r="W108" i="56"/>
  <c r="V108" i="56"/>
  <c r="U108" i="56"/>
  <c r="T108" i="56"/>
  <c r="S108" i="56"/>
  <c r="R108" i="56"/>
  <c r="Q108" i="56"/>
  <c r="AA107" i="56"/>
  <c r="Z107" i="56"/>
  <c r="Y107" i="56"/>
  <c r="X107" i="56"/>
  <c r="W107" i="56"/>
  <c r="V107" i="56"/>
  <c r="U107" i="56"/>
  <c r="T107" i="56"/>
  <c r="S107" i="56"/>
  <c r="R107" i="56"/>
  <c r="Q107" i="56"/>
  <c r="AA105" i="56"/>
  <c r="Z105" i="56"/>
  <c r="Y105" i="56"/>
  <c r="X105" i="56"/>
  <c r="W105" i="56"/>
  <c r="V105" i="56"/>
  <c r="U105" i="56"/>
  <c r="T105" i="56"/>
  <c r="S105" i="56"/>
  <c r="R105" i="56"/>
  <c r="Q105" i="56"/>
  <c r="AA103" i="56"/>
  <c r="Z103" i="56"/>
  <c r="Y103" i="56"/>
  <c r="X103" i="56"/>
  <c r="W103" i="56"/>
  <c r="V103" i="56"/>
  <c r="U103" i="56"/>
  <c r="T103" i="56"/>
  <c r="S103" i="56"/>
  <c r="R103" i="56"/>
  <c r="Q103" i="56"/>
  <c r="AA102" i="56"/>
  <c r="Z102" i="56"/>
  <c r="Y102" i="56"/>
  <c r="X102" i="56"/>
  <c r="W102" i="56"/>
  <c r="V102" i="56"/>
  <c r="U102" i="56"/>
  <c r="T102" i="56"/>
  <c r="S102" i="56"/>
  <c r="R102" i="56"/>
  <c r="Q102" i="56"/>
  <c r="AA101" i="56"/>
  <c r="Z101" i="56"/>
  <c r="Y101" i="56"/>
  <c r="X101" i="56"/>
  <c r="W101" i="56"/>
  <c r="V101" i="56"/>
  <c r="U101" i="56"/>
  <c r="T101" i="56"/>
  <c r="S101" i="56"/>
  <c r="R101" i="56"/>
  <c r="Q101" i="56"/>
  <c r="AA99" i="56"/>
  <c r="Z99" i="56"/>
  <c r="Y99" i="56"/>
  <c r="X99" i="56"/>
  <c r="W99" i="56"/>
  <c r="V99" i="56"/>
  <c r="U99" i="56"/>
  <c r="T99" i="56"/>
  <c r="S99" i="56"/>
  <c r="R99" i="56"/>
  <c r="Q99" i="56"/>
  <c r="AA98" i="56"/>
  <c r="Z98" i="56"/>
  <c r="Y98" i="56"/>
  <c r="X98" i="56"/>
  <c r="W98" i="56"/>
  <c r="V98" i="56"/>
  <c r="U98" i="56"/>
  <c r="T98" i="56"/>
  <c r="S98" i="56"/>
  <c r="R98" i="56"/>
  <c r="Q98" i="56"/>
  <c r="AA97" i="56"/>
  <c r="Z97" i="56"/>
  <c r="Y97" i="56"/>
  <c r="X97" i="56"/>
  <c r="W97" i="56"/>
  <c r="V97" i="56"/>
  <c r="U97" i="56"/>
  <c r="T97" i="56"/>
  <c r="S97" i="56"/>
  <c r="R97" i="56"/>
  <c r="Q97" i="56"/>
  <c r="AA96" i="56"/>
  <c r="Z96" i="56"/>
  <c r="Y96" i="56"/>
  <c r="X96" i="56"/>
  <c r="W96" i="56"/>
  <c r="V96" i="56"/>
  <c r="U96" i="56"/>
  <c r="T96" i="56"/>
  <c r="S96" i="56"/>
  <c r="R96" i="56"/>
  <c r="Q96" i="56"/>
  <c r="AA95" i="56"/>
  <c r="Z95" i="56"/>
  <c r="Y95" i="56"/>
  <c r="X95" i="56"/>
  <c r="W95" i="56"/>
  <c r="V95" i="56"/>
  <c r="U95" i="56"/>
  <c r="T95" i="56"/>
  <c r="S95" i="56"/>
  <c r="R95" i="56"/>
  <c r="Q95" i="56"/>
  <c r="AA93" i="56"/>
  <c r="Z93" i="56"/>
  <c r="Y93" i="56"/>
  <c r="X93" i="56"/>
  <c r="W93" i="56"/>
  <c r="V93" i="56"/>
  <c r="U93" i="56"/>
  <c r="T93" i="56"/>
  <c r="S93" i="56"/>
  <c r="R93" i="56"/>
  <c r="Q93" i="56"/>
  <c r="AA85" i="56"/>
  <c r="Z85" i="56"/>
  <c r="Y85" i="56"/>
  <c r="X85" i="56"/>
  <c r="W85" i="56"/>
  <c r="V85" i="56"/>
  <c r="U85" i="56"/>
  <c r="T85" i="56"/>
  <c r="S85" i="56"/>
  <c r="R85" i="56"/>
  <c r="Q85" i="56"/>
  <c r="AA84" i="56"/>
  <c r="Z84" i="56"/>
  <c r="Y84" i="56"/>
  <c r="X84" i="56"/>
  <c r="W84" i="56"/>
  <c r="V84" i="56"/>
  <c r="U84" i="56"/>
  <c r="T84" i="56"/>
  <c r="S84" i="56"/>
  <c r="R84" i="56"/>
  <c r="Q84" i="56"/>
  <c r="AA83" i="56"/>
  <c r="Z83" i="56"/>
  <c r="Y83" i="56"/>
  <c r="X83" i="56"/>
  <c r="W83" i="56"/>
  <c r="V83" i="56"/>
  <c r="U83" i="56"/>
  <c r="T83" i="56"/>
  <c r="S83" i="56"/>
  <c r="R83" i="56"/>
  <c r="Q83" i="56"/>
  <c r="P83" i="56"/>
  <c r="O83" i="56"/>
  <c r="N83" i="56"/>
  <c r="AA82" i="56"/>
  <c r="Z82" i="56"/>
  <c r="Y82" i="56"/>
  <c r="X82" i="56"/>
  <c r="W82" i="56"/>
  <c r="V82" i="56"/>
  <c r="U82" i="56"/>
  <c r="T82" i="56"/>
  <c r="S82" i="56"/>
  <c r="R82" i="56"/>
  <c r="Q82" i="56"/>
  <c r="AA81" i="56"/>
  <c r="Z81" i="56"/>
  <c r="Y81" i="56"/>
  <c r="X81" i="56"/>
  <c r="W81" i="56"/>
  <c r="V81" i="56"/>
  <c r="U81" i="56"/>
  <c r="T81" i="56"/>
  <c r="S81" i="56"/>
  <c r="R81" i="56"/>
  <c r="Q81" i="56"/>
  <c r="AA80" i="56"/>
  <c r="Z80" i="56"/>
  <c r="Y80" i="56"/>
  <c r="X80" i="56"/>
  <c r="W80" i="56"/>
  <c r="V80" i="56"/>
  <c r="U80" i="56"/>
  <c r="T80" i="56"/>
  <c r="S80" i="56"/>
  <c r="R80" i="56"/>
  <c r="Q80" i="56"/>
  <c r="AA79" i="56"/>
  <c r="Z79" i="56"/>
  <c r="Y79" i="56"/>
  <c r="X79" i="56"/>
  <c r="W79" i="56"/>
  <c r="V79" i="56"/>
  <c r="U79" i="56"/>
  <c r="T79" i="56"/>
  <c r="S79" i="56"/>
  <c r="R79" i="56"/>
  <c r="Q79" i="56"/>
  <c r="AA78" i="56"/>
  <c r="Z78" i="56"/>
  <c r="Y78" i="56"/>
  <c r="X78" i="56"/>
  <c r="W78" i="56"/>
  <c r="V78" i="56"/>
  <c r="U78" i="56"/>
  <c r="T78" i="56"/>
  <c r="S78" i="56"/>
  <c r="R78" i="56"/>
  <c r="Q78" i="56"/>
  <c r="AA76" i="56"/>
  <c r="Z76" i="56"/>
  <c r="Y76" i="56"/>
  <c r="X76" i="56"/>
  <c r="W76" i="56"/>
  <c r="V76" i="56"/>
  <c r="U76" i="56"/>
  <c r="T76" i="56"/>
  <c r="S76" i="56"/>
  <c r="R76" i="56"/>
  <c r="Q76" i="56"/>
  <c r="AA74" i="56"/>
  <c r="Z74" i="56"/>
  <c r="Y74" i="56"/>
  <c r="X74" i="56"/>
  <c r="W74" i="56"/>
  <c r="V74" i="56"/>
  <c r="U74" i="56"/>
  <c r="T74" i="56"/>
  <c r="S74" i="56"/>
  <c r="R74" i="56"/>
  <c r="Q74" i="56"/>
  <c r="AA73" i="56"/>
  <c r="Z73" i="56"/>
  <c r="Y73" i="56"/>
  <c r="X73" i="56"/>
  <c r="W73" i="56"/>
  <c r="V73" i="56"/>
  <c r="U73" i="56"/>
  <c r="T73" i="56"/>
  <c r="S73" i="56"/>
  <c r="R73" i="56"/>
  <c r="Q73" i="56"/>
  <c r="AA72" i="56"/>
  <c r="Z72" i="56"/>
  <c r="Y72" i="56"/>
  <c r="X72" i="56"/>
  <c r="W72" i="56"/>
  <c r="V72" i="56"/>
  <c r="U72" i="56"/>
  <c r="T72" i="56"/>
  <c r="S72" i="56"/>
  <c r="R72" i="56"/>
  <c r="Q72" i="56"/>
  <c r="AA70" i="56"/>
  <c r="Z70" i="56"/>
  <c r="Y70" i="56"/>
  <c r="X70" i="56"/>
  <c r="W70" i="56"/>
  <c r="V70" i="56"/>
  <c r="U70" i="56"/>
  <c r="T70" i="56"/>
  <c r="S70" i="56"/>
  <c r="R70" i="56"/>
  <c r="Q70" i="56"/>
  <c r="AA68" i="56"/>
  <c r="Z68" i="56"/>
  <c r="Y68" i="56"/>
  <c r="X68" i="56"/>
  <c r="W68" i="56"/>
  <c r="V68" i="56"/>
  <c r="U68" i="56"/>
  <c r="T68" i="56"/>
  <c r="S68" i="56"/>
  <c r="R68" i="56"/>
  <c r="Q68" i="56"/>
  <c r="O68" i="56"/>
  <c r="M68" i="56"/>
  <c r="L68" i="56"/>
  <c r="K68" i="56"/>
  <c r="J68" i="56"/>
  <c r="I68" i="56"/>
  <c r="H68" i="56"/>
  <c r="G68" i="56"/>
  <c r="AA67" i="56"/>
  <c r="Z67" i="56"/>
  <c r="Y67" i="56"/>
  <c r="X67" i="56"/>
  <c r="W67" i="56"/>
  <c r="V67" i="56"/>
  <c r="U67" i="56"/>
  <c r="T67" i="56"/>
  <c r="S67" i="56"/>
  <c r="R67" i="56"/>
  <c r="Q67" i="56"/>
  <c r="AA65" i="56"/>
  <c r="Z65" i="56"/>
  <c r="Y65" i="56"/>
  <c r="X65" i="56"/>
  <c r="W65" i="56"/>
  <c r="V65" i="56"/>
  <c r="U65" i="56"/>
  <c r="T65" i="56"/>
  <c r="S65" i="56"/>
  <c r="R65" i="56"/>
  <c r="Q65" i="56"/>
  <c r="AA63" i="56"/>
  <c r="Z63" i="56"/>
  <c r="Y63" i="56"/>
  <c r="X63" i="56"/>
  <c r="W63" i="56"/>
  <c r="V63" i="56"/>
  <c r="U63" i="56"/>
  <c r="T63" i="56"/>
  <c r="S63" i="56"/>
  <c r="R63" i="56"/>
  <c r="Q63" i="56"/>
  <c r="AA62" i="56"/>
  <c r="Z62" i="56"/>
  <c r="Y62" i="56"/>
  <c r="X62" i="56"/>
  <c r="W62" i="56"/>
  <c r="V62" i="56"/>
  <c r="U62" i="56"/>
  <c r="T62" i="56"/>
  <c r="S62" i="56"/>
  <c r="R62" i="56"/>
  <c r="Q62" i="56"/>
  <c r="O62" i="56"/>
  <c r="M62" i="56"/>
  <c r="AA61" i="56"/>
  <c r="Z61" i="56"/>
  <c r="Y61" i="56"/>
  <c r="X61" i="56"/>
  <c r="W61" i="56"/>
  <c r="V61" i="56"/>
  <c r="U61" i="56"/>
  <c r="T61" i="56"/>
  <c r="S61" i="56"/>
  <c r="R61" i="56"/>
  <c r="Q61" i="56"/>
  <c r="AA60" i="56"/>
  <c r="Z60" i="56"/>
  <c r="Y60" i="56"/>
  <c r="X60" i="56"/>
  <c r="W60" i="56"/>
  <c r="V60" i="56"/>
  <c r="U60" i="56"/>
  <c r="T60" i="56"/>
  <c r="S60" i="56"/>
  <c r="R60" i="56"/>
  <c r="Q60" i="56"/>
  <c r="AA59" i="56"/>
  <c r="Z59" i="56"/>
  <c r="Y59" i="56"/>
  <c r="X59" i="56"/>
  <c r="W59" i="56"/>
  <c r="V59" i="56"/>
  <c r="U59" i="56"/>
  <c r="T59" i="56"/>
  <c r="S59" i="56"/>
  <c r="R59" i="56"/>
  <c r="Q59" i="56"/>
  <c r="AA58" i="56"/>
  <c r="Z58" i="56"/>
  <c r="Y58" i="56"/>
  <c r="X58" i="56"/>
  <c r="W58" i="56"/>
  <c r="V58" i="56"/>
  <c r="U58" i="56"/>
  <c r="T58" i="56"/>
  <c r="S58" i="56"/>
  <c r="R58" i="56"/>
  <c r="Q58" i="56"/>
  <c r="AA56" i="56"/>
  <c r="Z56" i="56"/>
  <c r="Y56" i="56"/>
  <c r="X56" i="56"/>
  <c r="W56" i="56"/>
  <c r="V56" i="56"/>
  <c r="U56" i="56"/>
  <c r="T56" i="56"/>
  <c r="S56" i="56"/>
  <c r="R56" i="56"/>
  <c r="Q56" i="56"/>
  <c r="AA54" i="56"/>
  <c r="Z54" i="56"/>
  <c r="Y54" i="56"/>
  <c r="X54" i="56"/>
  <c r="W54" i="56"/>
  <c r="V54" i="56"/>
  <c r="U54" i="56"/>
  <c r="T54" i="56"/>
  <c r="S54" i="56"/>
  <c r="R54" i="56"/>
  <c r="Q54" i="56"/>
  <c r="AA53" i="56"/>
  <c r="Z53" i="56"/>
  <c r="Y53" i="56"/>
  <c r="X53" i="56"/>
  <c r="W53" i="56"/>
  <c r="V53" i="56"/>
  <c r="U53" i="56"/>
  <c r="T53" i="56"/>
  <c r="S53" i="56"/>
  <c r="R53" i="56"/>
  <c r="Q53" i="56"/>
  <c r="AA52" i="56"/>
  <c r="Z52" i="56"/>
  <c r="Y52" i="56"/>
  <c r="X52" i="56"/>
  <c r="W52" i="56"/>
  <c r="V52" i="56"/>
  <c r="U52" i="56"/>
  <c r="T52" i="56"/>
  <c r="S52" i="56"/>
  <c r="R52" i="56"/>
  <c r="Q52" i="56"/>
  <c r="P52" i="56"/>
  <c r="O52" i="56"/>
  <c r="AA51" i="56"/>
  <c r="Z51" i="56"/>
  <c r="Y51" i="56"/>
  <c r="X51" i="56"/>
  <c r="W51" i="56"/>
  <c r="V51" i="56"/>
  <c r="U51" i="56"/>
  <c r="T51" i="56"/>
  <c r="S51" i="56"/>
  <c r="R51" i="56"/>
  <c r="Q51" i="56"/>
  <c r="AA49" i="56"/>
  <c r="Z49" i="56"/>
  <c r="Y49" i="56"/>
  <c r="X49" i="56"/>
  <c r="W49" i="56"/>
  <c r="V49" i="56"/>
  <c r="U49" i="56"/>
  <c r="T49" i="56"/>
  <c r="S49" i="56"/>
  <c r="R49" i="56"/>
  <c r="Q49" i="56"/>
  <c r="AA41" i="56"/>
  <c r="Z41" i="56"/>
  <c r="Y41" i="56"/>
  <c r="X41" i="56"/>
  <c r="W41" i="56"/>
  <c r="V41" i="56"/>
  <c r="U41" i="56"/>
  <c r="T41" i="56"/>
  <c r="S41" i="56"/>
  <c r="R41" i="56"/>
  <c r="Q41" i="56"/>
  <c r="AA40" i="56"/>
  <c r="Z40" i="56"/>
  <c r="Y40" i="56"/>
  <c r="X40" i="56"/>
  <c r="W40" i="56"/>
  <c r="V40" i="56"/>
  <c r="U40" i="56"/>
  <c r="T40" i="56"/>
  <c r="S40" i="56"/>
  <c r="R40" i="56"/>
  <c r="Q40" i="56"/>
  <c r="AA39" i="56"/>
  <c r="Z39" i="56"/>
  <c r="Y39" i="56"/>
  <c r="X39" i="56"/>
  <c r="W39" i="56"/>
  <c r="V39" i="56"/>
  <c r="U39" i="56"/>
  <c r="T39" i="56"/>
  <c r="S39" i="56"/>
  <c r="R39" i="56"/>
  <c r="Q39" i="56"/>
  <c r="P39" i="56"/>
  <c r="N39" i="56"/>
  <c r="M39" i="56"/>
  <c r="L39" i="56"/>
  <c r="K39" i="56"/>
  <c r="J39" i="56"/>
  <c r="AA38" i="56"/>
  <c r="Z38" i="56"/>
  <c r="Y38" i="56"/>
  <c r="X38" i="56"/>
  <c r="W38" i="56"/>
  <c r="V38" i="56"/>
  <c r="U38" i="56"/>
  <c r="T38" i="56"/>
  <c r="S38" i="56"/>
  <c r="R38" i="56"/>
  <c r="Q38" i="56"/>
  <c r="AA37" i="56"/>
  <c r="Z37" i="56"/>
  <c r="Y37" i="56"/>
  <c r="X37" i="56"/>
  <c r="W37" i="56"/>
  <c r="V37" i="56"/>
  <c r="U37" i="56"/>
  <c r="T37" i="56"/>
  <c r="S37" i="56"/>
  <c r="R37" i="56"/>
  <c r="Q37" i="56"/>
  <c r="AA36" i="56"/>
  <c r="Z36" i="56"/>
  <c r="Y36" i="56"/>
  <c r="X36" i="56"/>
  <c r="W36" i="56"/>
  <c r="V36" i="56"/>
  <c r="U36" i="56"/>
  <c r="T36" i="56"/>
  <c r="S36" i="56"/>
  <c r="R36" i="56"/>
  <c r="Q36" i="56"/>
  <c r="AA35" i="56"/>
  <c r="Z35" i="56"/>
  <c r="Y35" i="56"/>
  <c r="X35" i="56"/>
  <c r="W35" i="56"/>
  <c r="V35" i="56"/>
  <c r="U35" i="56"/>
  <c r="T35" i="56"/>
  <c r="S35" i="56"/>
  <c r="R35" i="56"/>
  <c r="Q35" i="56"/>
  <c r="I35" i="56"/>
  <c r="AA33" i="56"/>
  <c r="Z33" i="56"/>
  <c r="Y33" i="56"/>
  <c r="X33" i="56"/>
  <c r="W33" i="56"/>
  <c r="V33" i="56"/>
  <c r="U33" i="56"/>
  <c r="T33" i="56"/>
  <c r="S33" i="56"/>
  <c r="R33" i="56"/>
  <c r="Q33" i="56"/>
  <c r="AA31" i="56"/>
  <c r="Z31" i="56"/>
  <c r="Y31" i="56"/>
  <c r="X31" i="56"/>
  <c r="W31" i="56"/>
  <c r="V31" i="56"/>
  <c r="U31" i="56"/>
  <c r="T31" i="56"/>
  <c r="S31" i="56"/>
  <c r="R31" i="56"/>
  <c r="Q31" i="56"/>
  <c r="AA30" i="56"/>
  <c r="AA29" i="56"/>
  <c r="AA28" i="56"/>
  <c r="AA27" i="56"/>
  <c r="AA26" i="56"/>
  <c r="Z26" i="56"/>
  <c r="Y26" i="56"/>
  <c r="X26" i="56"/>
  <c r="W26" i="56"/>
  <c r="V26" i="56"/>
  <c r="U26" i="56"/>
  <c r="T26" i="56"/>
  <c r="S26" i="56"/>
  <c r="R26" i="56"/>
  <c r="Q26" i="56"/>
  <c r="AA25" i="56"/>
  <c r="Z25" i="56"/>
  <c r="Y25" i="56"/>
  <c r="X25" i="56"/>
  <c r="W25" i="56"/>
  <c r="V25" i="56"/>
  <c r="U25" i="56"/>
  <c r="T25" i="56"/>
  <c r="S25" i="56"/>
  <c r="R25" i="56"/>
  <c r="Q25" i="56"/>
  <c r="AA24" i="56"/>
  <c r="Z24" i="56"/>
  <c r="Y24" i="56"/>
  <c r="X24" i="56"/>
  <c r="W24" i="56"/>
  <c r="V24" i="56"/>
  <c r="U24" i="56"/>
  <c r="T24" i="56"/>
  <c r="S24" i="56"/>
  <c r="R24" i="56"/>
  <c r="Q24" i="56"/>
  <c r="AA23" i="56"/>
  <c r="Z23" i="56"/>
  <c r="Y23" i="56"/>
  <c r="X23" i="56"/>
  <c r="W23" i="56"/>
  <c r="V23" i="56"/>
  <c r="U23" i="56"/>
  <c r="T23" i="56"/>
  <c r="S23" i="56"/>
  <c r="R23" i="56"/>
  <c r="Q23" i="56"/>
  <c r="AA21" i="56"/>
  <c r="Z21" i="56"/>
  <c r="Y21" i="56"/>
  <c r="X21" i="56"/>
  <c r="W21" i="56"/>
  <c r="V21" i="56"/>
  <c r="U21" i="56"/>
  <c r="T21" i="56"/>
  <c r="S21" i="56"/>
  <c r="R21" i="56"/>
  <c r="Q21" i="56"/>
  <c r="AA19" i="56"/>
  <c r="Z19" i="56"/>
  <c r="Y19" i="56"/>
  <c r="X19" i="56"/>
  <c r="W19" i="56"/>
  <c r="V19" i="56"/>
  <c r="U19" i="56"/>
  <c r="T19" i="56"/>
  <c r="S19" i="56"/>
  <c r="R19" i="56"/>
  <c r="Q19" i="56"/>
  <c r="AA18" i="56"/>
  <c r="Z18" i="56"/>
  <c r="Y18" i="56"/>
  <c r="X18" i="56"/>
  <c r="W18" i="56"/>
  <c r="V18" i="56"/>
  <c r="U18" i="56"/>
  <c r="T18" i="56"/>
  <c r="S18" i="56"/>
  <c r="R18" i="56"/>
  <c r="Q18" i="56"/>
  <c r="AA17" i="56"/>
  <c r="Z17" i="56"/>
  <c r="Y17" i="56"/>
  <c r="X17" i="56"/>
  <c r="W17" i="56"/>
  <c r="V17" i="56"/>
  <c r="U17" i="56"/>
  <c r="T17" i="56"/>
  <c r="S17" i="56"/>
  <c r="R17" i="56"/>
  <c r="Q17" i="56"/>
  <c r="AA16" i="56"/>
  <c r="Z16" i="56"/>
  <c r="Y16" i="56"/>
  <c r="X16" i="56"/>
  <c r="W16" i="56"/>
  <c r="V16" i="56"/>
  <c r="U16" i="56"/>
  <c r="T16" i="56"/>
  <c r="S16" i="56"/>
  <c r="R16" i="56"/>
  <c r="Q16" i="56"/>
  <c r="AA15" i="56"/>
  <c r="Z15" i="56"/>
  <c r="Y15" i="56"/>
  <c r="X15" i="56"/>
  <c r="W15" i="56"/>
  <c r="V15" i="56"/>
  <c r="U15" i="56"/>
  <c r="T15" i="56"/>
  <c r="S15" i="56"/>
  <c r="R15" i="56"/>
  <c r="Q15" i="56"/>
  <c r="AA14" i="56"/>
  <c r="Z14" i="56"/>
  <c r="Y14" i="56"/>
  <c r="X14" i="56"/>
  <c r="W14" i="56"/>
  <c r="V14" i="56"/>
  <c r="U14" i="56"/>
  <c r="T14" i="56"/>
  <c r="S14" i="56"/>
  <c r="R14" i="56"/>
  <c r="Q14" i="56"/>
  <c r="AA13" i="56"/>
  <c r="Z13" i="56"/>
  <c r="Y13" i="56"/>
  <c r="X13" i="56"/>
  <c r="W13" i="56"/>
  <c r="V13" i="56"/>
  <c r="U13" i="56"/>
  <c r="T13" i="56"/>
  <c r="S13" i="56"/>
  <c r="R13" i="56"/>
  <c r="Q13" i="56"/>
  <c r="AA12" i="56"/>
  <c r="Z12" i="56"/>
  <c r="Y12" i="56"/>
  <c r="X12" i="56"/>
  <c r="W12" i="56"/>
  <c r="V12" i="56"/>
  <c r="U12" i="56"/>
  <c r="T12" i="56"/>
  <c r="S12" i="56"/>
  <c r="R12" i="56"/>
  <c r="Q12" i="56"/>
  <c r="AA10" i="56"/>
  <c r="Z10" i="56"/>
  <c r="Y10" i="56"/>
  <c r="X10" i="56"/>
  <c r="W10" i="56"/>
  <c r="V10" i="56"/>
  <c r="U10" i="56"/>
  <c r="T10" i="56"/>
  <c r="S10" i="56"/>
  <c r="R10" i="56"/>
  <c r="Q10" i="56"/>
  <c r="E8" i="54" l="1"/>
  <c r="E10" i="54"/>
  <c r="E11" i="54"/>
  <c r="E12" i="54"/>
  <c r="E13" i="54"/>
  <c r="E14" i="54"/>
  <c r="E15" i="54"/>
  <c r="E16" i="54"/>
  <c r="E18" i="54"/>
  <c r="E19" i="54"/>
  <c r="E20" i="54"/>
  <c r="E21" i="54"/>
  <c r="E23" i="54"/>
  <c r="E24" i="54"/>
  <c r="E26" i="54"/>
  <c r="E27" i="54"/>
  <c r="E29" i="54"/>
  <c r="E30" i="54"/>
  <c r="E32" i="54"/>
  <c r="E33" i="54"/>
  <c r="E35" i="54"/>
  <c r="E36" i="54"/>
  <c r="E37" i="54"/>
  <c r="E39" i="54"/>
  <c r="E40" i="54"/>
  <c r="E42" i="54"/>
  <c r="E43" i="54"/>
  <c r="E44" i="54"/>
  <c r="E45" i="54"/>
  <c r="E47" i="54"/>
  <c r="E48" i="54"/>
  <c r="E49" i="54"/>
  <c r="E50" i="54"/>
  <c r="E57" i="54"/>
  <c r="E59" i="54"/>
  <c r="E60" i="54"/>
  <c r="E61" i="54"/>
  <c r="E62" i="54"/>
  <c r="E64" i="54"/>
  <c r="E65" i="54"/>
  <c r="E66" i="54"/>
  <c r="E68" i="54"/>
  <c r="E69" i="54"/>
  <c r="E70" i="54"/>
  <c r="E71" i="54"/>
  <c r="E72" i="54"/>
  <c r="E74" i="54"/>
  <c r="E75" i="54"/>
  <c r="E77" i="54"/>
  <c r="E78" i="54"/>
  <c r="E79" i="54"/>
  <c r="E81" i="54"/>
  <c r="E82" i="54"/>
  <c r="E83" i="54"/>
  <c r="E85" i="54"/>
  <c r="E86" i="54"/>
  <c r="E87" i="54"/>
  <c r="E88" i="54"/>
  <c r="E90" i="54"/>
  <c r="E91" i="54"/>
  <c r="C29" i="54"/>
  <c r="C30" i="54"/>
  <c r="C32" i="54"/>
  <c r="C33" i="54"/>
  <c r="C35" i="54"/>
  <c r="C36" i="54"/>
  <c r="C37" i="54"/>
  <c r="C39" i="54"/>
  <c r="C40" i="54"/>
  <c r="C42" i="54"/>
  <c r="C43" i="54"/>
  <c r="C44" i="54"/>
  <c r="C45" i="54"/>
  <c r="C47" i="54"/>
  <c r="C48" i="54"/>
  <c r="C49" i="54"/>
  <c r="C50" i="54"/>
  <c r="C57" i="54"/>
  <c r="C59" i="54"/>
  <c r="C60" i="54"/>
  <c r="C61" i="54"/>
  <c r="C62" i="54"/>
  <c r="C64" i="54"/>
  <c r="C65" i="54"/>
  <c r="C66" i="54"/>
  <c r="C68" i="54"/>
  <c r="C69" i="54"/>
  <c r="C70" i="54"/>
  <c r="C71" i="54"/>
  <c r="C72" i="54"/>
  <c r="C74" i="54"/>
  <c r="C75" i="54"/>
  <c r="C77" i="54"/>
  <c r="C78" i="54"/>
  <c r="C79" i="54"/>
  <c r="C81" i="54"/>
  <c r="C82" i="54"/>
  <c r="C83" i="54"/>
  <c r="C85" i="54"/>
  <c r="C86" i="54"/>
  <c r="C87" i="54"/>
  <c r="C88" i="54"/>
  <c r="C90" i="54"/>
  <c r="C91" i="54"/>
  <c r="C23" i="54"/>
  <c r="C24" i="54"/>
  <c r="C26" i="54"/>
  <c r="C27" i="54"/>
  <c r="C18" i="54"/>
  <c r="C19" i="54"/>
  <c r="C20" i="54"/>
  <c r="C21" i="54"/>
  <c r="C10" i="54"/>
  <c r="C11" i="54"/>
  <c r="C12" i="54"/>
  <c r="C13" i="54"/>
  <c r="C14" i="54"/>
  <c r="C15" i="54"/>
  <c r="C16" i="54"/>
  <c r="C8" i="54"/>
  <c r="D44" i="53" l="1"/>
  <c r="K44" i="53"/>
  <c r="K43" i="53"/>
  <c r="K42" i="53"/>
  <c r="K41" i="53"/>
  <c r="D40" i="53"/>
  <c r="K40" i="53"/>
  <c r="K39" i="53"/>
  <c r="K38" i="53"/>
  <c r="K37" i="53"/>
  <c r="D36" i="53"/>
  <c r="K36" i="53"/>
  <c r="K35" i="53"/>
  <c r="D32" i="53"/>
  <c r="D28" i="53"/>
  <c r="D24" i="53"/>
  <c r="J21" i="53"/>
  <c r="D20" i="53"/>
  <c r="F10" i="53"/>
  <c r="F9" i="53"/>
  <c r="F8" i="53"/>
  <c r="H20" i="53" l="1"/>
  <c r="H24" i="53"/>
  <c r="H28" i="53"/>
  <c r="H32" i="53"/>
  <c r="H36" i="53"/>
  <c r="H40" i="53"/>
  <c r="H44" i="53"/>
  <c r="F17" i="53"/>
  <c r="J19" i="53"/>
  <c r="D9" i="53"/>
  <c r="D22" i="53"/>
  <c r="J23" i="53"/>
  <c r="D13" i="53"/>
  <c r="F19" i="53"/>
  <c r="H16" i="53"/>
  <c r="D8" i="53"/>
  <c r="D12" i="53"/>
  <c r="D16" i="53"/>
  <c r="H12" i="53"/>
  <c r="H22" i="53"/>
  <c r="F23" i="53"/>
  <c r="D26" i="53"/>
  <c r="D34" i="53"/>
  <c r="F15" i="53"/>
  <c r="J15" i="53"/>
  <c r="H18" i="53"/>
  <c r="D18" i="53"/>
  <c r="D30" i="53"/>
  <c r="D38" i="53"/>
  <c r="D42" i="53"/>
  <c r="H13" i="53"/>
  <c r="H26" i="53"/>
  <c r="H30" i="53"/>
  <c r="H34" i="53"/>
  <c r="H38" i="53"/>
  <c r="H42" i="53"/>
  <c r="J17" i="53"/>
  <c r="H9" i="53"/>
  <c r="H11" i="53"/>
  <c r="F21" i="53"/>
  <c r="J14" i="53"/>
  <c r="F14" i="53"/>
  <c r="J8" i="53"/>
  <c r="D10" i="53"/>
  <c r="J12" i="53"/>
  <c r="D14" i="53"/>
  <c r="J9" i="53"/>
  <c r="H10" i="53"/>
  <c r="D11" i="53"/>
  <c r="F13" i="53"/>
  <c r="J13" i="53"/>
  <c r="H15" i="53"/>
  <c r="D15" i="53"/>
  <c r="H19" i="53"/>
  <c r="D19" i="53"/>
  <c r="H23" i="53"/>
  <c r="D23" i="53"/>
  <c r="J10" i="53"/>
  <c r="H8" i="53"/>
  <c r="J11" i="53"/>
  <c r="H14" i="53"/>
  <c r="H17" i="53"/>
  <c r="D17" i="53"/>
  <c r="H21" i="53"/>
  <c r="D21" i="53"/>
  <c r="F16" i="53"/>
  <c r="J16" i="53"/>
  <c r="F18" i="53"/>
  <c r="J18" i="53"/>
  <c r="F20" i="53"/>
  <c r="J20" i="53"/>
  <c r="F22" i="53"/>
  <c r="J22" i="53"/>
  <c r="F24" i="53"/>
  <c r="J24" i="53"/>
  <c r="D25" i="53"/>
  <c r="H25" i="53"/>
  <c r="F26" i="53"/>
  <c r="J26" i="53"/>
  <c r="D27" i="53"/>
  <c r="H27" i="53"/>
  <c r="F28" i="53"/>
  <c r="J28" i="53"/>
  <c r="D29" i="53"/>
  <c r="H29" i="53"/>
  <c r="F30" i="53"/>
  <c r="J30" i="53"/>
  <c r="D31" i="53"/>
  <c r="H31" i="53"/>
  <c r="F32" i="53"/>
  <c r="J32" i="53"/>
  <c r="D33" i="53"/>
  <c r="H33" i="53"/>
  <c r="F34" i="53"/>
  <c r="J34" i="53"/>
  <c r="D35" i="53"/>
  <c r="H35" i="53"/>
  <c r="F36" i="53"/>
  <c r="J36" i="53"/>
  <c r="D37" i="53"/>
  <c r="H37" i="53"/>
  <c r="F38" i="53"/>
  <c r="J38" i="53"/>
  <c r="D39" i="53"/>
  <c r="H39" i="53"/>
  <c r="F40" i="53"/>
  <c r="J40" i="53"/>
  <c r="D41" i="53"/>
  <c r="H41" i="53"/>
  <c r="F42" i="53"/>
  <c r="J42" i="53"/>
  <c r="D43" i="53"/>
  <c r="H43" i="53"/>
  <c r="F44" i="53"/>
  <c r="J44" i="53"/>
  <c r="D45" i="53"/>
  <c r="H45" i="53"/>
  <c r="F25" i="53"/>
  <c r="J25" i="53"/>
  <c r="F27" i="53"/>
  <c r="J27" i="53"/>
  <c r="F29" i="53"/>
  <c r="J29" i="53"/>
  <c r="F31" i="53"/>
  <c r="J31" i="53"/>
  <c r="F33" i="53"/>
  <c r="J33" i="53"/>
  <c r="F35" i="53"/>
  <c r="J35" i="53"/>
  <c r="F37" i="53"/>
  <c r="J37" i="53"/>
  <c r="F39" i="53"/>
  <c r="J39" i="53"/>
  <c r="F41" i="53"/>
  <c r="J41" i="53"/>
  <c r="F43" i="53"/>
  <c r="J43" i="53"/>
  <c r="F45" i="53"/>
  <c r="J45" i="53"/>
  <c r="B7" i="38" l="1"/>
  <c r="C7" i="38"/>
  <c r="D7" i="38"/>
  <c r="E7" i="38"/>
  <c r="E7" i="39" l="1"/>
  <c r="D7" i="39"/>
  <c r="C7" i="39"/>
  <c r="D11" i="38" l="1"/>
  <c r="C11" i="38"/>
  <c r="G84" i="50" l="1"/>
  <c r="E92" i="54" l="1"/>
  <c r="C92" i="54"/>
  <c r="AA150" i="27"/>
  <c r="AA149" i="27"/>
  <c r="AA147" i="27"/>
  <c r="F14" i="8" l="1"/>
  <c r="F15" i="8" l="1"/>
  <c r="G16" i="8" l="1"/>
  <c r="G15" i="8"/>
  <c r="F9" i="8"/>
  <c r="G17" i="8" l="1"/>
  <c r="F16" i="8"/>
  <c r="F17" i="8" s="1"/>
  <c r="C10" i="39"/>
  <c r="C12" i="39" s="1"/>
  <c r="B10" i="39"/>
  <c r="B12" i="39" s="1"/>
  <c r="E58" i="13" l="1"/>
  <c r="E54" i="13"/>
  <c r="E48" i="13"/>
  <c r="E44" i="13"/>
  <c r="D44" i="13"/>
  <c r="E37" i="13"/>
  <c r="D37" i="13"/>
  <c r="E32" i="13"/>
  <c r="D32" i="13"/>
  <c r="H25" i="7" l="1"/>
  <c r="G25" i="7"/>
  <c r="F25" i="7"/>
  <c r="F24" i="7"/>
  <c r="C24" i="7"/>
  <c r="D24" i="7"/>
  <c r="E24" i="7"/>
  <c r="C25" i="7"/>
  <c r="D25" i="7"/>
  <c r="E25" i="7"/>
  <c r="H14" i="7"/>
  <c r="H9" i="7"/>
  <c r="G14" i="7"/>
  <c r="G9" i="7"/>
  <c r="H26" i="7" l="1"/>
  <c r="I26" i="7"/>
  <c r="F44" i="12" l="1"/>
  <c r="F41" i="12"/>
  <c r="F33" i="12"/>
  <c r="F27" i="12"/>
  <c r="F20" i="12"/>
  <c r="F45" i="12" l="1"/>
  <c r="H29" i="28" l="1"/>
  <c r="B7" i="39" l="1"/>
  <c r="B11" i="38"/>
  <c r="R10" i="35"/>
  <c r="S10" i="35"/>
  <c r="T10" i="35"/>
  <c r="U10" i="35"/>
  <c r="V10" i="35"/>
  <c r="W10" i="35"/>
  <c r="X10" i="35"/>
  <c r="Y10" i="35"/>
  <c r="Z10" i="35"/>
  <c r="AA10" i="35"/>
  <c r="R12" i="35"/>
  <c r="S12" i="35"/>
  <c r="T12" i="35"/>
  <c r="U12" i="35"/>
  <c r="V12" i="35"/>
  <c r="W12" i="35"/>
  <c r="X12" i="35"/>
  <c r="Y12" i="35"/>
  <c r="Z12" i="35"/>
  <c r="AA12" i="35"/>
  <c r="R13" i="35"/>
  <c r="S13" i="35"/>
  <c r="T13" i="35"/>
  <c r="U13" i="35"/>
  <c r="V13" i="35"/>
  <c r="W13" i="35"/>
  <c r="X13" i="35"/>
  <c r="Y13" i="35"/>
  <c r="Z13" i="35"/>
  <c r="AA13" i="35"/>
  <c r="S14" i="35"/>
  <c r="S15" i="35"/>
  <c r="S16" i="35"/>
  <c r="R17" i="35"/>
  <c r="S17" i="35"/>
  <c r="T17" i="35"/>
  <c r="U17" i="35"/>
  <c r="V17" i="35"/>
  <c r="W17" i="35"/>
  <c r="X17" i="35"/>
  <c r="Y17" i="35"/>
  <c r="Z17" i="35"/>
  <c r="AA17" i="35"/>
  <c r="R18" i="35"/>
  <c r="S18" i="35"/>
  <c r="T18" i="35"/>
  <c r="U18" i="35"/>
  <c r="V18" i="35"/>
  <c r="W18" i="35"/>
  <c r="X18" i="35"/>
  <c r="Y18" i="35"/>
  <c r="Z18" i="35"/>
  <c r="AA18" i="35"/>
  <c r="R19" i="35"/>
  <c r="S19" i="35"/>
  <c r="T19" i="35"/>
  <c r="U19" i="35"/>
  <c r="V19" i="35"/>
  <c r="W19" i="35"/>
  <c r="X19" i="35"/>
  <c r="Y19" i="35"/>
  <c r="Z19" i="35"/>
  <c r="AA19" i="35"/>
  <c r="R21" i="35"/>
  <c r="S21" i="35"/>
  <c r="T21" i="35"/>
  <c r="U21" i="35"/>
  <c r="V21" i="35"/>
  <c r="W21" i="35"/>
  <c r="X21" i="35"/>
  <c r="Y21" i="35"/>
  <c r="Z21" i="35"/>
  <c r="AA21" i="35"/>
  <c r="S23" i="35"/>
  <c r="U23" i="35"/>
  <c r="V23" i="35"/>
  <c r="R24" i="35"/>
  <c r="S24" i="35"/>
  <c r="T24" i="35"/>
  <c r="U24" i="35"/>
  <c r="V24" i="35"/>
  <c r="W24" i="35"/>
  <c r="X24" i="35"/>
  <c r="Y24" i="35"/>
  <c r="Z24" i="35"/>
  <c r="AA24" i="35"/>
  <c r="R25" i="35"/>
  <c r="S25" i="35"/>
  <c r="T25" i="35"/>
  <c r="U25" i="35"/>
  <c r="V25" i="35"/>
  <c r="W25" i="35"/>
  <c r="X25" i="35"/>
  <c r="Y25" i="35"/>
  <c r="Z25" i="35"/>
  <c r="AA25" i="35"/>
  <c r="R26" i="35"/>
  <c r="S26" i="35"/>
  <c r="T26" i="35"/>
  <c r="U26" i="35"/>
  <c r="V26" i="35"/>
  <c r="W26" i="35"/>
  <c r="X26" i="35"/>
  <c r="Y26" i="35"/>
  <c r="Z26" i="35"/>
  <c r="AA26" i="35"/>
  <c r="R31" i="35"/>
  <c r="S31" i="35"/>
  <c r="T31" i="35"/>
  <c r="U31" i="35"/>
  <c r="V31" i="35"/>
  <c r="W31" i="35"/>
  <c r="X31" i="35"/>
  <c r="Y31" i="35"/>
  <c r="Z31" i="35"/>
  <c r="AA31" i="35"/>
  <c r="U33" i="35"/>
  <c r="V33" i="35"/>
  <c r="W33" i="35"/>
  <c r="X33" i="35"/>
  <c r="Y33" i="35"/>
  <c r="Z33" i="35"/>
  <c r="AA33" i="35"/>
  <c r="R35" i="35"/>
  <c r="S35" i="35"/>
  <c r="T35" i="35"/>
  <c r="U35" i="35"/>
  <c r="V35" i="35"/>
  <c r="W35" i="35"/>
  <c r="X35" i="35"/>
  <c r="Y35" i="35"/>
  <c r="Z35" i="35"/>
  <c r="AA35" i="35"/>
  <c r="R36" i="35"/>
  <c r="S36" i="35"/>
  <c r="T36" i="35"/>
  <c r="U36" i="35"/>
  <c r="V36" i="35"/>
  <c r="W36" i="35"/>
  <c r="X36" i="35"/>
  <c r="Y36" i="35"/>
  <c r="Z36" i="35"/>
  <c r="AA36" i="35"/>
  <c r="R37" i="35"/>
  <c r="S37" i="35"/>
  <c r="T37" i="35"/>
  <c r="U37" i="35"/>
  <c r="V37" i="35"/>
  <c r="W37" i="35"/>
  <c r="X37" i="35"/>
  <c r="Y37" i="35"/>
  <c r="Z37" i="35"/>
  <c r="AA37" i="35"/>
  <c r="R38" i="35"/>
  <c r="S38" i="35"/>
  <c r="T38" i="35"/>
  <c r="U38" i="35"/>
  <c r="V38" i="35"/>
  <c r="W38" i="35"/>
  <c r="X38" i="35"/>
  <c r="Y38" i="35"/>
  <c r="Z38" i="35"/>
  <c r="AA38" i="35"/>
  <c r="R40" i="35"/>
  <c r="S40" i="35"/>
  <c r="T40" i="35"/>
  <c r="U40" i="35"/>
  <c r="V40" i="35"/>
  <c r="W40" i="35"/>
  <c r="X40" i="35"/>
  <c r="Y40" i="35"/>
  <c r="Z40" i="35"/>
  <c r="AA40" i="35"/>
  <c r="R41" i="35"/>
  <c r="S41" i="35"/>
  <c r="T41" i="35"/>
  <c r="U41" i="35"/>
  <c r="V41" i="35"/>
  <c r="W41" i="35"/>
  <c r="X41" i="35"/>
  <c r="Y41" i="35"/>
  <c r="Z41" i="35"/>
  <c r="AA41" i="35"/>
  <c r="R49" i="35"/>
  <c r="S49" i="35"/>
  <c r="T49" i="35"/>
  <c r="U49" i="35"/>
  <c r="V49" i="35"/>
  <c r="W49" i="35"/>
  <c r="X49" i="35"/>
  <c r="Y49" i="35"/>
  <c r="Z49" i="35"/>
  <c r="AA49" i="35"/>
  <c r="R51" i="35"/>
  <c r="S51" i="35"/>
  <c r="T51" i="35"/>
  <c r="U51" i="35"/>
  <c r="V51" i="35"/>
  <c r="W51" i="35"/>
  <c r="X51" i="35"/>
  <c r="Y51" i="35"/>
  <c r="Z51" i="35"/>
  <c r="AA51" i="35"/>
  <c r="AA52" i="35"/>
  <c r="R53" i="35"/>
  <c r="S53" i="35"/>
  <c r="T53" i="35"/>
  <c r="U53" i="35"/>
  <c r="V53" i="35"/>
  <c r="W53" i="35"/>
  <c r="X53" i="35"/>
  <c r="Y53" i="35"/>
  <c r="Z53" i="35"/>
  <c r="AA53" i="35"/>
  <c r="R54" i="35"/>
  <c r="S54" i="35"/>
  <c r="T54" i="35"/>
  <c r="U54" i="35"/>
  <c r="V54" i="35"/>
  <c r="W54" i="35"/>
  <c r="X54" i="35"/>
  <c r="Y54" i="35"/>
  <c r="Z54" i="35"/>
  <c r="AA54" i="35"/>
  <c r="R56" i="35"/>
  <c r="S56" i="35"/>
  <c r="T56" i="35"/>
  <c r="U56" i="35"/>
  <c r="V56" i="35"/>
  <c r="W56" i="35"/>
  <c r="X56" i="35"/>
  <c r="Y56" i="35"/>
  <c r="Z56" i="35"/>
  <c r="AA56" i="35"/>
  <c r="R58" i="35"/>
  <c r="S58" i="35"/>
  <c r="T58" i="35"/>
  <c r="U58" i="35"/>
  <c r="V58" i="35"/>
  <c r="W58" i="35"/>
  <c r="X58" i="35"/>
  <c r="Y58" i="35"/>
  <c r="Z58" i="35"/>
  <c r="AA58" i="35"/>
  <c r="R59" i="35"/>
  <c r="S59" i="35"/>
  <c r="T59" i="35"/>
  <c r="U59" i="35"/>
  <c r="V59" i="35"/>
  <c r="W59" i="35"/>
  <c r="X59" i="35"/>
  <c r="Y59" i="35"/>
  <c r="Z59" i="35"/>
  <c r="AA59" i="35"/>
  <c r="R60" i="35"/>
  <c r="S60" i="35"/>
  <c r="T60" i="35"/>
  <c r="U60" i="35"/>
  <c r="V60" i="35"/>
  <c r="W60" i="35"/>
  <c r="X60" i="35"/>
  <c r="Y60" i="35"/>
  <c r="Z60" i="35"/>
  <c r="AA60" i="35"/>
  <c r="R61" i="35"/>
  <c r="S61" i="35"/>
  <c r="T61" i="35"/>
  <c r="U61" i="35"/>
  <c r="V61" i="35"/>
  <c r="W61" i="35"/>
  <c r="X61" i="35"/>
  <c r="Y61" i="35"/>
  <c r="Z61" i="35"/>
  <c r="AA61" i="35"/>
  <c r="R62" i="35"/>
  <c r="T62" i="35"/>
  <c r="W62" i="35"/>
  <c r="Y62" i="35"/>
  <c r="Z62" i="35"/>
  <c r="AA62" i="35"/>
  <c r="R63" i="35"/>
  <c r="S63" i="35"/>
  <c r="T63" i="35"/>
  <c r="U63" i="35"/>
  <c r="V63" i="35"/>
  <c r="W63" i="35"/>
  <c r="X63" i="35"/>
  <c r="Y63" i="35"/>
  <c r="Z63" i="35"/>
  <c r="AA63" i="35"/>
  <c r="R65" i="35"/>
  <c r="S65" i="35"/>
  <c r="T65" i="35"/>
  <c r="U65" i="35"/>
  <c r="V65" i="35"/>
  <c r="W65" i="35"/>
  <c r="X65" i="35"/>
  <c r="Y65" i="35"/>
  <c r="Z65" i="35"/>
  <c r="AA65" i="35"/>
  <c r="R67" i="35"/>
  <c r="S67" i="35"/>
  <c r="T67" i="35"/>
  <c r="U67" i="35"/>
  <c r="V67" i="35"/>
  <c r="W67" i="35"/>
  <c r="X67" i="35"/>
  <c r="Y67" i="35"/>
  <c r="Z67" i="35"/>
  <c r="AA67" i="35"/>
  <c r="R68" i="35"/>
  <c r="T68" i="35"/>
  <c r="V68" i="35"/>
  <c r="W68" i="35"/>
  <c r="X68" i="35"/>
  <c r="Y68" i="35"/>
  <c r="Z68" i="35"/>
  <c r="AA68" i="35"/>
  <c r="R70" i="35"/>
  <c r="S70" i="35"/>
  <c r="T70" i="35"/>
  <c r="U70" i="35"/>
  <c r="V70" i="35"/>
  <c r="W70" i="35"/>
  <c r="X70" i="35"/>
  <c r="Y70" i="35"/>
  <c r="Z70" i="35"/>
  <c r="AA70" i="35"/>
  <c r="R72" i="35"/>
  <c r="S72" i="35"/>
  <c r="T72" i="35"/>
  <c r="U72" i="35"/>
  <c r="V72" i="35"/>
  <c r="W72" i="35"/>
  <c r="X72" i="35"/>
  <c r="Y72" i="35"/>
  <c r="Z72" i="35"/>
  <c r="AA72" i="35"/>
  <c r="R73" i="35"/>
  <c r="S73" i="35"/>
  <c r="T73" i="35"/>
  <c r="U73" i="35"/>
  <c r="V73" i="35"/>
  <c r="W73" i="35"/>
  <c r="X73" i="35"/>
  <c r="Y73" i="35"/>
  <c r="Z73" i="35"/>
  <c r="AA73" i="35"/>
  <c r="R74" i="35"/>
  <c r="S74" i="35"/>
  <c r="T74" i="35"/>
  <c r="U74" i="35"/>
  <c r="V74" i="35"/>
  <c r="W74" i="35"/>
  <c r="X74" i="35"/>
  <c r="Y74" i="35"/>
  <c r="Z74" i="35"/>
  <c r="AA74" i="35"/>
  <c r="R76" i="35"/>
  <c r="S76" i="35"/>
  <c r="T76" i="35"/>
  <c r="U76" i="35"/>
  <c r="V76" i="35"/>
  <c r="W76" i="35"/>
  <c r="X76" i="35"/>
  <c r="Y76" i="35"/>
  <c r="Z76" i="35"/>
  <c r="AA76" i="35"/>
  <c r="R78" i="35"/>
  <c r="S78" i="35"/>
  <c r="T78" i="35"/>
  <c r="U78" i="35"/>
  <c r="V78" i="35"/>
  <c r="W78" i="35"/>
  <c r="X78" i="35"/>
  <c r="Y78" i="35"/>
  <c r="Z78" i="35"/>
  <c r="AA78" i="35"/>
  <c r="R79" i="35"/>
  <c r="S79" i="35"/>
  <c r="T79" i="35"/>
  <c r="U79" i="35"/>
  <c r="V79" i="35"/>
  <c r="W79" i="35"/>
  <c r="X79" i="35"/>
  <c r="Y79" i="35"/>
  <c r="Z79" i="35"/>
  <c r="AA79" i="35"/>
  <c r="R80" i="35"/>
  <c r="S80" i="35"/>
  <c r="T80" i="35"/>
  <c r="U80" i="35"/>
  <c r="V80" i="35"/>
  <c r="W80" i="35"/>
  <c r="X80" i="35"/>
  <c r="Y80" i="35"/>
  <c r="Z80" i="35"/>
  <c r="AA80" i="35"/>
  <c r="R81" i="35"/>
  <c r="S81" i="35"/>
  <c r="T81" i="35"/>
  <c r="U81" i="35"/>
  <c r="V81" i="35"/>
  <c r="W81" i="35"/>
  <c r="X81" i="35"/>
  <c r="Y81" i="35"/>
  <c r="Z81" i="35"/>
  <c r="AA81" i="35"/>
  <c r="R82" i="35"/>
  <c r="S82" i="35"/>
  <c r="T82" i="35"/>
  <c r="U82" i="35"/>
  <c r="V82" i="35"/>
  <c r="W82" i="35"/>
  <c r="X82" i="35"/>
  <c r="Y82" i="35"/>
  <c r="Z82" i="35"/>
  <c r="AA82" i="35"/>
  <c r="R83" i="35"/>
  <c r="T83" i="35"/>
  <c r="R84" i="35"/>
  <c r="S84" i="35"/>
  <c r="T84" i="35"/>
  <c r="U84" i="35"/>
  <c r="V84" i="35"/>
  <c r="W84" i="35"/>
  <c r="X84" i="35"/>
  <c r="Y84" i="35"/>
  <c r="Z84" i="35"/>
  <c r="AA84" i="35"/>
  <c r="R85" i="35"/>
  <c r="S85" i="35"/>
  <c r="T85" i="35"/>
  <c r="U85" i="35"/>
  <c r="V85" i="35"/>
  <c r="W85" i="35"/>
  <c r="X85" i="35"/>
  <c r="Y85" i="35"/>
  <c r="Z85" i="35"/>
  <c r="AA85" i="35"/>
  <c r="R93" i="35"/>
  <c r="S93" i="35"/>
  <c r="T93" i="35"/>
  <c r="U93" i="35"/>
  <c r="V93" i="35"/>
  <c r="W93" i="35"/>
  <c r="X93" i="35"/>
  <c r="Y93" i="35"/>
  <c r="Z93" i="35"/>
  <c r="AA93" i="35"/>
  <c r="R95" i="35"/>
  <c r="S95" i="35"/>
  <c r="T95" i="35"/>
  <c r="R96" i="35"/>
  <c r="S96" i="35"/>
  <c r="T96" i="35"/>
  <c r="U96" i="35"/>
  <c r="V96" i="35"/>
  <c r="W96" i="35"/>
  <c r="X96" i="35"/>
  <c r="Y96" i="35"/>
  <c r="Z96" i="35"/>
  <c r="AA96" i="35"/>
  <c r="R97" i="35"/>
  <c r="S97" i="35"/>
  <c r="T97" i="35"/>
  <c r="U97" i="35"/>
  <c r="V97" i="35"/>
  <c r="W97" i="35"/>
  <c r="X97" i="35"/>
  <c r="Y97" i="35"/>
  <c r="Z97" i="35"/>
  <c r="AA97" i="35"/>
  <c r="R98" i="35"/>
  <c r="S98" i="35"/>
  <c r="T98" i="35"/>
  <c r="U98" i="35"/>
  <c r="V98" i="35"/>
  <c r="W98" i="35"/>
  <c r="X98" i="35"/>
  <c r="Y98" i="35"/>
  <c r="Z98" i="35"/>
  <c r="AA98" i="35"/>
  <c r="R99" i="35"/>
  <c r="S99" i="35"/>
  <c r="T99" i="35"/>
  <c r="U99" i="35"/>
  <c r="V99" i="35"/>
  <c r="W99" i="35"/>
  <c r="X99" i="35"/>
  <c r="Y99" i="35"/>
  <c r="Z99" i="35"/>
  <c r="AA99" i="35"/>
  <c r="R101" i="35"/>
  <c r="S101" i="35"/>
  <c r="T101" i="35"/>
  <c r="U101" i="35"/>
  <c r="V101" i="35"/>
  <c r="W101" i="35"/>
  <c r="X101" i="35"/>
  <c r="Y101" i="35"/>
  <c r="Z101" i="35"/>
  <c r="AA101" i="35"/>
  <c r="R102" i="35"/>
  <c r="S102" i="35"/>
  <c r="T102" i="35"/>
  <c r="U102" i="35"/>
  <c r="V102" i="35"/>
  <c r="W102" i="35"/>
  <c r="X102" i="35"/>
  <c r="Y102" i="35"/>
  <c r="Z102" i="35"/>
  <c r="AA102" i="35"/>
  <c r="R103" i="35"/>
  <c r="S103" i="35"/>
  <c r="T103" i="35"/>
  <c r="U103" i="35"/>
  <c r="V103" i="35"/>
  <c r="W103" i="35"/>
  <c r="X103" i="35"/>
  <c r="Y103" i="35"/>
  <c r="Z103" i="35"/>
  <c r="AA103" i="35"/>
  <c r="R105" i="35"/>
  <c r="S105" i="35"/>
  <c r="T105" i="35"/>
  <c r="U105" i="35"/>
  <c r="V105" i="35"/>
  <c r="W105" i="35"/>
  <c r="X105" i="35"/>
  <c r="Y105" i="35"/>
  <c r="Z105" i="35"/>
  <c r="AA105" i="35"/>
  <c r="R107" i="35"/>
  <c r="S107" i="35"/>
  <c r="T107" i="35"/>
  <c r="U107" i="35"/>
  <c r="V107" i="35"/>
  <c r="W107" i="35"/>
  <c r="X107" i="35"/>
  <c r="Y107" i="35"/>
  <c r="Z107" i="35"/>
  <c r="AA107" i="35"/>
  <c r="R108" i="35"/>
  <c r="S108" i="35"/>
  <c r="T108" i="35"/>
  <c r="U108" i="35"/>
  <c r="V108" i="35"/>
  <c r="W108" i="35"/>
  <c r="X108" i="35"/>
  <c r="Y108" i="35"/>
  <c r="Z108" i="35"/>
  <c r="AA108" i="35"/>
  <c r="R109" i="35"/>
  <c r="S109" i="35"/>
  <c r="T109" i="35"/>
  <c r="U109" i="35"/>
  <c r="V109" i="35"/>
  <c r="W109" i="35"/>
  <c r="X109" i="35"/>
  <c r="Y109" i="35"/>
  <c r="Z109" i="35"/>
  <c r="AA109" i="35"/>
  <c r="R110" i="35"/>
  <c r="S110" i="35"/>
  <c r="T110" i="35"/>
  <c r="U110" i="35"/>
  <c r="V110" i="35"/>
  <c r="W110" i="35"/>
  <c r="X110" i="35"/>
  <c r="Y110" i="35"/>
  <c r="Z110" i="35"/>
  <c r="AA110" i="35"/>
  <c r="S111" i="35"/>
  <c r="Y111" i="35"/>
  <c r="R112" i="35"/>
  <c r="S112" i="35"/>
  <c r="T112" i="35"/>
  <c r="U112" i="35"/>
  <c r="V112" i="35"/>
  <c r="W112" i="35"/>
  <c r="X112" i="35"/>
  <c r="Y112" i="35"/>
  <c r="Z112" i="35"/>
  <c r="AA112" i="35"/>
  <c r="R113" i="35"/>
  <c r="S113" i="35"/>
  <c r="T113" i="35"/>
  <c r="U113" i="35"/>
  <c r="V113" i="35"/>
  <c r="W113" i="35"/>
  <c r="X113" i="35"/>
  <c r="Y113" i="35"/>
  <c r="Z113" i="35"/>
  <c r="AA113" i="35"/>
  <c r="R114" i="35"/>
  <c r="S114" i="35"/>
  <c r="T114" i="35"/>
  <c r="U114" i="35"/>
  <c r="V114" i="35"/>
  <c r="W114" i="35"/>
  <c r="X114" i="35"/>
  <c r="Y114" i="35"/>
  <c r="Z114" i="35"/>
  <c r="AA114" i="35"/>
  <c r="R116" i="35"/>
  <c r="S116" i="35"/>
  <c r="T116" i="35"/>
  <c r="U116" i="35"/>
  <c r="V116" i="35"/>
  <c r="W116" i="35"/>
  <c r="X116" i="35"/>
  <c r="Y116" i="35"/>
  <c r="Z116" i="35"/>
  <c r="AA116" i="35"/>
  <c r="R118" i="35"/>
  <c r="S118" i="35"/>
  <c r="T118" i="35"/>
  <c r="U118" i="35"/>
  <c r="V118" i="35"/>
  <c r="W118" i="35"/>
  <c r="X118" i="35"/>
  <c r="Y118" i="35"/>
  <c r="Z118" i="35"/>
  <c r="AA118" i="35"/>
  <c r="R119" i="35"/>
  <c r="S119" i="35"/>
  <c r="T119" i="35"/>
  <c r="U119" i="35"/>
  <c r="V119" i="35"/>
  <c r="W119" i="35"/>
  <c r="X119" i="35"/>
  <c r="Y119" i="35"/>
  <c r="Z119" i="35"/>
  <c r="AA119" i="35"/>
  <c r="R120" i="35"/>
  <c r="S120" i="35"/>
  <c r="T120" i="35"/>
  <c r="U120" i="35"/>
  <c r="V120" i="35"/>
  <c r="W120" i="35"/>
  <c r="X120" i="35"/>
  <c r="Y120" i="35"/>
  <c r="Z120" i="35"/>
  <c r="AA120" i="35"/>
  <c r="R121" i="35"/>
  <c r="S121" i="35"/>
  <c r="T121" i="35"/>
  <c r="U121" i="35"/>
  <c r="V121" i="35"/>
  <c r="W121" i="35"/>
  <c r="X121" i="35"/>
  <c r="Y121" i="35"/>
  <c r="Z121" i="35"/>
  <c r="AA121" i="35"/>
  <c r="R123" i="35"/>
  <c r="S123" i="35"/>
  <c r="T123" i="35"/>
  <c r="U123" i="35"/>
  <c r="V123" i="35"/>
  <c r="W123" i="35"/>
  <c r="X123" i="35"/>
  <c r="Y123" i="35"/>
  <c r="Z123" i="35"/>
  <c r="AA123" i="35"/>
  <c r="R125" i="35"/>
  <c r="S125" i="35"/>
  <c r="T125" i="35"/>
  <c r="U125" i="35"/>
  <c r="V125" i="35"/>
  <c r="W125" i="35"/>
  <c r="X125" i="35"/>
  <c r="Y125" i="35"/>
  <c r="Z125" i="35"/>
  <c r="AA125" i="35"/>
  <c r="R126" i="35"/>
  <c r="S126" i="35"/>
  <c r="T126" i="35"/>
  <c r="U126" i="35"/>
  <c r="V126" i="35"/>
  <c r="W126" i="35"/>
  <c r="X126" i="35"/>
  <c r="Y126" i="35"/>
  <c r="Z126" i="35"/>
  <c r="AA126" i="35"/>
  <c r="R127" i="35"/>
  <c r="S127" i="35"/>
  <c r="T127" i="35"/>
  <c r="U127" i="35"/>
  <c r="V127" i="35"/>
  <c r="W127" i="35"/>
  <c r="X127" i="35"/>
  <c r="Y127" i="35"/>
  <c r="Z127" i="35"/>
  <c r="AA127" i="35"/>
  <c r="R129" i="35"/>
  <c r="S129" i="35"/>
  <c r="T129" i="35"/>
  <c r="U129" i="35"/>
  <c r="V129" i="35"/>
  <c r="W129" i="35"/>
  <c r="X129" i="35"/>
  <c r="Y129" i="35"/>
  <c r="Z129" i="35"/>
  <c r="AA129" i="35"/>
  <c r="R131" i="35"/>
  <c r="S131" i="35"/>
  <c r="T131" i="35"/>
  <c r="U131" i="35"/>
  <c r="V131" i="35"/>
  <c r="W131" i="35"/>
  <c r="X131" i="35"/>
  <c r="Y131" i="35"/>
  <c r="Z131" i="35"/>
  <c r="AA131" i="35"/>
  <c r="R133" i="35"/>
  <c r="S133" i="35"/>
  <c r="T133" i="35"/>
  <c r="U133" i="35"/>
  <c r="V133" i="35"/>
  <c r="W133" i="35"/>
  <c r="X133" i="35"/>
  <c r="Y133" i="35"/>
  <c r="Z133" i="35"/>
  <c r="AA133" i="35"/>
  <c r="R135" i="35"/>
  <c r="S135" i="35"/>
  <c r="T135" i="35"/>
  <c r="U135" i="35"/>
  <c r="V135" i="35"/>
  <c r="W135" i="35"/>
  <c r="X135" i="35"/>
  <c r="Y135" i="35"/>
  <c r="Z135" i="35"/>
  <c r="AA135" i="35"/>
  <c r="R136" i="35"/>
  <c r="S136" i="35"/>
  <c r="T136" i="35"/>
  <c r="U136" i="35"/>
  <c r="V136" i="35"/>
  <c r="W136" i="35"/>
  <c r="X136" i="35"/>
  <c r="Y136" i="35"/>
  <c r="Z136" i="35"/>
  <c r="AA136" i="35"/>
  <c r="R144" i="35"/>
  <c r="S144" i="35"/>
  <c r="T144" i="35"/>
  <c r="U144" i="35"/>
  <c r="V144" i="35"/>
  <c r="W144" i="35"/>
  <c r="X144" i="35"/>
  <c r="Y144" i="35"/>
  <c r="Z144" i="35"/>
  <c r="AA144" i="35"/>
  <c r="R146" i="35"/>
  <c r="S146" i="35"/>
  <c r="T146" i="35"/>
  <c r="U146" i="35"/>
  <c r="V146" i="35"/>
  <c r="W146" i="35"/>
  <c r="X146" i="35"/>
  <c r="Y146" i="35"/>
  <c r="Z146" i="35"/>
  <c r="AA146" i="35"/>
  <c r="R147" i="35"/>
  <c r="S147" i="35"/>
  <c r="T147" i="35"/>
  <c r="U147" i="35"/>
  <c r="V147" i="35"/>
  <c r="W147" i="35"/>
  <c r="X147" i="35"/>
  <c r="Y147" i="35"/>
  <c r="Z147" i="35"/>
  <c r="AA147" i="35"/>
  <c r="R148" i="35"/>
  <c r="S148" i="35"/>
  <c r="T148" i="35"/>
  <c r="U148" i="35"/>
  <c r="V148" i="35"/>
  <c r="W148" i="35"/>
  <c r="X148" i="35"/>
  <c r="Y148" i="35"/>
  <c r="Z148" i="35"/>
  <c r="AA148" i="35"/>
  <c r="R149" i="35"/>
  <c r="S149" i="35"/>
  <c r="T149" i="35"/>
  <c r="U149" i="35"/>
  <c r="V149" i="35"/>
  <c r="W149" i="35"/>
  <c r="X149" i="35"/>
  <c r="Y149" i="35"/>
  <c r="Z149" i="35"/>
  <c r="AA149" i="35"/>
  <c r="R150" i="35"/>
  <c r="S150" i="35"/>
  <c r="T150" i="35"/>
  <c r="U150" i="35"/>
  <c r="V150" i="35"/>
  <c r="W150" i="35"/>
  <c r="X150" i="35"/>
  <c r="Y150" i="35"/>
  <c r="Z150" i="35"/>
  <c r="AA150" i="35"/>
  <c r="R151" i="35"/>
  <c r="S151" i="35"/>
  <c r="T151" i="35"/>
  <c r="U151" i="35"/>
  <c r="V151" i="35"/>
  <c r="W151" i="35"/>
  <c r="X151" i="35"/>
  <c r="Y151" i="35"/>
  <c r="Z151" i="35"/>
  <c r="AA151" i="35"/>
  <c r="R152" i="35"/>
  <c r="S152" i="35"/>
  <c r="T152" i="35"/>
  <c r="U152" i="35"/>
  <c r="V152" i="35"/>
  <c r="W152" i="35"/>
  <c r="X152" i="35"/>
  <c r="Y152" i="35"/>
  <c r="Z152" i="35"/>
  <c r="AA152" i="35"/>
  <c r="R153" i="35"/>
  <c r="S153" i="35"/>
  <c r="T153" i="35"/>
  <c r="U153" i="35"/>
  <c r="V153" i="35"/>
  <c r="W153" i="35"/>
  <c r="X153" i="35"/>
  <c r="Y153" i="35"/>
  <c r="Z153" i="35"/>
  <c r="AA153" i="35"/>
  <c r="R155" i="35"/>
  <c r="S155" i="35"/>
  <c r="T155" i="35"/>
  <c r="U155" i="35"/>
  <c r="V155" i="35"/>
  <c r="W155" i="35"/>
  <c r="X155" i="35"/>
  <c r="Y155" i="35"/>
  <c r="Z155" i="35"/>
  <c r="AA155" i="35"/>
  <c r="R158" i="35"/>
  <c r="S158" i="35"/>
  <c r="T158" i="35"/>
  <c r="U158" i="35"/>
  <c r="V158" i="35"/>
  <c r="W158" i="35"/>
  <c r="X158" i="35"/>
  <c r="Y158" i="35"/>
  <c r="Z158" i="35"/>
  <c r="AA158" i="35"/>
  <c r="R159" i="35"/>
  <c r="S159" i="35"/>
  <c r="T159" i="35"/>
  <c r="U159" i="35"/>
  <c r="V159" i="35"/>
  <c r="W159" i="35"/>
  <c r="X159" i="35"/>
  <c r="Y159" i="35"/>
  <c r="Z159" i="35"/>
  <c r="AA159" i="35"/>
  <c r="R160" i="35"/>
  <c r="S160" i="35"/>
  <c r="T160" i="35"/>
  <c r="U160" i="35"/>
  <c r="V160" i="35"/>
  <c r="W160" i="35"/>
  <c r="X160" i="35"/>
  <c r="Y160" i="35"/>
  <c r="Z160" i="35"/>
  <c r="AA160" i="35"/>
  <c r="R161" i="35"/>
  <c r="S161" i="35"/>
  <c r="T161" i="35"/>
  <c r="U161" i="35"/>
  <c r="V161" i="35"/>
  <c r="W161" i="35"/>
  <c r="X161" i="35"/>
  <c r="Y161" i="35"/>
  <c r="Z161" i="35"/>
  <c r="AA161" i="35"/>
  <c r="R162" i="35"/>
  <c r="S162" i="35"/>
  <c r="T162" i="35"/>
  <c r="U162" i="35"/>
  <c r="V162" i="35"/>
  <c r="W162" i="35"/>
  <c r="X162" i="35"/>
  <c r="Y162" i="35"/>
  <c r="Z162" i="35"/>
  <c r="AA162" i="35"/>
  <c r="R165" i="35"/>
  <c r="S165" i="35"/>
  <c r="T165" i="35"/>
  <c r="U165" i="35"/>
  <c r="V165" i="35"/>
  <c r="W165" i="35"/>
  <c r="X165" i="35"/>
  <c r="Y165" i="35"/>
  <c r="Z165" i="35"/>
  <c r="AA165" i="35"/>
  <c r="Q146" i="35"/>
  <c r="Q147" i="35"/>
  <c r="Q148" i="35"/>
  <c r="Q149" i="35"/>
  <c r="Q150" i="35"/>
  <c r="Q151" i="35"/>
  <c r="Q152" i="35"/>
  <c r="Q153" i="35"/>
  <c r="Q155" i="35"/>
  <c r="Q158" i="35"/>
  <c r="Q159" i="35"/>
  <c r="Q160" i="35"/>
  <c r="Q161" i="35"/>
  <c r="Q162" i="35"/>
  <c r="Q165" i="35"/>
  <c r="Q144" i="35"/>
  <c r="Q95" i="35"/>
  <c r="Q96" i="35"/>
  <c r="Q97" i="35"/>
  <c r="Q98" i="35"/>
  <c r="Q99" i="35"/>
  <c r="Q101" i="35"/>
  <c r="Q102" i="35"/>
  <c r="Q103" i="35"/>
  <c r="Q105" i="35"/>
  <c r="Q107" i="35"/>
  <c r="Q108" i="35"/>
  <c r="Q109" i="35"/>
  <c r="Q110" i="35"/>
  <c r="Q111" i="35"/>
  <c r="Q112" i="35"/>
  <c r="Q113" i="35"/>
  <c r="Q114" i="35"/>
  <c r="Q116" i="35"/>
  <c r="Q118" i="35"/>
  <c r="Q119" i="35"/>
  <c r="Q120" i="35"/>
  <c r="Q121" i="35"/>
  <c r="Q123" i="35"/>
  <c r="Q125" i="35"/>
  <c r="Q126" i="35"/>
  <c r="Q127" i="35"/>
  <c r="Q129" i="35"/>
  <c r="Q131" i="35"/>
  <c r="Q133" i="35"/>
  <c r="Q135" i="35"/>
  <c r="Q136" i="35"/>
  <c r="Q93" i="35"/>
  <c r="Q51" i="35"/>
  <c r="Q53" i="35"/>
  <c r="Q54" i="35"/>
  <c r="Q56" i="35"/>
  <c r="Q58" i="35"/>
  <c r="Q59" i="35"/>
  <c r="Q60" i="35"/>
  <c r="Q61" i="35"/>
  <c r="Q63" i="35"/>
  <c r="Q65" i="35"/>
  <c r="Q67" i="35"/>
  <c r="Q70" i="35"/>
  <c r="Q72" i="35"/>
  <c r="Q73" i="35"/>
  <c r="Q74" i="35"/>
  <c r="Q76" i="35"/>
  <c r="Q78" i="35"/>
  <c r="Q79" i="35"/>
  <c r="Q80" i="35"/>
  <c r="Q81" i="35"/>
  <c r="Q82" i="35"/>
  <c r="Q84" i="35"/>
  <c r="Q85" i="35"/>
  <c r="Q49" i="35"/>
  <c r="Q12" i="35"/>
  <c r="Q13" i="35"/>
  <c r="Q14" i="35"/>
  <c r="Q15" i="35"/>
  <c r="Q16" i="35"/>
  <c r="Q17" i="35"/>
  <c r="Q18" i="35"/>
  <c r="Q19" i="35"/>
  <c r="Q21" i="35"/>
  <c r="Q23" i="35"/>
  <c r="Q24" i="35"/>
  <c r="Q25" i="35"/>
  <c r="Q26" i="35"/>
  <c r="Q31" i="35"/>
  <c r="Q35" i="35"/>
  <c r="Q36" i="35"/>
  <c r="Q37" i="35"/>
  <c r="Q38" i="35"/>
  <c r="Q40" i="35"/>
  <c r="Q41" i="35"/>
  <c r="Q10" i="35"/>
  <c r="N167" i="35"/>
  <c r="J167" i="35"/>
  <c r="P166" i="35"/>
  <c r="P167" i="35" s="1"/>
  <c r="O166" i="35"/>
  <c r="O167" i="35" s="1"/>
  <c r="N166" i="35"/>
  <c r="M166" i="35"/>
  <c r="M167" i="35" s="1"/>
  <c r="L166" i="35"/>
  <c r="L167" i="35" s="1"/>
  <c r="K166" i="35"/>
  <c r="K167" i="35" s="1"/>
  <c r="J166" i="35"/>
  <c r="O164" i="35"/>
  <c r="L149" i="35"/>
  <c r="P111" i="35"/>
  <c r="O111" i="35"/>
  <c r="P83" i="35"/>
  <c r="O83" i="35"/>
  <c r="N83" i="35"/>
  <c r="O68" i="35"/>
  <c r="M68" i="35"/>
  <c r="L68" i="35"/>
  <c r="K68" i="35"/>
  <c r="J68" i="35"/>
  <c r="I68" i="35"/>
  <c r="H68" i="35"/>
  <c r="G68" i="35"/>
  <c r="O62" i="35"/>
  <c r="M62" i="35"/>
  <c r="P52" i="35"/>
  <c r="O52" i="35"/>
  <c r="P39" i="35"/>
  <c r="N39" i="35"/>
  <c r="M39" i="35"/>
  <c r="L39" i="35"/>
  <c r="K39" i="35"/>
  <c r="J39" i="35"/>
  <c r="I35" i="35"/>
  <c r="P164" i="35" l="1"/>
  <c r="G29" i="28" l="1"/>
  <c r="F29" i="28"/>
  <c r="E29" i="28"/>
  <c r="D29" i="28"/>
  <c r="C29" i="28"/>
  <c r="B29" i="28"/>
  <c r="G20" i="28"/>
  <c r="F20" i="28"/>
  <c r="E20" i="28"/>
  <c r="D20" i="28"/>
  <c r="C20" i="28"/>
  <c r="B20" i="28"/>
  <c r="AB149" i="27" l="1"/>
  <c r="Z149" i="27"/>
  <c r="Y149" i="27"/>
  <c r="X149" i="27"/>
  <c r="W149" i="27"/>
  <c r="V149" i="27"/>
  <c r="U149" i="27"/>
  <c r="T149" i="27"/>
  <c r="S149" i="27"/>
  <c r="R149" i="27"/>
  <c r="Q149" i="27"/>
  <c r="P149" i="27"/>
  <c r="P150" i="27" s="1"/>
  <c r="O149" i="27"/>
  <c r="O150" i="27" s="1"/>
  <c r="N149" i="27"/>
  <c r="N150" i="27" s="1"/>
  <c r="M149" i="27"/>
  <c r="M150" i="27" s="1"/>
  <c r="L149" i="27"/>
  <c r="L150" i="27" s="1"/>
  <c r="K149" i="27"/>
  <c r="K150" i="27" s="1"/>
  <c r="J149" i="27"/>
  <c r="J150" i="27" s="1"/>
  <c r="Y147" i="27"/>
  <c r="Y164" i="35" s="1"/>
  <c r="L132" i="27"/>
  <c r="AA111" i="35"/>
  <c r="Z99" i="27"/>
  <c r="Z111" i="35" s="1"/>
  <c r="X99" i="27"/>
  <c r="X111" i="35" s="1"/>
  <c r="W99" i="27"/>
  <c r="W111" i="35" s="1"/>
  <c r="V99" i="27"/>
  <c r="V111" i="35" s="1"/>
  <c r="U99" i="27"/>
  <c r="U111" i="35" s="1"/>
  <c r="T99" i="27"/>
  <c r="T111" i="35" s="1"/>
  <c r="R99" i="27"/>
  <c r="R111" i="35" s="1"/>
  <c r="P99" i="27"/>
  <c r="O99" i="27"/>
  <c r="AA95" i="35"/>
  <c r="Z83" i="27"/>
  <c r="Z95" i="35" s="1"/>
  <c r="Y83" i="27"/>
  <c r="Y95" i="35" s="1"/>
  <c r="X83" i="27"/>
  <c r="X95" i="35" s="1"/>
  <c r="W83" i="27"/>
  <c r="W95" i="35" s="1"/>
  <c r="V83" i="27"/>
  <c r="V95" i="35" s="1"/>
  <c r="U83" i="27"/>
  <c r="U95" i="35" s="1"/>
  <c r="AA83" i="35"/>
  <c r="Z77" i="27"/>
  <c r="Z83" i="35" s="1"/>
  <c r="Y77" i="27"/>
  <c r="Y83" i="35" s="1"/>
  <c r="X77" i="27"/>
  <c r="X83" i="35" s="1"/>
  <c r="W77" i="27"/>
  <c r="W83" i="35" s="1"/>
  <c r="V77" i="27"/>
  <c r="V83" i="35" s="1"/>
  <c r="U77" i="27"/>
  <c r="U83" i="35" s="1"/>
  <c r="S77" i="27"/>
  <c r="S83" i="35" s="1"/>
  <c r="Q77" i="27"/>
  <c r="Q83" i="35" s="1"/>
  <c r="P77" i="27"/>
  <c r="O77" i="27"/>
  <c r="N77" i="27"/>
  <c r="U62" i="27"/>
  <c r="U68" i="35" s="1"/>
  <c r="S62" i="27"/>
  <c r="S68" i="35" s="1"/>
  <c r="Q62" i="27"/>
  <c r="Q68" i="35" s="1"/>
  <c r="O62" i="27"/>
  <c r="M62" i="27"/>
  <c r="L62" i="27"/>
  <c r="K62" i="27"/>
  <c r="J62" i="27"/>
  <c r="I62" i="27"/>
  <c r="H62" i="27"/>
  <c r="G62" i="27"/>
  <c r="X56" i="27"/>
  <c r="X62" i="35" s="1"/>
  <c r="V56" i="27"/>
  <c r="V62" i="35" s="1"/>
  <c r="U56" i="27"/>
  <c r="U62" i="35" s="1"/>
  <c r="S56" i="27"/>
  <c r="S62" i="35" s="1"/>
  <c r="Q56" i="27"/>
  <c r="Q62" i="35" s="1"/>
  <c r="O56" i="27"/>
  <c r="M56" i="27"/>
  <c r="Z46" i="27"/>
  <c r="Z52" i="35" s="1"/>
  <c r="Y46" i="27"/>
  <c r="Y52" i="35" s="1"/>
  <c r="X46" i="27"/>
  <c r="X52" i="35" s="1"/>
  <c r="W46" i="27"/>
  <c r="W52" i="35" s="1"/>
  <c r="V46" i="27"/>
  <c r="V52" i="35" s="1"/>
  <c r="U46" i="27"/>
  <c r="U52" i="35" s="1"/>
  <c r="T46" i="27"/>
  <c r="T52" i="35" s="1"/>
  <c r="S46" i="27"/>
  <c r="S52" i="35" s="1"/>
  <c r="R46" i="27"/>
  <c r="R52" i="35" s="1"/>
  <c r="Q46" i="27"/>
  <c r="Q52" i="35" s="1"/>
  <c r="P46" i="27"/>
  <c r="O46" i="27"/>
  <c r="AA39" i="35"/>
  <c r="Z39" i="27"/>
  <c r="Z39" i="35" s="1"/>
  <c r="Y39" i="27"/>
  <c r="Y39" i="35" s="1"/>
  <c r="X39" i="27"/>
  <c r="X39" i="35" s="1"/>
  <c r="W39" i="27"/>
  <c r="W39" i="35" s="1"/>
  <c r="V39" i="27"/>
  <c r="V39" i="35" s="1"/>
  <c r="U39" i="27"/>
  <c r="U39" i="35" s="1"/>
  <c r="T39" i="27"/>
  <c r="T39" i="35" s="1"/>
  <c r="S39" i="27"/>
  <c r="S39" i="35" s="1"/>
  <c r="R39" i="27"/>
  <c r="R39" i="35" s="1"/>
  <c r="Q39" i="27"/>
  <c r="Q39" i="35" s="1"/>
  <c r="P39" i="27"/>
  <c r="N39" i="27"/>
  <c r="M39" i="27"/>
  <c r="L39" i="27"/>
  <c r="K39" i="27"/>
  <c r="J39" i="27"/>
  <c r="I35" i="27"/>
  <c r="T33" i="27"/>
  <c r="T33" i="35" s="1"/>
  <c r="S33" i="27"/>
  <c r="S33" i="35" s="1"/>
  <c r="R33" i="27"/>
  <c r="R33" i="35" s="1"/>
  <c r="Q33" i="27"/>
  <c r="Q33" i="35" s="1"/>
  <c r="AA30" i="35"/>
  <c r="AA29" i="35"/>
  <c r="AA28" i="35"/>
  <c r="AA27" i="35"/>
  <c r="AA23" i="35"/>
  <c r="Z23" i="27"/>
  <c r="Z23" i="35" s="1"/>
  <c r="Y23" i="27"/>
  <c r="Y23" i="35" s="1"/>
  <c r="X23" i="27"/>
  <c r="X23" i="35" s="1"/>
  <c r="W23" i="27"/>
  <c r="W23" i="35" s="1"/>
  <c r="T23" i="27"/>
  <c r="T23" i="35" s="1"/>
  <c r="R23" i="27"/>
  <c r="R23" i="35" s="1"/>
  <c r="AA16" i="35"/>
  <c r="Z16" i="27"/>
  <c r="Z16" i="35" s="1"/>
  <c r="Y16" i="27"/>
  <c r="Y16" i="35" s="1"/>
  <c r="X16" i="27"/>
  <c r="X16" i="35" s="1"/>
  <c r="W16" i="27"/>
  <c r="W16" i="35" s="1"/>
  <c r="V16" i="27"/>
  <c r="V16" i="35" s="1"/>
  <c r="U16" i="27"/>
  <c r="U16" i="35" s="1"/>
  <c r="T16" i="27"/>
  <c r="T16" i="35" s="1"/>
  <c r="R16" i="27"/>
  <c r="R16" i="35" s="1"/>
  <c r="AA15" i="35"/>
  <c r="Z15" i="27"/>
  <c r="Z15" i="35" s="1"/>
  <c r="Y15" i="27"/>
  <c r="Y15" i="35" s="1"/>
  <c r="X15" i="27"/>
  <c r="X15" i="35" s="1"/>
  <c r="W15" i="27"/>
  <c r="W15" i="35" s="1"/>
  <c r="V15" i="27"/>
  <c r="V15" i="35" s="1"/>
  <c r="U15" i="27"/>
  <c r="U15" i="35" s="1"/>
  <c r="T15" i="27"/>
  <c r="T15" i="35" s="1"/>
  <c r="R15" i="27"/>
  <c r="R15" i="35" s="1"/>
  <c r="AA14" i="35"/>
  <c r="Z14" i="27"/>
  <c r="Z14" i="35" s="1"/>
  <c r="Y14" i="27"/>
  <c r="Y14" i="35" s="1"/>
  <c r="X14" i="27"/>
  <c r="X14" i="35" s="1"/>
  <c r="W14" i="27"/>
  <c r="W14" i="35" s="1"/>
  <c r="V14" i="27"/>
  <c r="V14" i="35" s="1"/>
  <c r="U14" i="27"/>
  <c r="U14" i="35" s="1"/>
  <c r="T14" i="27"/>
  <c r="T14" i="35" s="1"/>
  <c r="R14" i="27"/>
  <c r="R14" i="35" s="1"/>
  <c r="W28" i="35" l="1"/>
  <c r="W28" i="56"/>
  <c r="W28" i="58"/>
  <c r="W28" i="57"/>
  <c r="Q30" i="35"/>
  <c r="Q30" i="56"/>
  <c r="Q30" i="58"/>
  <c r="Q30" i="57"/>
  <c r="T27" i="35"/>
  <c r="T27" i="56"/>
  <c r="T27" i="58"/>
  <c r="T27" i="57"/>
  <c r="X27" i="35"/>
  <c r="X27" i="56"/>
  <c r="X27" i="58"/>
  <c r="X27" i="57"/>
  <c r="T28" i="35"/>
  <c r="T28" i="58"/>
  <c r="T28" i="57"/>
  <c r="T28" i="56"/>
  <c r="X28" i="35"/>
  <c r="X28" i="56"/>
  <c r="X28" i="58"/>
  <c r="X28" i="57"/>
  <c r="Q29" i="35"/>
  <c r="Q29" i="56"/>
  <c r="Q29" i="58"/>
  <c r="Q29" i="57"/>
  <c r="U29" i="35"/>
  <c r="U29" i="56"/>
  <c r="U29" i="58"/>
  <c r="U29" i="57"/>
  <c r="Y29" i="35"/>
  <c r="Y29" i="58"/>
  <c r="Y29" i="57"/>
  <c r="Y29" i="56"/>
  <c r="R30" i="35"/>
  <c r="R30" i="58"/>
  <c r="R30" i="57"/>
  <c r="R30" i="56"/>
  <c r="V30" i="35"/>
  <c r="V30" i="56"/>
  <c r="V30" i="58"/>
  <c r="V30" i="57"/>
  <c r="Z30" i="35"/>
  <c r="Z30" i="56"/>
  <c r="Z30" i="58"/>
  <c r="Z30" i="57"/>
  <c r="W27" i="35"/>
  <c r="W27" i="56"/>
  <c r="W27" i="58"/>
  <c r="W27" i="57"/>
  <c r="X29" i="35"/>
  <c r="X29" i="56"/>
  <c r="X29" i="58"/>
  <c r="X29" i="57"/>
  <c r="Y30" i="35"/>
  <c r="Y30" i="56"/>
  <c r="Y30" i="58"/>
  <c r="Y30" i="57"/>
  <c r="Q27" i="35"/>
  <c r="Q27" i="58"/>
  <c r="Q27" i="57"/>
  <c r="Q27" i="56"/>
  <c r="U27" i="35"/>
  <c r="U27" i="58"/>
  <c r="U27" i="57"/>
  <c r="U27" i="56"/>
  <c r="Y27" i="35"/>
  <c r="Y27" i="58"/>
  <c r="Y27" i="57"/>
  <c r="Y27" i="56"/>
  <c r="Q28" i="35"/>
  <c r="Q28" i="58"/>
  <c r="Q28" i="57"/>
  <c r="Q28" i="56"/>
  <c r="U28" i="35"/>
  <c r="U28" i="58"/>
  <c r="U28" i="57"/>
  <c r="U28" i="56"/>
  <c r="Y28" i="35"/>
  <c r="Y28" i="58"/>
  <c r="Y28" i="57"/>
  <c r="Y28" i="56"/>
  <c r="R29" i="35"/>
  <c r="R29" i="58"/>
  <c r="R29" i="57"/>
  <c r="R29" i="56"/>
  <c r="V29" i="35"/>
  <c r="V29" i="58"/>
  <c r="V29" i="57"/>
  <c r="V29" i="56"/>
  <c r="Z29" i="35"/>
  <c r="Z29" i="58"/>
  <c r="Z29" i="57"/>
  <c r="Z29" i="56"/>
  <c r="S30" i="35"/>
  <c r="S30" i="58"/>
  <c r="S30" i="57"/>
  <c r="S30" i="56"/>
  <c r="W30" i="35"/>
  <c r="W30" i="58"/>
  <c r="W30" i="57"/>
  <c r="W30" i="56"/>
  <c r="S27" i="35"/>
  <c r="S27" i="56"/>
  <c r="S27" i="58"/>
  <c r="S27" i="57"/>
  <c r="S28" i="35"/>
  <c r="S28" i="56"/>
  <c r="S28" i="57"/>
  <c r="S28" i="58"/>
  <c r="T29" i="35"/>
  <c r="T29" i="56"/>
  <c r="T29" i="57"/>
  <c r="T29" i="58"/>
  <c r="U30" i="35"/>
  <c r="U30" i="56"/>
  <c r="U30" i="57"/>
  <c r="U30" i="58"/>
  <c r="R27" i="35"/>
  <c r="R27" i="58"/>
  <c r="R27" i="57"/>
  <c r="R27" i="56"/>
  <c r="V27" i="35"/>
  <c r="V27" i="58"/>
  <c r="V27" i="57"/>
  <c r="V27" i="56"/>
  <c r="Z27" i="35"/>
  <c r="Z27" i="58"/>
  <c r="Z27" i="57"/>
  <c r="Z27" i="56"/>
  <c r="R28" i="35"/>
  <c r="R28" i="58"/>
  <c r="R28" i="57"/>
  <c r="R28" i="56"/>
  <c r="V28" i="35"/>
  <c r="V28" i="58"/>
  <c r="V28" i="57"/>
  <c r="V28" i="56"/>
  <c r="Z28" i="35"/>
  <c r="Z28" i="58"/>
  <c r="Z28" i="57"/>
  <c r="Z28" i="56"/>
  <c r="S29" i="35"/>
  <c r="S29" i="58"/>
  <c r="S29" i="57"/>
  <c r="S29" i="56"/>
  <c r="W29" i="35"/>
  <c r="W29" i="58"/>
  <c r="W29" i="57"/>
  <c r="W29" i="56"/>
  <c r="T30" i="35"/>
  <c r="T30" i="58"/>
  <c r="T30" i="57"/>
  <c r="T30" i="56"/>
  <c r="X30" i="35"/>
  <c r="X30" i="58"/>
  <c r="X30" i="57"/>
  <c r="X30" i="56"/>
  <c r="S150" i="27"/>
  <c r="S167" i="35" s="1"/>
  <c r="S166" i="35"/>
  <c r="W150" i="27"/>
  <c r="W167" i="35" s="1"/>
  <c r="W166" i="35"/>
  <c r="AB150" i="27"/>
  <c r="AA167" i="35" s="1"/>
  <c r="AA166" i="35"/>
  <c r="T147" i="27"/>
  <c r="T164" i="35" s="1"/>
  <c r="T166" i="35"/>
  <c r="X150" i="27"/>
  <c r="X167" i="35" s="1"/>
  <c r="X166" i="35"/>
  <c r="Q150" i="27"/>
  <c r="Q167" i="35" s="1"/>
  <c r="Q166" i="35"/>
  <c r="U147" i="27"/>
  <c r="U164" i="35" s="1"/>
  <c r="U166" i="35"/>
  <c r="Y150" i="27"/>
  <c r="Y167" i="35" s="1"/>
  <c r="Y166" i="35"/>
  <c r="R150" i="27"/>
  <c r="R167" i="35" s="1"/>
  <c r="R166" i="35"/>
  <c r="V150" i="27"/>
  <c r="V167" i="35" s="1"/>
  <c r="V166" i="35"/>
  <c r="Z150" i="27"/>
  <c r="Z167" i="35" s="1"/>
  <c r="Z166" i="35"/>
  <c r="X147" i="27"/>
  <c r="X164" i="35" s="1"/>
  <c r="P147" i="27"/>
  <c r="Q147" i="27"/>
  <c r="Q164" i="35" s="1"/>
  <c r="T150" i="27"/>
  <c r="T167" i="35" s="1"/>
  <c r="U150" i="27"/>
  <c r="U167" i="35" s="1"/>
  <c r="R147" i="27"/>
  <c r="R164" i="35" s="1"/>
  <c r="V147" i="27"/>
  <c r="V164" i="35" s="1"/>
  <c r="Z147" i="27"/>
  <c r="Z164" i="35" s="1"/>
  <c r="O147" i="27"/>
  <c r="S147" i="27"/>
  <c r="S164" i="35" s="1"/>
  <c r="W147" i="27"/>
  <c r="W164" i="35" s="1"/>
  <c r="AB147" i="27"/>
  <c r="AA164" i="35" s="1"/>
  <c r="D58" i="13" l="1"/>
  <c r="C58" i="13"/>
  <c r="D54" i="13"/>
  <c r="C54" i="13"/>
  <c r="D48" i="13"/>
  <c r="C48" i="13"/>
  <c r="C44" i="13"/>
  <c r="C37" i="13"/>
  <c r="C32" i="13"/>
  <c r="J40" i="11"/>
  <c r="I40" i="11"/>
  <c r="H40" i="11"/>
  <c r="G40" i="11"/>
  <c r="F40" i="11"/>
  <c r="E40" i="11"/>
  <c r="D40" i="11"/>
  <c r="C40" i="11"/>
  <c r="B40" i="11"/>
  <c r="D13" i="8"/>
  <c r="C13" i="8"/>
  <c r="B13" i="8"/>
  <c r="D14" i="8"/>
  <c r="C14" i="8"/>
  <c r="B14" i="8"/>
  <c r="F14" i="7"/>
  <c r="E14" i="7"/>
  <c r="D14" i="7"/>
  <c r="C14" i="7"/>
  <c r="B14" i="7"/>
  <c r="F9" i="7"/>
  <c r="E9" i="7"/>
  <c r="D9" i="7"/>
  <c r="C9" i="7"/>
  <c r="B9" i="7"/>
  <c r="E26" i="7" l="1"/>
  <c r="F26" i="7"/>
  <c r="G26" i="7"/>
  <c r="C26" i="7"/>
  <c r="D26" i="7"/>
  <c r="B15" i="8" l="1"/>
  <c r="B9" i="8"/>
  <c r="B16" i="8" s="1"/>
  <c r="C9" i="8"/>
  <c r="C16" i="8" s="1"/>
  <c r="D15" i="8"/>
  <c r="D9" i="8"/>
  <c r="D16" i="8" s="1"/>
  <c r="E17" i="8"/>
  <c r="C15" i="8"/>
  <c r="B17" i="8" l="1"/>
  <c r="D17" i="8"/>
  <c r="C17" i="8"/>
</calcChain>
</file>

<file path=xl/sharedStrings.xml><?xml version="1.0" encoding="utf-8"?>
<sst xmlns="http://schemas.openxmlformats.org/spreadsheetml/2006/main" count="3914" uniqueCount="1058">
  <si>
    <t>jährliche Veränderung in %</t>
  </si>
  <si>
    <t>Japan</t>
  </si>
  <si>
    <t>USA</t>
  </si>
  <si>
    <t>Vereinigtes Königreich</t>
  </si>
  <si>
    <t>Schweden</t>
  </si>
  <si>
    <t>Rumänien</t>
  </si>
  <si>
    <t>Polen</t>
  </si>
  <si>
    <t>Ungarn</t>
  </si>
  <si>
    <t>Litauen</t>
  </si>
  <si>
    <t>Lettland</t>
  </si>
  <si>
    <t>Dänemark</t>
  </si>
  <si>
    <t>Bulgarien</t>
  </si>
  <si>
    <t>Eurozone</t>
  </si>
  <si>
    <t>Estland</t>
  </si>
  <si>
    <t>Finnland</t>
  </si>
  <si>
    <t>Slowakei</t>
  </si>
  <si>
    <t>Slowenien</t>
  </si>
  <si>
    <t>Portugal</t>
  </si>
  <si>
    <t>Österreich</t>
  </si>
  <si>
    <t>Niederlande</t>
  </si>
  <si>
    <t>Malta</t>
  </si>
  <si>
    <t>Luxemburg</t>
  </si>
  <si>
    <t>Zypern</t>
  </si>
  <si>
    <t>Italien</t>
  </si>
  <si>
    <t>Frankreich</t>
  </si>
  <si>
    <t>Spanien</t>
  </si>
  <si>
    <t>Griechenland</t>
  </si>
  <si>
    <t>Irland</t>
  </si>
  <si>
    <t>Deutschland</t>
  </si>
  <si>
    <t>Belgien</t>
  </si>
  <si>
    <t>Land/Region</t>
  </si>
  <si>
    <t>jährliche reale Veränderung in %</t>
  </si>
  <si>
    <t>in % (laut Eurostat)</t>
  </si>
  <si>
    <t>Tschechische Republik</t>
  </si>
  <si>
    <t>in % des BIP</t>
  </si>
  <si>
    <t>in Mio. €</t>
  </si>
  <si>
    <t>Veränderung gegenüber Vorjahr in %</t>
  </si>
  <si>
    <t>BVA</t>
  </si>
  <si>
    <t xml:space="preserve">  Überweisungen aus Steueranteilen</t>
  </si>
  <si>
    <t>in Mio. € (Rundungsdifferenzen möglich)</t>
  </si>
  <si>
    <t xml:space="preserve">Lohnsteuer </t>
  </si>
  <si>
    <t>Körperschaftsteuer</t>
  </si>
  <si>
    <t>Umsatzsteuer</t>
  </si>
  <si>
    <t>--</t>
  </si>
  <si>
    <t>Tabaksteuer</t>
  </si>
  <si>
    <t xml:space="preserve">Mineralölsteuer   </t>
  </si>
  <si>
    <t>Stempel- und Rechtsgebühren</t>
  </si>
  <si>
    <t>Energieabgabe</t>
  </si>
  <si>
    <t>Normverbrauchsabgabe</t>
  </si>
  <si>
    <t>Versicherungssteuer</t>
  </si>
  <si>
    <t>Kraftfahrzeugsteuer</t>
  </si>
  <si>
    <t>Sonstige Abgaben</t>
  </si>
  <si>
    <t>Gesamtabgaben (brutto)</t>
  </si>
  <si>
    <t>Aufteilung in %</t>
  </si>
  <si>
    <t>Bund</t>
  </si>
  <si>
    <t>Länder</t>
  </si>
  <si>
    <t>Übersicht 13a: Gesamtausgaben des Bundes, finanzwirtschaftliche Gliederung nach Kapiteln</t>
  </si>
  <si>
    <t>Kapitel lt. BVA 2008</t>
  </si>
  <si>
    <t>01 Präsidentschaftskanzlei</t>
  </si>
  <si>
    <t>02 Bundesgesetzgebung</t>
  </si>
  <si>
    <t>03 Verfassungsgerichtshof</t>
  </si>
  <si>
    <t>04 Verwaltungsgerichtshof</t>
  </si>
  <si>
    <t>05 Volksanwaltschaft</t>
  </si>
  <si>
    <t>06 Rechnungshof</t>
  </si>
  <si>
    <t>10 Bundeskanzleramt</t>
  </si>
  <si>
    <t>11 Inneres</t>
  </si>
  <si>
    <t>12 Unterricht und Kultur</t>
  </si>
  <si>
    <t>13 Kunst</t>
  </si>
  <si>
    <t>14 Wissenschaft und Forschung</t>
  </si>
  <si>
    <t>15 Soziales und Konsumentenschutz</t>
  </si>
  <si>
    <t>16 Sozialversicherung</t>
  </si>
  <si>
    <t>17 Gesundheit</t>
  </si>
  <si>
    <t>18 Umwelt</t>
  </si>
  <si>
    <t>-</t>
  </si>
  <si>
    <t>19 Familie und Jugend</t>
  </si>
  <si>
    <t>20 Äußeres</t>
  </si>
  <si>
    <t>30 Justiz</t>
  </si>
  <si>
    <t xml:space="preserve">40 Militärische Angelegenheiten </t>
  </si>
  <si>
    <t>50 Finanzverwaltung</t>
  </si>
  <si>
    <t>52 Öffentliche Abgaben</t>
  </si>
  <si>
    <t>53 Finanzausgleich</t>
  </si>
  <si>
    <t>54 Bundesvermögen</t>
  </si>
  <si>
    <t xml:space="preserve">55 Pensionen </t>
  </si>
  <si>
    <t>56 Sonstige Finanzierungen und Veranlagungen</t>
  </si>
  <si>
    <t>58 Finanzierungen, Währungstauschverträge</t>
  </si>
  <si>
    <t>60 Land-, Forst- und Wasserwirtschaft</t>
  </si>
  <si>
    <t>61 Umwelt</t>
  </si>
  <si>
    <t>63 Wirtschaft und Arbeit</t>
  </si>
  <si>
    <t>64 Bauten und Technik</t>
  </si>
  <si>
    <t>65 Verkehr, Innovation und Technologie</t>
  </si>
  <si>
    <t>70 Öffentliche Leistung und Sport</t>
  </si>
  <si>
    <t xml:space="preserve">S u m m e         </t>
  </si>
  <si>
    <t>12 Äußeres</t>
  </si>
  <si>
    <t>13 Justiz</t>
  </si>
  <si>
    <t>14 Militärische Angelegenheiten und Sport</t>
  </si>
  <si>
    <t>15 Finanzverwaltung</t>
  </si>
  <si>
    <t>16 Öffentliche Abgaben</t>
  </si>
  <si>
    <t>Rubrik 0,1</t>
  </si>
  <si>
    <t>20 Arbeit</t>
  </si>
  <si>
    <t>21 Soziales und Konsumentenschutz</t>
  </si>
  <si>
    <t>22 Sozialversicherung</t>
  </si>
  <si>
    <t>23 Pensionen</t>
  </si>
  <si>
    <t>24 Gesundheit</t>
  </si>
  <si>
    <t>25 Familie und Jugend</t>
  </si>
  <si>
    <t>Rubrik 2</t>
  </si>
  <si>
    <t>31 Wissenschaft und Forschung</t>
  </si>
  <si>
    <t>32 Kunst und Kultur</t>
  </si>
  <si>
    <t>33 Wirtschaft (Forschung)</t>
  </si>
  <si>
    <t>34 Verkehr, Innov. u. Techn. (Forschung)</t>
  </si>
  <si>
    <t>Rubrik 3</t>
  </si>
  <si>
    <t xml:space="preserve">40 Wirtschaft </t>
  </si>
  <si>
    <t>41 Verkehr, Innovation u. Technologie</t>
  </si>
  <si>
    <t>42 Land-, Forst- und Wasserwirtschaft</t>
  </si>
  <si>
    <t>43 Umwelt</t>
  </si>
  <si>
    <t>44 Finanzausgleich</t>
  </si>
  <si>
    <t>45 Bundesvermögen</t>
  </si>
  <si>
    <t>46 Finanzmarktstabilität</t>
  </si>
  <si>
    <t>Rubrik 4</t>
  </si>
  <si>
    <t>51 Kassenverwaltung</t>
  </si>
  <si>
    <t>Rubrik 5</t>
  </si>
  <si>
    <t>Ressort/Untergliederung</t>
  </si>
  <si>
    <t>Oberste Organe</t>
  </si>
  <si>
    <t>Bundeskanzleramt</t>
  </si>
  <si>
    <t>BM für Inneres</t>
  </si>
  <si>
    <t>BM für europäische und internationale Angelegenheiten</t>
  </si>
  <si>
    <t>BM für Justiz</t>
  </si>
  <si>
    <t>BM für Landesverteidigung und Sport</t>
  </si>
  <si>
    <t>BM für Finanzen</t>
  </si>
  <si>
    <t>Finanzen</t>
  </si>
  <si>
    <t>BM für Arbeit, Soziales und Konsumentenschutz</t>
  </si>
  <si>
    <t>Arbeit, Soziales und Konsumentenschutz</t>
  </si>
  <si>
    <t>BM für Gesundheit</t>
  </si>
  <si>
    <t>BM für Wirtschaft, Familie und Jugend</t>
  </si>
  <si>
    <t>Wirtschaft, Familie und Jugend</t>
  </si>
  <si>
    <t>BM für Unterricht, Kunst und Kultur</t>
  </si>
  <si>
    <t>Unterricht, Kunst und Kultur</t>
  </si>
  <si>
    <t>BM für Wissenschaft und Forschung</t>
  </si>
  <si>
    <t>BM für Verkehr, Innovation und Technologie</t>
  </si>
  <si>
    <t>Verkehr, Innovation und Technologie</t>
  </si>
  <si>
    <t xml:space="preserve">BM für Land- u. Forstwirtschaft, Umwelt u. Wasserwirtschaft </t>
  </si>
  <si>
    <t>Land- und Forstwirtschaft, Umwelt und Wasserwirtschaft</t>
  </si>
  <si>
    <t>Bundeszuschüsse</t>
  </si>
  <si>
    <t xml:space="preserve">Insgesamt </t>
  </si>
  <si>
    <t>Alterspension</t>
  </si>
  <si>
    <t>Pension wegen geminderter Arbeitsfähigkeit</t>
  </si>
  <si>
    <t>Witwenpension</t>
  </si>
  <si>
    <t>Witwerpension</t>
  </si>
  <si>
    <t xml:space="preserve">Waisenpension </t>
  </si>
  <si>
    <t>Quelle: BM für Arbeit, Soziales und Konsumentenschutz</t>
  </si>
  <si>
    <t>Summe Bundesbudget</t>
  </si>
  <si>
    <t>ÖBB</t>
  </si>
  <si>
    <t>Straßen</t>
  </si>
  <si>
    <t>Gesamtsumme</t>
  </si>
  <si>
    <t>ASFINAG</t>
  </si>
  <si>
    <t>Finanzmarktstabilitätsgesetz (FinStaG)</t>
  </si>
  <si>
    <t>Unternehmensliquiditätsstärkungsgesetz (ULSG)</t>
  </si>
  <si>
    <t>Summe Teil II.A</t>
  </si>
  <si>
    <t>5)</t>
  </si>
  <si>
    <t>Personalplan Gesamt</t>
  </si>
  <si>
    <t>Personalstand</t>
  </si>
  <si>
    <t xml:space="preserve">     Pensionisten</t>
  </si>
  <si>
    <t>6)</t>
  </si>
  <si>
    <t>4)</t>
  </si>
  <si>
    <t>Insgesamt</t>
  </si>
  <si>
    <t>Personalausgaben</t>
  </si>
  <si>
    <t>3)</t>
  </si>
  <si>
    <t>Quelle: BKA/BMF</t>
  </si>
  <si>
    <t>2010</t>
  </si>
  <si>
    <t>Quelle: Bundesministerium für Finanzen</t>
  </si>
  <si>
    <r>
      <t xml:space="preserve">1) </t>
    </r>
    <r>
      <rPr>
        <sz val="8"/>
        <rFont val="Palatino Linotype"/>
        <family val="1"/>
      </rPr>
      <t xml:space="preserve">Die mit BGBl. I Nr. 20/2008 beschlossene Novellierung des Bundeshaushaltsgesetzes  (BHG) 1986 beinhaltet die ab 1. Jänner 2009 in Kraft </t>
    </r>
  </si>
  <si>
    <t xml:space="preserve">(Finanzierungen)  sowie § 17 Abs. 5a (zweckgebundene Gebarung) BHG budgetverkürzend auf den Bundeshaushalt aus. </t>
  </si>
  <si>
    <r>
      <t xml:space="preserve">2007
</t>
    </r>
    <r>
      <rPr>
        <sz val="8"/>
        <color theme="0"/>
        <rFont val="Palatino Linotype"/>
        <family val="1"/>
      </rPr>
      <t>-</t>
    </r>
  </si>
  <si>
    <r>
      <t xml:space="preserve">2008
</t>
    </r>
    <r>
      <rPr>
        <sz val="8"/>
        <color theme="0"/>
        <rFont val="Palatino Linotype"/>
        <family val="1"/>
      </rPr>
      <t>-</t>
    </r>
  </si>
  <si>
    <r>
      <t>2009</t>
    </r>
    <r>
      <rPr>
        <vertAlign val="superscript"/>
        <sz val="8"/>
        <rFont val="Palatino Linotype"/>
        <family val="1"/>
      </rPr>
      <t xml:space="preserve">
</t>
    </r>
    <r>
      <rPr>
        <vertAlign val="superscript"/>
        <sz val="8"/>
        <color theme="0"/>
        <rFont val="Palatino Linotype"/>
        <family val="1"/>
      </rPr>
      <t>-</t>
    </r>
  </si>
  <si>
    <r>
      <t xml:space="preserve">2010
</t>
    </r>
    <r>
      <rPr>
        <sz val="8"/>
        <color theme="0"/>
        <rFont val="Palatino Linotype"/>
        <family val="1"/>
      </rPr>
      <t>-</t>
    </r>
  </si>
  <si>
    <r>
      <t xml:space="preserve">  Untergliederung 16 (netto)</t>
    </r>
    <r>
      <rPr>
        <vertAlign val="superscript"/>
        <sz val="8"/>
        <rFont val="Palatino Linotype"/>
        <family val="1"/>
      </rPr>
      <t xml:space="preserve"> 1)</t>
    </r>
  </si>
  <si>
    <r>
      <t xml:space="preserve">  Überweisungen aus Steueranteilen </t>
    </r>
    <r>
      <rPr>
        <vertAlign val="superscript"/>
        <sz val="8"/>
        <rFont val="Palatino Linotype"/>
        <family val="1"/>
      </rPr>
      <t>2)</t>
    </r>
  </si>
  <si>
    <r>
      <rPr>
        <vertAlign val="superscript"/>
        <sz val="8"/>
        <rFont val="Palatino Linotype"/>
        <family val="1"/>
      </rPr>
      <t xml:space="preserve">2) </t>
    </r>
    <r>
      <rPr>
        <sz val="8"/>
        <rFont val="Palatino Linotype"/>
        <family val="1"/>
      </rPr>
      <t xml:space="preserve">Überweisungen an Ausgleichsfonds für Familienbeihilfen, Katastrophenfonds, für Krankenanstaltenfinanzierung, Gesundheitsförderung und </t>
    </r>
  </si>
  <si>
    <t>Überweisung an Länder, 
Gemeinden, Fonds u.a.</t>
  </si>
  <si>
    <t>Überweisung an die Euro-
päische Union</t>
  </si>
  <si>
    <r>
      <rPr>
        <vertAlign val="superscript"/>
        <sz val="8"/>
        <rFont val="Palatino Linotype"/>
        <family val="1"/>
      </rPr>
      <t>1)</t>
    </r>
    <r>
      <rPr>
        <sz val="8"/>
        <rFont val="Palatino Linotype"/>
        <family val="1"/>
      </rPr>
      <t xml:space="preserve"> Ertragsanteile und Gewerbesteuer </t>
    </r>
  </si>
  <si>
    <t>58 Finanzierungen, Währungstausch-
verträge</t>
  </si>
  <si>
    <r>
      <t xml:space="preserve">51 Kassenverwaltung </t>
    </r>
    <r>
      <rPr>
        <vertAlign val="superscript"/>
        <sz val="9"/>
        <rFont val="Palatino Linotype"/>
        <family val="1"/>
      </rPr>
      <t>1)</t>
    </r>
  </si>
  <si>
    <r>
      <t xml:space="preserve">1) </t>
    </r>
    <r>
      <rPr>
        <sz val="7"/>
        <rFont val="Palatino Linotype"/>
        <family val="1"/>
      </rPr>
      <t>Hievon Rücklagenzuführungen in Mio. €: 1.207 (2000), 1.762 (2001), 1.662 (2002), 621 (2003), 893 (2004), 972 (2005), 1.093 (2006), 1.900 (2007), 7.917 (2008)</t>
    </r>
  </si>
  <si>
    <t>Finanzschulden des Bundes</t>
  </si>
  <si>
    <t>in Milliarden €</t>
  </si>
  <si>
    <t>Quelle: BMF, WIFO</t>
  </si>
  <si>
    <t>BIP</t>
  </si>
  <si>
    <t>2008</t>
  </si>
  <si>
    <t>2009</t>
  </si>
  <si>
    <t>Familienbeihilfen</t>
  </si>
  <si>
    <t>Kinderbetreuungsgeld/Kleinkindbeihilfen/           Mutter-Kind-Pass-Bonus</t>
  </si>
  <si>
    <t>Schulbücher</t>
  </si>
  <si>
    <t>Abgang/Überschuss</t>
  </si>
  <si>
    <r>
      <t xml:space="preserve">Zinsen für Finanzschuld </t>
    </r>
    <r>
      <rPr>
        <vertAlign val="superscript"/>
        <sz val="8"/>
        <rFont val="Palatino Linotype"/>
        <family val="1"/>
      </rPr>
      <t>1)</t>
    </r>
  </si>
  <si>
    <r>
      <t xml:space="preserve">Bruttoinlandsprodukt </t>
    </r>
    <r>
      <rPr>
        <vertAlign val="superscript"/>
        <sz val="8"/>
        <rFont val="Palatino Linotype"/>
        <family val="1"/>
      </rPr>
      <t>3)</t>
    </r>
  </si>
  <si>
    <t xml:space="preserve">zur Schülerunfallversicherung, Teilersatz  der Aufwendungen für das Wochengeld und Ersatz der halben Aufwendungen für die </t>
  </si>
  <si>
    <t>Betriebshilfe, Beitrag zum In-vitro-Fertilisations-Fonds, Pensionsbeiträge für Kindererziehungszeiten, Pflegepersonen von</t>
  </si>
  <si>
    <t>Schwerstbehinderten und aufgrund eines Wahl- oder Pflegekindes</t>
  </si>
  <si>
    <r>
      <rPr>
        <vertAlign val="superscript"/>
        <sz val="8"/>
        <color rgb="FF000000"/>
        <rFont val="Palatino Linotype"/>
        <family val="1"/>
      </rPr>
      <t>1)</t>
    </r>
    <r>
      <rPr>
        <sz val="8"/>
        <color rgb="FF000000"/>
        <rFont val="Palatino Linotype"/>
        <family val="1"/>
      </rPr>
      <t xml:space="preserve"> Vor allem Teilkostenersatz für Untersuchungen nach dem Mutter-Kind-Pass, Unterhaltsvorschüsse, Familienberatungsstellen, Beiträge</t>
    </r>
  </si>
  <si>
    <r>
      <rPr>
        <vertAlign val="superscript"/>
        <sz val="7"/>
        <color rgb="FF000000"/>
        <rFont val="Palatino Linotype"/>
        <family val="1"/>
      </rPr>
      <t>1)</t>
    </r>
    <r>
      <rPr>
        <sz val="7"/>
        <color rgb="FF000000"/>
        <rFont val="Palatino Linotype"/>
        <family val="1"/>
      </rPr>
      <t xml:space="preserve"> In diesem Teil ist das Personal des Bundes enthalten, das für Dritte leistet.</t>
    </r>
  </si>
  <si>
    <t>Gliederung alt</t>
  </si>
  <si>
    <t>Gliederung neu</t>
  </si>
  <si>
    <t>bis 2008</t>
  </si>
  <si>
    <t>ab 2009</t>
  </si>
  <si>
    <t>A) Allgemeiner Haushalt:</t>
  </si>
  <si>
    <t>Erziehung und Unterricht</t>
  </si>
  <si>
    <t>AB 11</t>
  </si>
  <si>
    <t>hievon:</t>
  </si>
  <si>
    <t>Allgemeinbildende Pflichtschulen</t>
  </si>
  <si>
    <t>1/1275*</t>
  </si>
  <si>
    <t>1/3075*</t>
  </si>
  <si>
    <t xml:space="preserve">Allgemeinbildende höhere Schulen u. höhere Internatsschulen des Bundes   </t>
  </si>
  <si>
    <t>1/1270* - 1/1273*</t>
  </si>
  <si>
    <t>1/3070*-1/3073*</t>
  </si>
  <si>
    <t>Technische und gewerbliche Lehranstalten</t>
  </si>
  <si>
    <t>1/1280* + 1/1283*</t>
  </si>
  <si>
    <t>1/3080*+1/3083*</t>
  </si>
  <si>
    <t>Handelsakademien und Handelsschulen</t>
  </si>
  <si>
    <t>1/1282* + 1/1287*</t>
  </si>
  <si>
    <t>1/3082*+1/3087*</t>
  </si>
  <si>
    <t xml:space="preserve">Sozialakademien, Lehranstalten für Tourismus-,  Sozial- und wirtschaftliche Berufe   </t>
  </si>
  <si>
    <t>1/1281* + 1/1284*</t>
  </si>
  <si>
    <t>1/3081*+1/3084*</t>
  </si>
  <si>
    <t>Berufsbildende Pflichtschulen</t>
  </si>
  <si>
    <t>1/1285*</t>
  </si>
  <si>
    <t>1/3085*</t>
  </si>
  <si>
    <t xml:space="preserve">Land- und forstwirtschaftliche Berufs- und landwirtschaftliche Fachschulen, Internate sowie land- und forstwirtschaftliche Bundeslehranstalten </t>
  </si>
  <si>
    <t>1/605**- 1/607**</t>
  </si>
  <si>
    <t>1/425**-1/426**</t>
  </si>
  <si>
    <t>Anstalten der Lehrer- und Erzieherbildung</t>
  </si>
  <si>
    <t>1/129**</t>
  </si>
  <si>
    <t>1/309*</t>
  </si>
  <si>
    <t>Forschung und Wissenschaft</t>
  </si>
  <si>
    <t>AB 12</t>
  </si>
  <si>
    <t>Universitäten und wissenschaftliche Einrichtungen</t>
  </si>
  <si>
    <t>1403* + 1/142**</t>
  </si>
  <si>
    <t>1/3103*+1/312*</t>
  </si>
  <si>
    <t>1/149**</t>
  </si>
  <si>
    <t>1/31928</t>
  </si>
  <si>
    <t>Hochschulische Einrichtungen</t>
  </si>
  <si>
    <t>1/1410*</t>
  </si>
  <si>
    <t>1/3110*</t>
  </si>
  <si>
    <t>Fachhochschulen</t>
  </si>
  <si>
    <t>1/146**</t>
  </si>
  <si>
    <t>1/316**</t>
  </si>
  <si>
    <t>Wissenschaftliche Forschung, Technologie- und  Forschungsförderung sowie Forschungs- und  Technologietransfer</t>
  </si>
  <si>
    <t>s. Beilage</t>
  </si>
  <si>
    <t>Forschungseinrichtungen, Öst. Akademie d. Wissenschaften u. Forschungsinstitute, Forschungsvorhaben in internationaler Kooperation</t>
  </si>
  <si>
    <t>Anwendungsorientierte Forschung, Forschungsunternehmungen, Sondervorhaben-Technolgie einschl. ITF</t>
  </si>
  <si>
    <t>Innovationsförderung u. Forschungsförderungs GmbH</t>
  </si>
  <si>
    <t>Pauschalvorsorge (Forschungsoffensive)</t>
  </si>
  <si>
    <t>1/51856</t>
  </si>
  <si>
    <t>Kunst, Kultus</t>
  </si>
  <si>
    <t>AB 13 + 14</t>
  </si>
  <si>
    <t>1/1311*</t>
  </si>
  <si>
    <t>1/3211*</t>
  </si>
  <si>
    <t>1/1310*</t>
  </si>
  <si>
    <t>1/32128</t>
  </si>
  <si>
    <t>Universitäten der Künste</t>
  </si>
  <si>
    <t>1/143**</t>
  </si>
  <si>
    <t>1/313**</t>
  </si>
  <si>
    <t>Ständige Leistungen an Religionsgemeinschaften</t>
  </si>
  <si>
    <t>1/12007</t>
  </si>
  <si>
    <t>1/30007</t>
  </si>
  <si>
    <t>Museen (inkl. Basisabgeltung)</t>
  </si>
  <si>
    <t>1/1244* + 1/1245* + 1/12057</t>
  </si>
  <si>
    <t>1/3201*+1/3204*+1/30057</t>
  </si>
  <si>
    <t>Zuschüsse zur Theaterführung an Länder u. Gemeinden</t>
  </si>
  <si>
    <t>1/5322*</t>
  </si>
  <si>
    <t>1/4422*</t>
  </si>
  <si>
    <t>Kulturbauten</t>
  </si>
  <si>
    <t>1/6323*</t>
  </si>
  <si>
    <t>1/4023*</t>
  </si>
  <si>
    <t xml:space="preserve">Gesundheit </t>
  </si>
  <si>
    <t>AB 21</t>
  </si>
  <si>
    <t xml:space="preserve">Überweisung an den Krankenanstalten- Zusammenarbeitsfonds     </t>
  </si>
  <si>
    <t>Krankenanstaltenfinanzierung</t>
  </si>
  <si>
    <t>1/17427 + 1/53207</t>
  </si>
  <si>
    <t>1/24477+1/44207</t>
  </si>
  <si>
    <t>Umweltschutz</t>
  </si>
  <si>
    <t>2/52828 AB-Überweisung</t>
  </si>
  <si>
    <t>Soziale Wohlfahrt</t>
  </si>
  <si>
    <t>AB 22</t>
  </si>
  <si>
    <t>Arbeitsmarktpolitik</t>
  </si>
  <si>
    <t>1/635** - 1/636**</t>
  </si>
  <si>
    <t>1/201*-1/202*</t>
  </si>
  <si>
    <t>1/6372*</t>
  </si>
  <si>
    <t>Kriegsopfer- und Heeresversorgung</t>
  </si>
  <si>
    <t>1/157**</t>
  </si>
  <si>
    <t>1/217**</t>
  </si>
  <si>
    <t>Sozialversicherung</t>
  </si>
  <si>
    <t>1/16***</t>
  </si>
  <si>
    <t>1/22***</t>
  </si>
  <si>
    <t>1/193** + 1/19137</t>
  </si>
  <si>
    <t>1/253**</t>
  </si>
  <si>
    <t>Leistungen nach dem Bundespflegegeldgesetz</t>
  </si>
  <si>
    <t>1/1534*</t>
  </si>
  <si>
    <t>1/2134*</t>
  </si>
  <si>
    <t>Wohnungsbau</t>
  </si>
  <si>
    <t>AB 23</t>
  </si>
  <si>
    <t xml:space="preserve"> </t>
  </si>
  <si>
    <t>1/53247</t>
  </si>
  <si>
    <t>1/44247</t>
  </si>
  <si>
    <t xml:space="preserve">Zuschüsse nach § 3 des Wohnbauförderungs- Zweckzuschussgesetzes sowie nach dem Bundes-Sonderwohnbaugesetz   </t>
  </si>
  <si>
    <t>1/53217 + 1/53237</t>
  </si>
  <si>
    <t>1/44217+1/44237</t>
  </si>
  <si>
    <t>AB 32</t>
  </si>
  <si>
    <t>1/6562* - 1/6566*</t>
  </si>
  <si>
    <t>1/4162*-1/4166* abz. 1/343**</t>
  </si>
  <si>
    <t>1/5326*</t>
  </si>
  <si>
    <t>1/4426*</t>
  </si>
  <si>
    <t xml:space="preserve">Straßengesellschaften </t>
  </si>
  <si>
    <t>1/6569*</t>
  </si>
  <si>
    <t>1/4169*</t>
  </si>
  <si>
    <t>Sonstiger Verkehr</t>
  </si>
  <si>
    <t>AB 33</t>
  </si>
  <si>
    <t xml:space="preserve">Abgeltungen an die Postgesellschaften für Pensionen und Pflegegeld  </t>
  </si>
  <si>
    <t>1/55517</t>
  </si>
  <si>
    <t>1/23517</t>
  </si>
  <si>
    <t>Abgeltungen an die Postgesellschaften für gemeinwirtschaftliche Leistungen</t>
  </si>
  <si>
    <t>1/65178</t>
  </si>
  <si>
    <t>1/41178</t>
  </si>
  <si>
    <t>1/5083*</t>
  </si>
  <si>
    <t>1/15888</t>
  </si>
  <si>
    <t>Post- und Telegraphenverwaltung</t>
  </si>
  <si>
    <t xml:space="preserve">Abgeltungen an die Österreichischen Bundesbahnen für Pensionen (einschließlich Pflegegeld)  </t>
  </si>
  <si>
    <t>1/55507</t>
  </si>
  <si>
    <t>1/23507</t>
  </si>
  <si>
    <t xml:space="preserve">Sonstige Abgeltungen an die Österreichischen Bundesbahnen gemäß Bundesbahngesetz 1992     </t>
  </si>
  <si>
    <t>1/65148 + 1/65158</t>
  </si>
  <si>
    <t>1/41148+1/41158</t>
  </si>
  <si>
    <t>Bundesbeitrag für U-Bahnteil (Schienenverbund)</t>
  </si>
  <si>
    <t>1/65204</t>
  </si>
  <si>
    <t>1/41204</t>
  </si>
  <si>
    <t>Finanzzuweisungen in Nahverkehrsangelegenheiten</t>
  </si>
  <si>
    <t>1/53097</t>
  </si>
  <si>
    <t>1/44097</t>
  </si>
  <si>
    <t>Land- und Forstwirtschaft</t>
  </si>
  <si>
    <t>AB 34</t>
  </si>
  <si>
    <t>Marktordnungsmaßnahmen</t>
  </si>
  <si>
    <t>1/603**</t>
  </si>
  <si>
    <t>1/423** + 1/424**</t>
  </si>
  <si>
    <t>Agrarische Strukturförderung</t>
  </si>
  <si>
    <t>1/602**</t>
  </si>
  <si>
    <t>1/422**</t>
  </si>
  <si>
    <t xml:space="preserve">Schutzwasserbau und Lawinenverbauung </t>
  </si>
  <si>
    <t>1/608**</t>
  </si>
  <si>
    <t>1/427**</t>
  </si>
  <si>
    <t>Marktordnungspolitische Maßnahmen</t>
  </si>
  <si>
    <t>Österreichische Bundesforste</t>
  </si>
  <si>
    <t>Energiewirtschaft</t>
  </si>
  <si>
    <t>AB 35</t>
  </si>
  <si>
    <t xml:space="preserve">hievon: </t>
  </si>
  <si>
    <t>1/54043 + 1/63013 + 1/63156</t>
  </si>
  <si>
    <t>1/45043+1/33013+ 1/33156</t>
  </si>
  <si>
    <t>Industrie und Gewerbe (einschließlich Bergbau)</t>
  </si>
  <si>
    <t>AB 36</t>
  </si>
  <si>
    <t>Bergbau und Grundstoffe - Förderung</t>
  </si>
  <si>
    <t>Sonstige Wirtschaft einschließlich Energiewesen</t>
  </si>
  <si>
    <t>Regional- und strukturpolitische Maßnahmen (BKA)</t>
  </si>
  <si>
    <t>Wirtschaftsförderungen</t>
  </si>
  <si>
    <t>1/6315*</t>
  </si>
  <si>
    <t>1/4015*</t>
  </si>
  <si>
    <t xml:space="preserve">Haftungsübernahmen des Bundes (Ausfuhrförderungsgesetz)     </t>
  </si>
  <si>
    <t>1/5470* + 1/5472*</t>
  </si>
  <si>
    <t>1/4570*+1/4572*</t>
  </si>
  <si>
    <t xml:space="preserve">Haftungsübernahmen des Bundes  </t>
  </si>
  <si>
    <t>Finanzmarktstabilität</t>
  </si>
  <si>
    <t>1/46***</t>
  </si>
  <si>
    <t>Technologie- und Forschungsförderung (gewerblich)</t>
  </si>
  <si>
    <t>1/6531*</t>
  </si>
  <si>
    <t>1/3431*</t>
  </si>
  <si>
    <t>Öffentliche Dienstleistungen</t>
  </si>
  <si>
    <t>AB 37</t>
  </si>
  <si>
    <t xml:space="preserve">Internationales Amtssitz- und  Konferenzzentrum Wien     </t>
  </si>
  <si>
    <t>1/5482*</t>
  </si>
  <si>
    <t>1/4582*</t>
  </si>
  <si>
    <t>Siedlungswasserwirtschaft/Wasserwirtschaft gem. UFG</t>
  </si>
  <si>
    <t>1/6123*</t>
  </si>
  <si>
    <t>1/4313*</t>
  </si>
  <si>
    <t>Sonstige Umweltmaßnahmen/Umweltförderung im In- u. Ausland</t>
  </si>
  <si>
    <t>1/6124*</t>
  </si>
  <si>
    <t>1/4314*</t>
  </si>
  <si>
    <t>JI/CDM Programm (Joint Implementation / Clean Development Mechanism</t>
  </si>
  <si>
    <t>1/61278</t>
  </si>
  <si>
    <t>1/43168</t>
  </si>
  <si>
    <t>Private Dienstleistungen</t>
  </si>
  <si>
    <t>AB 38</t>
  </si>
  <si>
    <t>Alkohol (Monopol)</t>
  </si>
  <si>
    <t>Internationale Finanzinstitutionen</t>
  </si>
  <si>
    <t>1/54052</t>
  </si>
  <si>
    <t>1/45052</t>
  </si>
  <si>
    <t>Tourismus</t>
  </si>
  <si>
    <t>1/631**</t>
  </si>
  <si>
    <t>1/401*</t>
  </si>
  <si>
    <t>Landesverteidigung</t>
  </si>
  <si>
    <t>AB 41</t>
  </si>
  <si>
    <t xml:space="preserve">Heer und Heeresverwaltung </t>
  </si>
  <si>
    <t>1/401** + 1/402**</t>
  </si>
  <si>
    <t>1/141**+1/142</t>
  </si>
  <si>
    <t>Staats- und Rechtssicherheit</t>
  </si>
  <si>
    <t>AB 42</t>
  </si>
  <si>
    <t>Justiz</t>
  </si>
  <si>
    <t>1/30***</t>
  </si>
  <si>
    <t>1/13***</t>
  </si>
  <si>
    <t xml:space="preserve">Sicherheitsaufgaben </t>
  </si>
  <si>
    <t>1/117**</t>
  </si>
  <si>
    <t>Übrige Hoheitsverwaltung</t>
  </si>
  <si>
    <t>AB 43</t>
  </si>
  <si>
    <t>1/156** - 1/158**</t>
  </si>
  <si>
    <t>1/01**0 - 1/99**0</t>
  </si>
  <si>
    <t>1/530** - 1/53307</t>
  </si>
  <si>
    <t>1/440**-1/44307</t>
  </si>
  <si>
    <t xml:space="preserve">Katastrophenfonds </t>
  </si>
  <si>
    <t>1/53317 - 1/535**</t>
  </si>
  <si>
    <t>1/44317-1/445**</t>
  </si>
  <si>
    <t xml:space="preserve">Erhaltung der durch die Burghauptmannschaft Österreich betreuten Gebäude der übrigen  Hoheitsverwaltung         </t>
  </si>
  <si>
    <t>1/632**</t>
  </si>
  <si>
    <t>1/402*</t>
  </si>
  <si>
    <t xml:space="preserve">Effekten- und Geldverkehr des Bundes </t>
  </si>
  <si>
    <t>1/510** - 1/511**</t>
  </si>
  <si>
    <t xml:space="preserve">Zuführung an Rücklagen </t>
  </si>
  <si>
    <t>1/512**</t>
  </si>
  <si>
    <t>Ersatz an ÖIAG gemäß BGBl Nr. 973/93</t>
  </si>
  <si>
    <t>1/58***</t>
  </si>
  <si>
    <t xml:space="preserve">    </t>
  </si>
  <si>
    <t>1) Ab 2000 sind diese Zahlungen zufolge geänderter gesetzlicher Bestimmungen bei den Einnahmen als Überweisung beim Kapitel 52/Untergliederung 16 "Öffentliche Abgaben"   vorgesehen.</t>
  </si>
  <si>
    <t>Finanzierungen, Währungstauschverträge, sonstige Finanzierungen und Veranlagungen</t>
  </si>
  <si>
    <t>Bundestheater / Bundestheatergesellschaften</t>
  </si>
  <si>
    <r>
      <t xml:space="preserve">Ämter der Universitäten </t>
    </r>
    <r>
      <rPr>
        <vertAlign val="superscript"/>
        <sz val="9"/>
        <rFont val="Palatino Linotype"/>
        <family val="1"/>
      </rPr>
      <t>1)</t>
    </r>
  </si>
  <si>
    <r>
      <t xml:space="preserve">Amt der Bundestheater </t>
    </r>
    <r>
      <rPr>
        <vertAlign val="superscript"/>
        <sz val="9"/>
        <rFont val="Palatino Linotype"/>
        <family val="1"/>
      </rPr>
      <t>1)</t>
    </r>
  </si>
  <si>
    <r>
      <t xml:space="preserve">Zahlungen gem. Gesundheits- u. Sozialbereichs-Beihilfengesetz </t>
    </r>
    <r>
      <rPr>
        <i/>
        <vertAlign val="superscript"/>
        <sz val="9"/>
        <rFont val="Palatino Linotype"/>
        <family val="1"/>
      </rPr>
      <t>1)</t>
    </r>
  </si>
  <si>
    <r>
      <t xml:space="preserve">Bundesbeitrag zur Arbeitsmarktpolitik </t>
    </r>
    <r>
      <rPr>
        <vertAlign val="superscript"/>
        <sz val="9"/>
        <rFont val="Palatino Linotype"/>
        <family val="1"/>
      </rPr>
      <t>1)</t>
    </r>
  </si>
  <si>
    <r>
      <t xml:space="preserve">Ausgleichsfonds für Familienbeihilfen </t>
    </r>
    <r>
      <rPr>
        <vertAlign val="superscript"/>
        <sz val="9"/>
        <rFont val="Palatino Linotype"/>
        <family val="1"/>
      </rPr>
      <t>1)</t>
    </r>
  </si>
  <si>
    <r>
      <t xml:space="preserve">Bundesstraßen </t>
    </r>
    <r>
      <rPr>
        <vertAlign val="superscript"/>
        <sz val="9"/>
        <rFont val="Palatino Linotype"/>
        <family val="1"/>
      </rPr>
      <t>2)</t>
    </r>
  </si>
  <si>
    <r>
      <t xml:space="preserve">Zuschüsse - ZG 2001 (Übertragung der Bundesstraßen) </t>
    </r>
    <r>
      <rPr>
        <vertAlign val="superscript"/>
        <sz val="9"/>
        <rFont val="Palatino Linotype"/>
        <family val="1"/>
      </rPr>
      <t>2)</t>
    </r>
  </si>
  <si>
    <r>
      <t xml:space="preserve">Ämter gemäss Poststrukturgesetz </t>
    </r>
    <r>
      <rPr>
        <vertAlign val="superscript"/>
        <sz val="9"/>
        <rFont val="Palatino Linotype"/>
        <family val="1"/>
      </rPr>
      <t>1)</t>
    </r>
  </si>
  <si>
    <r>
      <t xml:space="preserve">Kapitalbeteiligungen an </t>
    </r>
    <r>
      <rPr>
        <i/>
        <sz val="9"/>
        <rFont val="Palatino Linotype"/>
        <family val="1"/>
      </rPr>
      <t>verstaatlichten</t>
    </r>
    <r>
      <rPr>
        <sz val="9"/>
        <rFont val="Palatino Linotype"/>
        <family val="1"/>
      </rPr>
      <t xml:space="preserve"> Gesellschaften der Elektrizitätswirtschaft </t>
    </r>
  </si>
  <si>
    <r>
      <t xml:space="preserve">Finanzierungen, Währungstauschverträge, sonstige Finanzierungen und Veranlagungen </t>
    </r>
    <r>
      <rPr>
        <vertAlign val="superscript"/>
        <sz val="9"/>
        <rFont val="Palatino Linotype"/>
        <family val="1"/>
      </rPr>
      <t>1)</t>
    </r>
  </si>
  <si>
    <r>
      <t xml:space="preserve">Sonstige Kassenverwaltungsausgaben </t>
    </r>
    <r>
      <rPr>
        <i/>
        <vertAlign val="superscript"/>
        <sz val="9"/>
        <rFont val="Palatino Linotype"/>
        <family val="1"/>
      </rPr>
      <t xml:space="preserve"> 3)</t>
    </r>
  </si>
  <si>
    <r>
      <t xml:space="preserve">Sonstige Kassenverwaltungsausgaben </t>
    </r>
    <r>
      <rPr>
        <i/>
        <vertAlign val="superscript"/>
        <sz val="9"/>
        <rFont val="Palatino Linotype"/>
        <family val="1"/>
      </rPr>
      <t xml:space="preserve"> 4)</t>
    </r>
  </si>
  <si>
    <r>
      <t xml:space="preserve">Leistungen im Rahmen des Finanzausgleichs an Länder (Ertragsanteilekopfquoten-Ausgleich) und an Bundes-bahnbetriebsstätten-Gemeinden (einschließlich Bedarfs-zuweisungen und Finanzkraftstärkung sowie Polizei-kostenersätze an Städte mit eigenem Statut) sowie Finanzzuweisungen für umweltschonende und energie-sparende Maßnahmen </t>
    </r>
    <r>
      <rPr>
        <vertAlign val="superscript"/>
        <sz val="9"/>
        <rFont val="Palatino Linotype"/>
        <family val="1"/>
      </rPr>
      <t xml:space="preserve">3)     </t>
    </r>
  </si>
  <si>
    <t>30 Unterricht, Kunst und Kultur</t>
  </si>
  <si>
    <r>
      <t xml:space="preserve">Zuschüsse nach § 1 und § 5 des Wohnbauförderungs- Zweckzuschussgesetzes </t>
    </r>
    <r>
      <rPr>
        <vertAlign val="superscript"/>
        <sz val="9"/>
        <rFont val="Palatino Linotype"/>
        <family val="1"/>
      </rPr>
      <t>4)</t>
    </r>
  </si>
  <si>
    <r>
      <rPr>
        <vertAlign val="superscript"/>
        <sz val="8"/>
        <color rgb="FF000000"/>
        <rFont val="Palatino Linotype"/>
        <family val="1"/>
      </rPr>
      <t xml:space="preserve">4) </t>
    </r>
    <r>
      <rPr>
        <sz val="8"/>
        <color rgb="FF000000"/>
        <rFont val="Palatino Linotype"/>
        <family val="1"/>
      </rPr>
      <t>Ab BVA 2003 bei  "Finanzierungen, Währungstauschverträge" mitveranschlagt</t>
    </r>
  </si>
  <si>
    <r>
      <rPr>
        <vertAlign val="superscript"/>
        <sz val="8"/>
        <color rgb="FF000000"/>
        <rFont val="Palatino Linotype"/>
        <family val="1"/>
      </rPr>
      <t xml:space="preserve">3) </t>
    </r>
    <r>
      <rPr>
        <sz val="8"/>
        <color rgb="FF000000"/>
        <rFont val="Palatino Linotype"/>
        <family val="1"/>
      </rPr>
      <t>Werden ab 2009 bei den Ertragsanteilen als Ab-Überweisung veranschlagt.</t>
    </r>
  </si>
  <si>
    <t>(Finanzierungen) sowie des § 17 Abs. 5a (zweckgebundene Gebarung) BHG budgetverkürzend aus.</t>
  </si>
  <si>
    <r>
      <rPr>
        <vertAlign val="superscript"/>
        <sz val="8"/>
        <color rgb="FF000000"/>
        <rFont val="Palatino Linotype"/>
        <family val="1"/>
      </rPr>
      <t xml:space="preserve">1) </t>
    </r>
    <r>
      <rPr>
        <sz val="8"/>
        <color rgb="FF000000"/>
        <rFont val="Palatino Linotype"/>
        <family val="1"/>
      </rPr>
      <t xml:space="preserve">Die ab 2009 geltende Haushaltsrechtsreform wirkt sich auf Grund der Bestimmungen des § 16 Abs 5 (Personalämter) und Abs. 6 </t>
    </r>
  </si>
  <si>
    <r>
      <rPr>
        <vertAlign val="superscript"/>
        <sz val="8"/>
        <color rgb="FF000000"/>
        <rFont val="Palatino Linotype"/>
        <family val="1"/>
      </rPr>
      <t xml:space="preserve">2) </t>
    </r>
    <r>
      <rPr>
        <sz val="8"/>
        <color rgb="FF000000"/>
        <rFont val="Palatino Linotype"/>
        <family val="1"/>
      </rPr>
      <t xml:space="preserve">Gemäß den Bestimmungen im Finanzausgleichsgesetz 2001, BGBl. I Nr.3/2001 idF. BGBl. I Nr. 50/2002, wurde den Ländern ab 1. April </t>
    </r>
  </si>
  <si>
    <t>2002 die  Projektierungs-, Bauaufsichts-, Bauoberleitungs-, Bauführungs- und Verwaltungsaufgaben der Bundesstraßen übertragen.</t>
  </si>
  <si>
    <t xml:space="preserve">     davon</t>
  </si>
  <si>
    <t xml:space="preserve">     Ertragsanteile der Länder </t>
  </si>
  <si>
    <t>Burgenland</t>
  </si>
  <si>
    <t>Kärnten</t>
  </si>
  <si>
    <t>Niederösterreich</t>
  </si>
  <si>
    <t>Oberösterreich</t>
  </si>
  <si>
    <t>Salzbug</t>
  </si>
  <si>
    <t>Steiermark</t>
  </si>
  <si>
    <t>Tirol</t>
  </si>
  <si>
    <t>Vorarlberg</t>
  </si>
  <si>
    <t>Wien</t>
  </si>
  <si>
    <t xml:space="preserve">       als Land</t>
  </si>
  <si>
    <t xml:space="preserve">       als Gemeinde</t>
  </si>
  <si>
    <t>Ertragsanteile</t>
  </si>
  <si>
    <t>Aufteilung in Mio. €</t>
  </si>
  <si>
    <t>BIG</t>
  </si>
  <si>
    <t>Gesamtstaat, nach VGR</t>
  </si>
  <si>
    <t>Zinsaufwand</t>
  </si>
  <si>
    <t>Primärsaldo</t>
  </si>
  <si>
    <t>in Mio €</t>
  </si>
  <si>
    <t>Öffentlicher 
Schuldenstand</t>
  </si>
  <si>
    <r>
      <t xml:space="preserve">Arbeitgeber- und Arbeitsnehmerbeiträge </t>
    </r>
    <r>
      <rPr>
        <vertAlign val="superscript"/>
        <sz val="8"/>
        <color theme="1"/>
        <rFont val="Palatino Linotype"/>
        <family val="1"/>
      </rPr>
      <t>1)</t>
    </r>
  </si>
  <si>
    <t xml:space="preserve">        Land</t>
  </si>
  <si>
    <t xml:space="preserve">        Gemeinden</t>
  </si>
  <si>
    <t xml:space="preserve">     und Gemeinden</t>
  </si>
  <si>
    <t>Summe Einzahlungen</t>
  </si>
  <si>
    <t>Einzahlungen aus der Rückzahlung von Darlehen und gewährten Vorschüssen</t>
  </si>
  <si>
    <t>Einzahlungen aus der Investitionstätigkeit</t>
  </si>
  <si>
    <t>Einzahlungen aus Finanzerträgen</t>
  </si>
  <si>
    <t>Einzahlungen aus sonstigen Rücklagen</t>
  </si>
  <si>
    <t>Sonstige Einzahlungen</t>
  </si>
  <si>
    <t>Einzahlungen aus Sozialbeiträgen</t>
  </si>
  <si>
    <t>Einzahlungen aus Transfers innerhalb des Bundes</t>
  </si>
  <si>
    <t>Einzahlungen aus Transfers von privaten Haushalten und gemeinnützigen Einrichtungen</t>
  </si>
  <si>
    <t>Einzahlungen aus Transfers von Unternehmen</t>
  </si>
  <si>
    <t>Einzahlungen aus Transfers von ausländischen Körperschaften und Rechtsträgern</t>
  </si>
  <si>
    <t>Einzahlungen aus Transfers von öffentlichen Körperschaften und Rechtsträgern</t>
  </si>
  <si>
    <t>Einzahlungen aus Transfers</t>
  </si>
  <si>
    <t>Einzahlungen aus Kostenbeiträgen und Gebühren</t>
  </si>
  <si>
    <t>Einzahlungen aus wirtschaftlicher Tätigkeit</t>
  </si>
  <si>
    <t>Einzahlungen aus abgabenähnlichen Erträgen</t>
  </si>
  <si>
    <t>Einzahlungen aus Abgaben (netto)</t>
  </si>
  <si>
    <t>Überweisungen an Fonds</t>
  </si>
  <si>
    <t>Überweisungen für Gesundheit und Soziales</t>
  </si>
  <si>
    <t>Supranationale und zwischenstaatliche Überweisungen</t>
  </si>
  <si>
    <t>Überweisungen an Gebietskörperschaften</t>
  </si>
  <si>
    <t>Einzahlungen aus Ab-Überweisungen (FAG, EU-Beitrag, Fonds etc.)</t>
  </si>
  <si>
    <t>Einzahlungen aus Gebühren, Bundesverwaltungsabgaben und sonstigen Abgaben</t>
  </si>
  <si>
    <t>Einzahlungen aus Verbrauchs- und Verkehrssteuern</t>
  </si>
  <si>
    <t>Einzahlungen aus Einkommens- und Vermögenssteuern</t>
  </si>
  <si>
    <t>Einzahlungen aus Abgaben (brutto)</t>
  </si>
  <si>
    <t>Einzahlungen aus der operativen Verwaltungstätigkeit und Transfers</t>
  </si>
  <si>
    <t>Finanzierungshaushalt - Einzahlungen</t>
  </si>
  <si>
    <t>Summe Erträge</t>
  </si>
  <si>
    <t>Finanzerträge</t>
  </si>
  <si>
    <t>Übrige sonstige Erträge</t>
  </si>
  <si>
    <t>Erträge aus der Auflösung von Rückstellungen</t>
  </si>
  <si>
    <t>Geldstrafen</t>
  </si>
  <si>
    <t>Sonstige Erträge</t>
  </si>
  <si>
    <t>Erträge aus Sozialbeiträgen</t>
  </si>
  <si>
    <t>Erträge aus Transfers innerhalb des Bundes</t>
  </si>
  <si>
    <t>Erträge aus Transfers von privaten Haushalten und gemeinnützigen Einrichtungen</t>
  </si>
  <si>
    <t>Erträge aus Transfers von Unternehmen</t>
  </si>
  <si>
    <t>Erträge aus Transfers von ausländischen Körperschaften und Rechtsträgern</t>
  </si>
  <si>
    <t>Erträge aus Transfers von öffentlichen Körperschaften und Rechtsträgern</t>
  </si>
  <si>
    <t>Erträge aus Transfers</t>
  </si>
  <si>
    <t>Erträge aus Kostenbeiträgen und Gebühren</t>
  </si>
  <si>
    <t>Erträge aus wirtschaftlicher Tätigkeit</t>
  </si>
  <si>
    <t>Abgabenähnliche Erträge</t>
  </si>
  <si>
    <t>Erträge aus Abgaben (netto)</t>
  </si>
  <si>
    <t>Ab-Überweisungen (FAG, EU-Beitrag, Fonds etc.)</t>
  </si>
  <si>
    <t>Gebühren, Bundesverwaltungsabgaben und sonstigen Abgaben</t>
  </si>
  <si>
    <t>Verbrauchs- und Verkehrssteuern</t>
  </si>
  <si>
    <t>Einkommens- und Vermögenssteuern</t>
  </si>
  <si>
    <t>Erträge aus Abgaben (brutto)</t>
  </si>
  <si>
    <t>Erträge aus der operativen Verwaltungstätigkeit und Transfers</t>
  </si>
  <si>
    <t>Ergebnishaushalt - Erträge</t>
  </si>
  <si>
    <t>Summe Auszahlungen</t>
  </si>
  <si>
    <t>Auszahlungen aus der Gewährung von Darlehen</t>
  </si>
  <si>
    <t>Auszahlungen aus der Gewährung von Darlehen sowie gewährten Vorschüssen</t>
  </si>
  <si>
    <t>Auszahlungen aus dem Zugang von Beteiligungen</t>
  </si>
  <si>
    <t>Auszahlungen aus dem Zugang von immateriellen Vermögensgegenständen</t>
  </si>
  <si>
    <t>Auszahlungen aus dem Zugang von Sachanlagen</t>
  </si>
  <si>
    <t>Auszahlungen aus der Investitionstätigkeit</t>
  </si>
  <si>
    <t>Auszahlungen aus sonstigen Transfers</t>
  </si>
  <si>
    <t>Auszahlungen aus Transfers an private Haushalte</t>
  </si>
  <si>
    <t>Auszahlungen aus Transfers an Unternehmen</t>
  </si>
  <si>
    <t>Auszahlungen aus Transfers an ausländische Körperschaften und Rechtsträger</t>
  </si>
  <si>
    <t>Auszahlungen aus Transfers an öffentliche Körperschaften und Rechtsträger</t>
  </si>
  <si>
    <t>Auszahlungen aus Transfers</t>
  </si>
  <si>
    <t>Auszahlungen aus sonstigem betrieblichen Sachaufwand</t>
  </si>
  <si>
    <t>Auszahlungen aus Geringwertigen Wirtschaftsgütern (GWG)</t>
  </si>
  <si>
    <t>Auszahlungen aus Entschädigungen an Präsenz- und Zivildienstleistende</t>
  </si>
  <si>
    <t>Auszahlungen aus Heeresanlagen</t>
  </si>
  <si>
    <t>Auszahlungen aus Transporte durch Dritte</t>
  </si>
  <si>
    <t>Auszahlungen aus Personalleihe und sonstigen Dienstverhältnissen zum Bund</t>
  </si>
  <si>
    <t>Auszahlungen aus Werkleistungen</t>
  </si>
  <si>
    <t>Auszahlungen aus Reisen</t>
  </si>
  <si>
    <t>Auszahlungen aus Telekommunikation und Nachrichtenaufwand</t>
  </si>
  <si>
    <t>Auszahlungen aus Instandhaltung</t>
  </si>
  <si>
    <t>Auszahlungen aus Mieten</t>
  </si>
  <si>
    <t>Auszahlungen aus Materialaufwand</t>
  </si>
  <si>
    <t>Auszahlungen aus Vergütungen innerhalb des Bundes</t>
  </si>
  <si>
    <t>Auszahlungen aus betrieblichem Sachaufwand</t>
  </si>
  <si>
    <t>Auszahlungen aus Aufwandsentschädigungen im Personalaufwand</t>
  </si>
  <si>
    <t>Auszahlungen aus freiwilligem Sozialaufwand</t>
  </si>
  <si>
    <t xml:space="preserve">Auszahlungen aus Abfertigungen und Jubiläumszuwendungen </t>
  </si>
  <si>
    <t>Auszahlungen aus gesetzlichem Sozialaufwand</t>
  </si>
  <si>
    <t xml:space="preserve">Auszahlungen aus sonstigen Nebengebühren </t>
  </si>
  <si>
    <t xml:space="preserve">Auszahlungen aus Mehrdienstleistungen </t>
  </si>
  <si>
    <t xml:space="preserve">Auszahlungen aus Bezügen </t>
  </si>
  <si>
    <t>Auszahlungen aus Personalaufwand</t>
  </si>
  <si>
    <t>Auszahlungen aus der operativen Verwaltungstätigkeit</t>
  </si>
  <si>
    <t>Finanzierungshaushalt - Auszahlungen</t>
  </si>
  <si>
    <t>Summe Aufwendungen</t>
  </si>
  <si>
    <t>Finanzaufwand</t>
  </si>
  <si>
    <t>Aufwand für Sonstige Transfers</t>
  </si>
  <si>
    <t>Aufwand für Transfers an private Haushalte</t>
  </si>
  <si>
    <t>Aufwand für Transfers an Unternehmen</t>
  </si>
  <si>
    <t>Aufwand für Transfers an ausländische Körperschaften und Rechtsträger</t>
  </si>
  <si>
    <t>Aufwand für Transfers an öffentliche Körperschaften und Rechtsträger</t>
  </si>
  <si>
    <t>Transferaufwand</t>
  </si>
  <si>
    <t>Sonstiger betrieblicher Sachaufwand</t>
  </si>
  <si>
    <t>Aufwendungen aus der Wertberichtigung und dem Abgang von Forderungen</t>
  </si>
  <si>
    <t>Geringwertigen Wirtschaftsgütern (GWG)</t>
  </si>
  <si>
    <t>Abschreibungen auf Sachanlagen und immaterielle Vermögensgegenstände</t>
  </si>
  <si>
    <t>Entschädigungen an Präsenz- und Zivildienstleistende</t>
  </si>
  <si>
    <t>Heeresanlagen</t>
  </si>
  <si>
    <t>Transporte durch Dritte</t>
  </si>
  <si>
    <t>Personalleihe und sonstigen Dienstverhältnissen zum Bund</t>
  </si>
  <si>
    <t>Aufwand für Werkleistungen</t>
  </si>
  <si>
    <t>Reisen</t>
  </si>
  <si>
    <t>Telekommunikation und Nachrichtenaufwand</t>
  </si>
  <si>
    <t>Instandhaltung</t>
  </si>
  <si>
    <t>Mieten</t>
  </si>
  <si>
    <t>Materialaufwand</t>
  </si>
  <si>
    <t>Vergütungen innerhalb des Bundes</t>
  </si>
  <si>
    <t>Betrieblichem Sachaufwand</t>
  </si>
  <si>
    <t>Aufwandsentschädigungen im Personalaufwand</t>
  </si>
  <si>
    <t>Freiwilliger Sozialaufwand</t>
  </si>
  <si>
    <t xml:space="preserve">Abfertigungen und Jubiläumszuwendungen </t>
  </si>
  <si>
    <t>Gesetzlicher Sozialaufwand</t>
  </si>
  <si>
    <t>Sonstige Nebengebühren</t>
  </si>
  <si>
    <t>Mehrdienstleistungen</t>
  </si>
  <si>
    <t>Bezüge</t>
  </si>
  <si>
    <t>Personalaufwand</t>
  </si>
  <si>
    <t>Ergebnishaushalt - Aufwendungen</t>
  </si>
  <si>
    <t>Quelle: BMF</t>
  </si>
  <si>
    <t>Diese Ü muss nicht befüllt werden, ist vernüpft.</t>
  </si>
  <si>
    <t>Diese Ü 15 befüllen, Ü 15 (2) ist mit dieser verknüpft und enthält bereits die zusätzlich notwendigen Tabellenköpfe.</t>
  </si>
  <si>
    <r>
      <t xml:space="preserve">2011
</t>
    </r>
    <r>
      <rPr>
        <sz val="8"/>
        <color theme="0"/>
        <rFont val="Palatino Linotype"/>
        <family val="1"/>
      </rPr>
      <t>-</t>
    </r>
  </si>
  <si>
    <t xml:space="preserve">2011
</t>
  </si>
  <si>
    <t>Einz./Ertr.</t>
  </si>
  <si>
    <t>Kapitalertragsteuern</t>
  </si>
  <si>
    <r>
      <t xml:space="preserve">1) </t>
    </r>
    <r>
      <rPr>
        <sz val="8"/>
        <color theme="1"/>
        <rFont val="Palatino Linotype"/>
        <family val="1"/>
      </rPr>
      <t>Einschließlich Ersatzzeitenfinanzierung aus Mitteln von AMS und FLAF</t>
    </r>
  </si>
  <si>
    <t>Erg. HH</t>
  </si>
  <si>
    <t>Fin. HH</t>
  </si>
  <si>
    <t>Übrige Auszahlungen aus der Gewährung von Darlehen sowie gewährten Vorschüssen</t>
  </si>
  <si>
    <t>Auszahlungen aus Finanzaufwand</t>
  </si>
  <si>
    <t>2012</t>
  </si>
  <si>
    <t>2011</t>
  </si>
  <si>
    <r>
      <t xml:space="preserve">Personalplan - Planstellenverzeichnis 1a </t>
    </r>
    <r>
      <rPr>
        <vertAlign val="superscript"/>
        <sz val="9"/>
        <rFont val="Palatino Linotype"/>
        <family val="1"/>
      </rPr>
      <t>1)</t>
    </r>
  </si>
  <si>
    <t>Allgemeiner Verwaltungsdienst inkl. ADV</t>
  </si>
  <si>
    <t>RichterInnen und RichteramtsanwärterInnen</t>
  </si>
  <si>
    <t>Lehrpersonen</t>
  </si>
  <si>
    <t>Schulaufsicht</t>
  </si>
  <si>
    <t>Exekutivdienst</t>
  </si>
  <si>
    <t xml:space="preserve">Militärischer Dienst </t>
  </si>
  <si>
    <t>Post- und Fernmeldehoheitsverwaltung</t>
  </si>
  <si>
    <t>Krankenpflegedienst</t>
  </si>
  <si>
    <t>Summe Planstellenverzeichnis 1a</t>
  </si>
  <si>
    <r>
      <t xml:space="preserve">Personalplan - Planstellenverzeichnis 1b </t>
    </r>
    <r>
      <rPr>
        <b/>
        <vertAlign val="superscript"/>
        <sz val="9"/>
        <rFont val="Palatino Linotype"/>
        <family val="1"/>
      </rPr>
      <t>2)</t>
    </r>
  </si>
  <si>
    <t>Stellenplan/ab 2009 "Personalplan" - Teil II.A</t>
  </si>
  <si>
    <t>Schulaufsichtsdienst</t>
  </si>
  <si>
    <t>(inkl. VB in UO-Funktion lt. StPl/PP)</t>
  </si>
  <si>
    <t>Post- u. Telegraphendienst</t>
  </si>
  <si>
    <t>Stellenplan/Personalplan Gesamt</t>
  </si>
  <si>
    <r>
      <rPr>
        <vertAlign val="superscript"/>
        <sz val="7"/>
        <color rgb="FF000000"/>
        <rFont val="Palatino Linotype"/>
        <family val="1"/>
      </rPr>
      <t>4)</t>
    </r>
    <r>
      <rPr>
        <sz val="7"/>
        <color rgb="FF000000"/>
        <rFont val="Palatino Linotype"/>
        <family val="1"/>
      </rPr>
      <t xml:space="preserve"> Der Anstieg resultiert aus der Umsetzung des Sicherheitspaketes beim BMI und der "befristeten Erhöhung" der LehrerInnenplanstellen beim BMUKK</t>
    </r>
  </si>
  <si>
    <t>ESM</t>
  </si>
  <si>
    <t>16</t>
  </si>
  <si>
    <t>17</t>
  </si>
  <si>
    <t>Staatsschuldentransaktionen</t>
  </si>
  <si>
    <t>25</t>
  </si>
  <si>
    <t>31</t>
  </si>
  <si>
    <t>Polizei</t>
  </si>
  <si>
    <t>33</t>
  </si>
  <si>
    <t>Gerichte</t>
  </si>
  <si>
    <t>34</t>
  </si>
  <si>
    <t>Justizvollzug</t>
  </si>
  <si>
    <t>36</t>
  </si>
  <si>
    <t>42</t>
  </si>
  <si>
    <t>Land- und Forstwirtschaft, Fischerei und Jagd</t>
  </si>
  <si>
    <t>45</t>
  </si>
  <si>
    <t>Verkehr</t>
  </si>
  <si>
    <t>49</t>
  </si>
  <si>
    <t>56</t>
  </si>
  <si>
    <t>61</t>
  </si>
  <si>
    <t>Wohnungswesen</t>
  </si>
  <si>
    <t>76</t>
  </si>
  <si>
    <t>82</t>
  </si>
  <si>
    <t>Kultur</t>
  </si>
  <si>
    <t>84</t>
  </si>
  <si>
    <t>Religiöse und andere Gemeinschaftsangelegenheiten</t>
  </si>
  <si>
    <t>86</t>
  </si>
  <si>
    <t>Sport</t>
  </si>
  <si>
    <t>91</t>
  </si>
  <si>
    <t>Elementar- und Primärbereich</t>
  </si>
  <si>
    <t>92</t>
  </si>
  <si>
    <t>Sekundarbereich</t>
  </si>
  <si>
    <t>94</t>
  </si>
  <si>
    <t>Tertiärbereich</t>
  </si>
  <si>
    <t>98</t>
  </si>
  <si>
    <t>99</t>
  </si>
  <si>
    <t>Grundlagen-, angewandte Forschung und experimentelle Entwicklung</t>
  </si>
  <si>
    <t>Allgemeiner Gebarung:</t>
  </si>
  <si>
    <t>Summe Allgemeiner Gebarung</t>
  </si>
  <si>
    <t>09</t>
  </si>
  <si>
    <t>GB 20.01 Arbeitsmarkt</t>
  </si>
  <si>
    <t>GB 21.02 Pflege</t>
  </si>
  <si>
    <t>UG 22 Sozialversicherung</t>
  </si>
  <si>
    <t>GB 23.01 Pensionen f. Hoheitsverwaltung u. ausgegl. Institutionen</t>
  </si>
  <si>
    <t>GB 25.01 Ausgleichsfonds f. Familienbeihilfen</t>
  </si>
  <si>
    <t>GB 15.02 Steuer- u. Zollverwaltung</t>
  </si>
  <si>
    <t>GB 45.02 Bundesvermögensverwaltung</t>
  </si>
  <si>
    <t>GB 51.01 Kassenverwaltung</t>
  </si>
  <si>
    <t xml:space="preserve">GB 58.01 Finanzierungen u. Währungstauschverträge </t>
  </si>
  <si>
    <t>GB 14.02 Streitkräfte</t>
  </si>
  <si>
    <t>GB 11.02 Sicherheit</t>
  </si>
  <si>
    <t>GB 13.02 Rechtsprechung</t>
  </si>
  <si>
    <t>GB 13.03 Strafvollzug</t>
  </si>
  <si>
    <t>GB 42.02 Landwirtschaft u. ländlicher Raum</t>
  </si>
  <si>
    <t>GB 23.02 Pensionen Post</t>
  </si>
  <si>
    <t>GB 23.03 Pensionen ÖBB</t>
  </si>
  <si>
    <t>GB 41.02 Verkehrs- u. Nachrichtenwesen</t>
  </si>
  <si>
    <t>GB 40.02 Tranferleistungen an die Wirtschaft</t>
  </si>
  <si>
    <t>GB 45.01 Haftungen des Bundes</t>
  </si>
  <si>
    <t>GB 46.01 Finanzmarktstabilität</t>
  </si>
  <si>
    <t>GB 43.01 Allgemeine Umweltschutzpolitik</t>
  </si>
  <si>
    <t>GB 43.02 Abfall- u. Siedlungswasserwirtschaft</t>
  </si>
  <si>
    <t>GB 24.02 Gesundheitssystemfinanzierung</t>
  </si>
  <si>
    <t>GB 44.01 Transfers an Länder u. Gemeinden</t>
  </si>
  <si>
    <t>GB 30.03 Kunst u. Kultur</t>
  </si>
  <si>
    <t>GB 30.04 Ausgegliederte Kultureinrichtungen</t>
  </si>
  <si>
    <t>GB 30.02 Schule einschließlich Lehrpersonal</t>
  </si>
  <si>
    <t>GB 30.01 Unterricht: Steuerung u. Services</t>
  </si>
  <si>
    <t>GB 31.02 Wissenschaft u. Forschung: Tertiäre Bildung</t>
  </si>
  <si>
    <t>GB 31.03 Forschung u. Entwicklung</t>
  </si>
  <si>
    <t>GB 34.01 Forschung, Technologie u. Innovation</t>
  </si>
  <si>
    <t>a) Bundesbudget</t>
  </si>
  <si>
    <t>Grundstücke und Grundstückseinrichtungen</t>
  </si>
  <si>
    <t>Gebäude und Bauten</t>
  </si>
  <si>
    <t>Technische Anlagen und Werkzeuge</t>
  </si>
  <si>
    <t>Amts-, Betriebs- und Geschäftsausstattung</t>
  </si>
  <si>
    <t>Immaterielle Vermögensgegenstände</t>
  </si>
  <si>
    <t>Geringwertige Wirtschaftsgüter</t>
  </si>
  <si>
    <t>Vorräte</t>
  </si>
  <si>
    <t>b) Ausgegliederte Gesellschaften</t>
  </si>
  <si>
    <t>Summe ausgegliederte Gesellschaften</t>
  </si>
  <si>
    <t xml:space="preserve">2011                       </t>
  </si>
  <si>
    <r>
      <rPr>
        <vertAlign val="superscript"/>
        <sz val="8"/>
        <rFont val="Palatino Linotype"/>
        <family val="1"/>
      </rPr>
      <t xml:space="preserve">1) </t>
    </r>
    <r>
      <rPr>
        <sz val="8"/>
        <rFont val="Palatino Linotype"/>
        <family val="1"/>
      </rPr>
      <t>Auszahlungen für Verzinsung bei Nettodarstellung der SWAPS</t>
    </r>
  </si>
  <si>
    <t>Auszahlungen</t>
  </si>
  <si>
    <t>Nettofinanzierungsbedarf</t>
  </si>
  <si>
    <t>Einzahlungen</t>
  </si>
  <si>
    <t>Bundesfinanzierung</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</si>
  <si>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</si>
  <si>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t>Bruttoabgaben</t>
  </si>
  <si>
    <t>Nettoabgaben</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</si>
  <si>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</si>
  <si>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r>
      <rPr>
        <vertAlign val="superscript"/>
        <sz val="8"/>
        <rFont val="Palatino Linotype"/>
        <family val="1"/>
      </rPr>
      <t xml:space="preserve">1) </t>
    </r>
    <r>
      <rPr>
        <sz val="8"/>
        <rFont val="Palatino Linotype"/>
        <family val="1"/>
      </rPr>
      <t>Vor 2009 Kapitel 52</t>
    </r>
  </si>
  <si>
    <r>
      <t xml:space="preserve">Gemeinden </t>
    </r>
    <r>
      <rPr>
        <vertAlign val="superscript"/>
        <sz val="9"/>
        <rFont val="Palatino Linotype"/>
        <family val="1"/>
      </rPr>
      <t>1)</t>
    </r>
  </si>
  <si>
    <r>
      <t>Sonstige</t>
    </r>
    <r>
      <rPr>
        <vertAlign val="superscript"/>
        <sz val="9"/>
        <rFont val="Palatino Linotype"/>
        <family val="1"/>
      </rPr>
      <t xml:space="preserve"> 2) </t>
    </r>
  </si>
  <si>
    <r>
      <t>Gemeinden</t>
    </r>
    <r>
      <rPr>
        <vertAlign val="superscript"/>
        <sz val="9"/>
        <rFont val="Palatino Linotype"/>
        <family val="1"/>
      </rPr>
      <t xml:space="preserve"> 1)</t>
    </r>
  </si>
  <si>
    <t>GB 23.04 Pensionen f. LandeslehrerInnen</t>
  </si>
  <si>
    <t xml:space="preserve">in Mio. € </t>
  </si>
  <si>
    <r>
      <t xml:space="preserve">Sonstige Leistungen </t>
    </r>
    <r>
      <rPr>
        <vertAlign val="superscript"/>
        <sz val="8"/>
        <rFont val="Palatino Linotype"/>
        <family val="1"/>
      </rPr>
      <t>1)</t>
    </r>
  </si>
  <si>
    <r>
      <t xml:space="preserve">Stellenplan/Personalplan - Annex Teil 1 </t>
    </r>
    <r>
      <rPr>
        <b/>
        <vertAlign val="superscript"/>
        <sz val="8"/>
        <rFont val="Palatino Linotype"/>
        <family val="1"/>
      </rPr>
      <t>1)</t>
    </r>
  </si>
  <si>
    <r>
      <t>Stellenplan - Teil VI</t>
    </r>
    <r>
      <rPr>
        <b/>
        <vertAlign val="superscript"/>
        <sz val="8"/>
        <rFont val="Palatino Linotype"/>
        <family val="1"/>
      </rPr>
      <t xml:space="preserve"> 2)</t>
    </r>
  </si>
  <si>
    <r>
      <t>2)</t>
    </r>
    <r>
      <rPr>
        <sz val="7"/>
        <rFont val="Palatino Linotype"/>
        <family val="1"/>
      </rPr>
      <t xml:space="preserve"> Gemäß der HHRR 2 wird der Personalplan 2013 neu gegliedert; das neue Planstellenverzeichnis 1b entspricht dem bisherigen Annex Teil 1 und beinhaltet sämtliche Planstellen der Bundesbediensteten, die für ausgegliederte Rechtsträger leisten.</t>
    </r>
  </si>
  <si>
    <r>
      <t xml:space="preserve">     Pensionisten </t>
    </r>
    <r>
      <rPr>
        <vertAlign val="superscript"/>
        <sz val="9"/>
        <rFont val="Palatino Linotype"/>
        <family val="1"/>
      </rPr>
      <t>1)</t>
    </r>
  </si>
  <si>
    <t>Allgemeine Gebarung</t>
  </si>
  <si>
    <t xml:space="preserve">getretene Haushaltsrechtsreform (HR). Diese wirkt sich auf Grund der Bestimmungen des § 16 Abs. 5 (Personalämter) und Abs. 6 </t>
  </si>
  <si>
    <r>
      <t xml:space="preserve">Abgaben, netto </t>
    </r>
    <r>
      <rPr>
        <vertAlign val="superscript"/>
        <sz val="8"/>
        <rFont val="Palatino Linotype"/>
        <family val="1"/>
      </rPr>
      <t>2)</t>
    </r>
  </si>
  <si>
    <t>Abgaben</t>
  </si>
  <si>
    <t>Summe A (Allgemeine Gebarung)</t>
  </si>
  <si>
    <t>B) Geldfluss aus der Finanzierungstätigkeit:</t>
  </si>
  <si>
    <t>Summe B (Geldfluss aus der Finanzierungstätigkeit)</t>
  </si>
  <si>
    <t>Gesamtauszahlungen</t>
  </si>
  <si>
    <t>SchülerInnen- und Lehrlingsfreifahrten sowie  sowie Schul- und Lehrlingsfreifahrtbeihilfen</t>
  </si>
  <si>
    <r>
      <rPr>
        <vertAlign val="superscript"/>
        <sz val="7"/>
        <color rgb="FF000000"/>
        <rFont val="Palatino Linotype"/>
        <family val="1"/>
      </rPr>
      <t>5)</t>
    </r>
    <r>
      <rPr>
        <sz val="7"/>
        <color rgb="FF000000"/>
        <rFont val="Palatino Linotype"/>
        <family val="1"/>
      </rPr>
      <t xml:space="preserve"> Rd. 900 Militär-Planstellen, die mit Bediensteten der Allg. Verw. besetzt waren, wurden im Hinblick auf den Personalplan NEU in Planstellen des Allg.Verwaltungsdienstes umgewandelt.</t>
    </r>
  </si>
  <si>
    <r>
      <t>1)</t>
    </r>
    <r>
      <rPr>
        <sz val="7"/>
        <rFont val="Palatino Linotype"/>
        <family val="1"/>
      </rPr>
      <t xml:space="preserve"> Gemäß der HHRR 2 wird der Personalplan 2013 neu gegliedert; das neue Planstellenverzeichnis 1a entspricht dem bisherigen Teil II.A und beinhaltet sämtliche Planstellen der Bundesbediensteten in der Bundesverwaltung.</t>
    </r>
  </si>
  <si>
    <r>
      <rPr>
        <vertAlign val="superscript"/>
        <sz val="8"/>
        <rFont val="Palatino Linotype"/>
        <family val="1"/>
      </rPr>
      <t>2)</t>
    </r>
    <r>
      <rPr>
        <sz val="8"/>
        <rFont val="Palatino Linotype"/>
        <family val="1"/>
      </rPr>
      <t xml:space="preserve"> Gesamtsumme lt. Personalplan</t>
    </r>
  </si>
  <si>
    <r>
      <t xml:space="preserve">     aktive Bedienstete </t>
    </r>
    <r>
      <rPr>
        <vertAlign val="superscript"/>
        <sz val="8"/>
        <rFont val="Palatino Linotype"/>
        <family val="1"/>
      </rPr>
      <t>2)</t>
    </r>
    <r>
      <rPr>
        <sz val="8"/>
        <rFont val="Palatino Linotype"/>
        <family val="1"/>
      </rPr>
      <t xml:space="preserve">   </t>
    </r>
  </si>
  <si>
    <t>Übersicht 15a: Gesamtauszahlungen des Bundes bis 2012, funktionelle Gliederung</t>
  </si>
  <si>
    <t>Übersicht 15b: Gesamtauszahlungen/-aufwendungen des Bundes nach Aufgabenbereichen, funktionelle Gliederung</t>
  </si>
  <si>
    <t>Soziale Sicherung</t>
  </si>
  <si>
    <t>Allgemeine öffentliche Verwaltung</t>
  </si>
  <si>
    <t>Verteidigung</t>
  </si>
  <si>
    <t>Öffentliche Ordnung und Sicherheit</t>
  </si>
  <si>
    <t>Wirtschaftliche Angelegenheiten</t>
  </si>
  <si>
    <t>Gesundheitswesen</t>
  </si>
  <si>
    <t>Bildungswesen</t>
  </si>
  <si>
    <t>Finanzierung in Mrd. € bzw. in % des BIP</t>
  </si>
  <si>
    <t>Anzahl der Pflichtversicherten (gesamte PV) in 1.000</t>
  </si>
  <si>
    <t>Anzahl der Pensionen (gesamte PV) in 1.000</t>
  </si>
  <si>
    <r>
      <t xml:space="preserve">2007
</t>
    </r>
    <r>
      <rPr>
        <sz val="9"/>
        <color indexed="9"/>
        <rFont val="Palatino Linotype"/>
        <family val="1"/>
      </rPr>
      <t>-</t>
    </r>
  </si>
  <si>
    <r>
      <t xml:space="preserve">2008
</t>
    </r>
    <r>
      <rPr>
        <sz val="9"/>
        <color indexed="9"/>
        <rFont val="Palatino Linotype"/>
        <family val="1"/>
      </rPr>
      <t>-</t>
    </r>
  </si>
  <si>
    <r>
      <t>2009</t>
    </r>
    <r>
      <rPr>
        <vertAlign val="superscript"/>
        <sz val="9"/>
        <rFont val="Palatino Linotype"/>
        <family val="1"/>
      </rPr>
      <t xml:space="preserve">
</t>
    </r>
    <r>
      <rPr>
        <vertAlign val="superscript"/>
        <sz val="9"/>
        <color indexed="9"/>
        <rFont val="Palatino Linotype"/>
        <family val="1"/>
      </rPr>
      <t>-</t>
    </r>
  </si>
  <si>
    <r>
      <t xml:space="preserve">2010
</t>
    </r>
    <r>
      <rPr>
        <sz val="9"/>
        <color indexed="9"/>
        <rFont val="Palatino Linotype"/>
        <family val="1"/>
      </rPr>
      <t>-</t>
    </r>
  </si>
  <si>
    <r>
      <t xml:space="preserve">2011
</t>
    </r>
    <r>
      <rPr>
        <sz val="9"/>
        <color indexed="9"/>
        <rFont val="Palatino Linotype"/>
        <family val="1"/>
      </rPr>
      <t>-</t>
    </r>
  </si>
  <si>
    <t>Auszahlungen aus Finanzhaftungen</t>
  </si>
  <si>
    <t>Lehrerinnen u. Lehrer</t>
  </si>
  <si>
    <t>Staatsanwältinnen u. -anwälte</t>
  </si>
  <si>
    <t>Schweiz</t>
  </si>
  <si>
    <r>
      <t>3)</t>
    </r>
    <r>
      <rPr>
        <sz val="8"/>
        <color theme="1"/>
        <rFont val="Palatino Linotype"/>
        <family val="1"/>
      </rPr>
      <t xml:space="preserve"> Durchschnittspension nach dem ASVG (14 mal jährlich)</t>
    </r>
  </si>
  <si>
    <r>
      <t xml:space="preserve">4) </t>
    </r>
    <r>
      <rPr>
        <sz val="8"/>
        <color theme="1"/>
        <rFont val="Palatino Linotype"/>
        <family val="1"/>
      </rPr>
      <t xml:space="preserve">Ohne Ausgleichszulagen, Rehabilitation, Beitrag zur Krankenversicherung der Pensionisten, Verwaltungskosten, Versicherungsanstalt des österreichischen Notariates </t>
    </r>
  </si>
  <si>
    <r>
      <t>Leistungen</t>
    </r>
    <r>
      <rPr>
        <b/>
        <vertAlign val="superscript"/>
        <sz val="8"/>
        <color theme="1"/>
        <rFont val="Palatino Linotype"/>
        <family val="1"/>
      </rPr>
      <t xml:space="preserve"> 3)</t>
    </r>
    <r>
      <rPr>
        <b/>
        <sz val="8"/>
        <color theme="1"/>
        <rFont val="Palatino Linotype"/>
        <family val="1"/>
      </rPr>
      <t xml:space="preserve">  in € bzw. Veränderung gegenüber Vorjahr in %</t>
    </r>
  </si>
  <si>
    <r>
      <t>Pensionsleistungen der PV-Träger insgesamt</t>
    </r>
    <r>
      <rPr>
        <b/>
        <vertAlign val="superscript"/>
        <sz val="8"/>
        <color theme="1"/>
        <rFont val="Palatino Linotype"/>
        <family val="1"/>
      </rPr>
      <t xml:space="preserve"> 4)</t>
    </r>
    <r>
      <rPr>
        <b/>
        <sz val="8"/>
        <color theme="1"/>
        <rFont val="Palatino Linotype"/>
        <family val="1"/>
      </rPr>
      <t xml:space="preserve"> in Mrd. € bzw. Veränderung gegenüber Vorjahr in %</t>
    </r>
  </si>
  <si>
    <r>
      <t xml:space="preserve">2) </t>
    </r>
    <r>
      <rPr>
        <sz val="8"/>
        <color theme="1"/>
        <rFont val="Palatino Linotype"/>
        <family val="1"/>
      </rPr>
      <t>Enthält sonstige Beiträge (z. B. von  Selbstversicherten und freiwillig Versicherten) und übrige Erträge der Pensionsversicherungsträger (z. B. Kostenbeteiligungen, Verzugszinsen, Finanzerträge, etc.)</t>
    </r>
  </si>
  <si>
    <t xml:space="preserve">Pensionsaufwand </t>
  </si>
  <si>
    <r>
      <rPr>
        <vertAlign val="superscript"/>
        <sz val="7"/>
        <color rgb="FF000000"/>
        <rFont val="Palatino Linotype"/>
        <family val="1"/>
      </rPr>
      <t>2)</t>
    </r>
    <r>
      <rPr>
        <sz val="7"/>
        <color rgb="FF000000"/>
        <rFont val="Palatino Linotype"/>
        <family val="1"/>
      </rPr>
      <t xml:space="preserve"> Dieser Teil beinhaltet Bundesbedienstete, die aus zwingenden, erst während des Finanzjahres eintretenden Anlässen aufgenommen werden (saisonales Personal); ab 2007 Integrierung im Teil II.A </t>
    </r>
  </si>
  <si>
    <r>
      <rPr>
        <vertAlign val="superscript"/>
        <sz val="7"/>
        <color rgb="FF000000"/>
        <rFont val="Palatino Linotype"/>
        <family val="1"/>
      </rPr>
      <t>3)</t>
    </r>
    <r>
      <rPr>
        <sz val="7"/>
        <color rgb="FF000000"/>
        <rFont val="Palatino Linotype"/>
        <family val="1"/>
      </rPr>
      <t xml:space="preserve"> Der Anstieg resultiert aus der Integration von Sonderplanstellenkontingenten aus dem Allgemeinen Teil (Begünstigt Behinderte, Ältere Arbeitslose, II/L-Lehrerinnen u. -Lehrer, Aspiranten, Kräfte für Internationale Operationen, ÖBB-Arbeitsleihen)</t>
    </r>
  </si>
  <si>
    <t>* Gemäß Bundeshaftungsobergrenzengesetz darf im Zeitraum 1. Jänner 2012 bis zum 31. Dezember 2014 der jeweils ausstehende Gesamtbetrag an Haftungen des Bundes 193,1 Mrd. € an Kapital nicht übersteigen.</t>
  </si>
  <si>
    <t>BVA *)</t>
  </si>
  <si>
    <r>
      <t xml:space="preserve">Sonstige </t>
    </r>
    <r>
      <rPr>
        <vertAlign val="superscript"/>
        <sz val="8"/>
        <color theme="1"/>
        <rFont val="Palatino Linotype"/>
        <family val="1"/>
      </rPr>
      <t>2)</t>
    </r>
  </si>
  <si>
    <r>
      <t xml:space="preserve">Belastungsquote </t>
    </r>
    <r>
      <rPr>
        <b/>
        <vertAlign val="superscript"/>
        <sz val="8"/>
        <color theme="1"/>
        <rFont val="Palatino Linotype"/>
        <family val="1"/>
      </rPr>
      <t>5)</t>
    </r>
  </si>
  <si>
    <t>Öffentliches Defizit
(Maastricht)</t>
  </si>
  <si>
    <t>Deckungsquote</t>
  </si>
  <si>
    <t xml:space="preserve">in % des BIP </t>
  </si>
  <si>
    <t xml:space="preserve">   Post</t>
  </si>
  <si>
    <t xml:space="preserve">   ÖBB</t>
  </si>
  <si>
    <t xml:space="preserve">   Landeslehrerinnen u. -lehrer</t>
  </si>
  <si>
    <t xml:space="preserve">   Hoheitsverwaltung</t>
  </si>
  <si>
    <t xml:space="preserve">   Gesamt</t>
  </si>
  <si>
    <t xml:space="preserve">   in % des BIP</t>
  </si>
  <si>
    <r>
      <t xml:space="preserve">5) </t>
    </r>
    <r>
      <rPr>
        <sz val="8"/>
        <color theme="1"/>
        <rFont val="Palatino Linotype"/>
        <family val="1"/>
      </rPr>
      <t xml:space="preserve">Anzahl der Pensionen auf 1000 Pflichtversicherungen </t>
    </r>
  </si>
  <si>
    <t xml:space="preserve">      Bundesbeitrag PVA</t>
  </si>
  <si>
    <t xml:space="preserve">      Bundesbeitrag VAEB</t>
  </si>
  <si>
    <t xml:space="preserve">      Bundesbeitrag SVB</t>
  </si>
  <si>
    <r>
      <t xml:space="preserve">      Bundesbeitrag SVA</t>
    </r>
    <r>
      <rPr>
        <i/>
        <vertAlign val="superscript"/>
        <sz val="9"/>
        <color theme="1"/>
        <rFont val="Palatino Linotype"/>
        <family val="1"/>
      </rPr>
      <t xml:space="preserve"> </t>
    </r>
  </si>
  <si>
    <t xml:space="preserve">      Ausgleichszulagen PVA</t>
  </si>
  <si>
    <t xml:space="preserve">      Ausgleichszulagen VAEB</t>
  </si>
  <si>
    <t xml:space="preserve">      Ausgleichszulagen SVB</t>
  </si>
  <si>
    <t xml:space="preserve">      Ausgleichszulagen SVA</t>
  </si>
  <si>
    <t>Ausgleichszulagen insgesamt</t>
  </si>
  <si>
    <r>
      <rPr>
        <vertAlign val="superscript"/>
        <sz val="8"/>
        <color theme="1"/>
        <rFont val="Palatino Linotype"/>
        <family val="1"/>
      </rPr>
      <t>1)</t>
    </r>
    <r>
      <rPr>
        <sz val="8"/>
        <color theme="1"/>
        <rFont val="Palatino Linotype"/>
        <family val="1"/>
      </rPr>
      <t xml:space="preserve"> Inklusive Partnerleistung und Bundesbeitrag für Teilversicherte aus der UG 22</t>
    </r>
  </si>
  <si>
    <r>
      <t xml:space="preserve">2) </t>
    </r>
    <r>
      <rPr>
        <sz val="8"/>
        <color theme="1"/>
        <rFont val="Palatino Linotype"/>
        <family val="1"/>
      </rPr>
      <t>Leistungen nach dem</t>
    </r>
    <r>
      <rPr>
        <vertAlign val="superscript"/>
        <sz val="8"/>
        <color theme="1"/>
        <rFont val="Palatino Linotype"/>
        <family val="1"/>
      </rPr>
      <t xml:space="preserve"> </t>
    </r>
    <r>
      <rPr>
        <sz val="8"/>
        <color theme="1"/>
        <rFont val="Palatino Linotype"/>
        <family val="1"/>
      </rPr>
      <t>Nachtschwerarbeitsgesetz, Härteausgleichsfonds (2005 und 2006)</t>
    </r>
  </si>
  <si>
    <r>
      <t xml:space="preserve">Bundesbeitrag </t>
    </r>
    <r>
      <rPr>
        <vertAlign val="superscript"/>
        <sz val="9"/>
        <color theme="1"/>
        <rFont val="Palatino Linotype"/>
        <family val="1"/>
      </rPr>
      <t xml:space="preserve">1) </t>
    </r>
    <r>
      <rPr>
        <sz val="9"/>
        <color theme="1"/>
        <rFont val="Palatino Linotype"/>
        <family val="1"/>
      </rPr>
      <t>insgesamt</t>
    </r>
  </si>
  <si>
    <r>
      <rPr>
        <vertAlign val="superscript"/>
        <sz val="8"/>
        <color theme="1"/>
        <rFont val="Palatino Linotype"/>
        <family val="1"/>
      </rPr>
      <t>2)</t>
    </r>
    <r>
      <rPr>
        <sz val="8"/>
        <color theme="1"/>
        <rFont val="Palatino Linotype"/>
        <family val="1"/>
      </rPr>
      <t xml:space="preserve"> Inklusive Ausgegliederte Institutionen</t>
    </r>
  </si>
  <si>
    <t xml:space="preserve">      davon</t>
  </si>
  <si>
    <r>
      <t xml:space="preserve">   Hoheitsverwaltung </t>
    </r>
    <r>
      <rPr>
        <i/>
        <vertAlign val="superscript"/>
        <sz val="9"/>
        <color theme="1"/>
        <rFont val="Palatino Linotype"/>
        <family val="1"/>
      </rPr>
      <t>2)</t>
    </r>
  </si>
  <si>
    <r>
      <rPr>
        <vertAlign val="superscript"/>
        <sz val="8"/>
        <color theme="1"/>
        <rFont val="Palatino Linotype"/>
        <family val="1"/>
      </rPr>
      <t>1)</t>
    </r>
    <r>
      <rPr>
        <sz val="8"/>
        <color theme="1"/>
        <rFont val="Palatino Linotype"/>
        <family val="1"/>
      </rPr>
      <t xml:space="preserve"> Ruhe- und Versorgungsgenüsse von Bundesbeamtinnen und Bundesbeamten sowie von Einrichtungen, für deren Bedienstete in einem </t>
    </r>
  </si>
  <si>
    <t xml:space="preserve">   öffentlich-rechtlichen oder gleichgestellten Dienstverhältnis der Bund den Pensionsaufwand trägt (ohne Pflegegeld)</t>
  </si>
  <si>
    <t>Sonstige Umweltmaßnahmen/Umweltförderung im In- u. Ausl.</t>
  </si>
  <si>
    <r>
      <t xml:space="preserve">Deckungsquote in % </t>
    </r>
    <r>
      <rPr>
        <b/>
        <vertAlign val="superscript"/>
        <sz val="8"/>
        <color theme="1"/>
        <rFont val="Palatino Linotype"/>
        <family val="1"/>
      </rPr>
      <t>6)</t>
    </r>
  </si>
  <si>
    <r>
      <t xml:space="preserve">6) </t>
    </r>
    <r>
      <rPr>
        <sz val="8"/>
        <color theme="1"/>
        <rFont val="Palatino Linotype"/>
        <family val="1"/>
      </rPr>
      <t>Bundeszuschüsse in % von Insgesamt</t>
    </r>
  </si>
  <si>
    <r>
      <t xml:space="preserve">2012
</t>
    </r>
    <r>
      <rPr>
        <sz val="9"/>
        <color indexed="9"/>
        <rFont val="Palatino Linotype"/>
        <family val="1"/>
      </rPr>
      <t>-</t>
    </r>
  </si>
  <si>
    <r>
      <t xml:space="preserve">2013
</t>
    </r>
    <r>
      <rPr>
        <sz val="9"/>
        <color indexed="9"/>
        <rFont val="Palatino Linotype"/>
        <family val="1"/>
      </rPr>
      <t>-</t>
    </r>
  </si>
  <si>
    <t>Einz.</t>
  </si>
  <si>
    <t xml:space="preserve">2012
</t>
  </si>
  <si>
    <t>Finanzierungshaushalt Geldfluss aus der Finanzierungstätigkeit</t>
  </si>
  <si>
    <t>Ergebnishaushalt</t>
  </si>
  <si>
    <t>Aufwendungen</t>
  </si>
  <si>
    <t>Erträge</t>
  </si>
  <si>
    <t>Nettoergebnis</t>
  </si>
  <si>
    <t>Finanzierungshaushalt Allgemeine Gebarung</t>
  </si>
  <si>
    <t>Kroatien</t>
  </si>
  <si>
    <t>Europäische Union</t>
  </si>
  <si>
    <t>n.v.</t>
  </si>
  <si>
    <t>n.v. ... nicht verfügbar</t>
  </si>
  <si>
    <r>
      <t xml:space="preserve">2012
</t>
    </r>
    <r>
      <rPr>
        <sz val="8"/>
        <color theme="0"/>
        <rFont val="Palatino Linotype"/>
        <family val="1"/>
      </rPr>
      <t>-</t>
    </r>
  </si>
  <si>
    <t xml:space="preserve">     Aktivitätsauszahlungen</t>
  </si>
  <si>
    <r>
      <t xml:space="preserve">     Pensionsauszahlungen</t>
    </r>
    <r>
      <rPr>
        <vertAlign val="superscript"/>
        <sz val="8"/>
        <rFont val="Palatino Linotype"/>
        <family val="1"/>
      </rPr>
      <t xml:space="preserve"> 3)  </t>
    </r>
    <r>
      <rPr>
        <sz val="8"/>
        <rFont val="Palatino Linotype"/>
        <family val="1"/>
      </rPr>
      <t xml:space="preserve">  </t>
    </r>
  </si>
  <si>
    <t xml:space="preserve">     Aktivitätsaufwand</t>
  </si>
  <si>
    <r>
      <t xml:space="preserve">     Pensionsaufwand</t>
    </r>
    <r>
      <rPr>
        <vertAlign val="superscript"/>
        <sz val="8"/>
        <rFont val="Palatino Linotype"/>
        <family val="1"/>
      </rPr>
      <t xml:space="preserve"> 3)  </t>
    </r>
    <r>
      <rPr>
        <sz val="8"/>
        <rFont val="Palatino Linotype"/>
        <family val="1"/>
      </rPr>
      <t xml:space="preserve">  </t>
    </r>
  </si>
  <si>
    <r>
      <t xml:space="preserve">Personalauszahlungen *) </t>
    </r>
    <r>
      <rPr>
        <sz val="8"/>
        <rFont val="Palatino Linotype"/>
        <family val="1"/>
      </rPr>
      <t>in Mio. €</t>
    </r>
  </si>
  <si>
    <t>Personalaufwand *) in Mio. €</t>
  </si>
  <si>
    <t>Personalauszahlungen</t>
  </si>
  <si>
    <r>
      <t xml:space="preserve">Aufwendungen für Pensionen </t>
    </r>
    <r>
      <rPr>
        <vertAlign val="superscript"/>
        <sz val="8"/>
        <rFont val="Palatino Linotype"/>
        <family val="1"/>
      </rPr>
      <t>4)</t>
    </r>
  </si>
  <si>
    <t>2014</t>
  </si>
  <si>
    <t>22 Pensionsversicherung</t>
  </si>
  <si>
    <t>23 Pensionen - Beamtinnen und Beamte</t>
  </si>
  <si>
    <t>25 Familien und Jugend</t>
  </si>
  <si>
    <t>30 Bildung und Frauen</t>
  </si>
  <si>
    <r>
      <rPr>
        <vertAlign val="superscript"/>
        <sz val="8"/>
        <rFont val="Palatino Linotype"/>
        <family val="1"/>
      </rPr>
      <t>1)</t>
    </r>
    <r>
      <rPr>
        <sz val="8"/>
        <rFont val="Palatino Linotype"/>
        <family val="1"/>
      </rPr>
      <t xml:space="preserve"> Gliederung gem. BMG Novelle BGBl. I Nr. 11/2014; ab 2013 werden im Finanzierungshaushalt (Fin. HH) die Begriffe Auszahlungen, Einzahlungen und Nettofinanzierungsbedarf und im Ergebnishaushalt (Erg. HH) die Begriffe Aufwendungen, Erträge und Nettoergebnis verwendet.</t>
    </r>
  </si>
  <si>
    <t>BM für Europa, Integration und Äußeres</t>
  </si>
  <si>
    <t>BM für Familien und Jugend</t>
  </si>
  <si>
    <t>BM für Bildung und Frauen</t>
  </si>
  <si>
    <t>BM für Wissenschaft, Forschung und Wirtschaft</t>
  </si>
  <si>
    <t>Wissenschaft, Forschung und Wirtschaft</t>
  </si>
  <si>
    <r>
      <rPr>
        <vertAlign val="superscript"/>
        <sz val="8"/>
        <rFont val="Palatino Linotype"/>
        <family val="1"/>
      </rPr>
      <t>1)</t>
    </r>
    <r>
      <rPr>
        <sz val="8"/>
        <rFont val="Palatino Linotype"/>
        <family val="1"/>
      </rPr>
      <t xml:space="preserve"> Gliederung gem. BMG Novelle BGBl. I Nr. 3/2009; ab 2013 werden im Finanzierungshaushalt (Fin. HH) die Begriffe Auszahlungen, Einzahlungen und Nettofinanzierungsbedarf und im Ergebnishaushalt (Erg. HH) die Begriffe Aufwendungen, Erträge und Nettoergebnis verwendet.</t>
    </r>
  </si>
  <si>
    <r>
      <t xml:space="preserve">Hochschullehrpersonen </t>
    </r>
    <r>
      <rPr>
        <vertAlign val="superscript"/>
        <sz val="9"/>
        <rFont val="Palatino Linotype"/>
        <family val="1"/>
      </rPr>
      <t>4)</t>
    </r>
  </si>
  <si>
    <r>
      <rPr>
        <vertAlign val="superscript"/>
        <sz val="7"/>
        <color rgb="FF000000"/>
        <rFont val="Palatino Linotype"/>
        <family val="1"/>
      </rPr>
      <t>3)</t>
    </r>
    <r>
      <rPr>
        <sz val="7"/>
        <color rgb="FF000000"/>
        <rFont val="Palatino Linotype"/>
        <family val="1"/>
      </rPr>
      <t xml:space="preserve"> Der Rückgang resultiert aus der Umwandlung von Exekutive-Planstellen in Verwaltungsplanstellen, da diese mit Bediensteten der Allg. Verw. besetzt waren.</t>
    </r>
  </si>
  <si>
    <r>
      <t>4)</t>
    </r>
    <r>
      <rPr>
        <sz val="7"/>
        <color rgb="FF000000"/>
        <rFont val="Palatino Linotype"/>
        <family val="1"/>
      </rPr>
      <t xml:space="preserve"> Neues Hochschullehrerdienstrecht: Umwandlung bestehender LehrerInnenplanstellen</t>
    </r>
  </si>
  <si>
    <r>
      <t xml:space="preserve">Ersätze Fin.HH </t>
    </r>
    <r>
      <rPr>
        <sz val="9"/>
        <rFont val="Palatino Linotype"/>
        <family val="1"/>
      </rPr>
      <t>in Mio. €</t>
    </r>
  </si>
  <si>
    <r>
      <t xml:space="preserve">Ersätze Erg. HH </t>
    </r>
    <r>
      <rPr>
        <sz val="9"/>
        <rFont val="Palatino Linotype"/>
        <family val="1"/>
      </rPr>
      <t>in Mio. €</t>
    </r>
  </si>
  <si>
    <r>
      <rPr>
        <vertAlign val="superscript"/>
        <sz val="8"/>
        <rFont val="Palatino Linotype"/>
        <family val="1"/>
      </rPr>
      <t>3)</t>
    </r>
    <r>
      <rPr>
        <sz val="8"/>
        <rFont val="Palatino Linotype"/>
        <family val="1"/>
      </rPr>
      <t xml:space="preserve"> ohne Pflegegeld </t>
    </r>
  </si>
  <si>
    <r>
      <rPr>
        <vertAlign val="superscript"/>
        <sz val="8"/>
        <rFont val="Palatino Linotype"/>
        <family val="1"/>
      </rPr>
      <t>1)</t>
    </r>
    <r>
      <rPr>
        <sz val="8"/>
        <rFont val="Palatino Linotype"/>
        <family val="1"/>
      </rPr>
      <t xml:space="preserve"> Außerdem werden Zahlungen mit bezugsähnlichem Charakter an Personengruppen (u.a. für Oberste Organe, Abgeordnete, Regierungsmitglieder, Staatssekretärinnen u. -sekretäre, Vergütungen für Lehrerinnen u. Lehrer an konfessionellen Privatschulen, Probelehrerinnen u. -lehrer, Verwaltungspraktikanten u. -praktikantinnen) sowie Zuwendungen an/für ehemalige Mitglieder Oberster Organe, Abgeordnete, Regierungsmitglieder etc. geleistet.</t>
    </r>
  </si>
  <si>
    <t>Steuerähnliche Einzahlungen</t>
  </si>
  <si>
    <r>
      <rPr>
        <vertAlign val="superscript"/>
        <sz val="8"/>
        <rFont val="Palatino Linotype"/>
        <family val="1"/>
      </rPr>
      <t xml:space="preserve">2) </t>
    </r>
    <r>
      <rPr>
        <sz val="8"/>
        <rFont val="Palatino Linotype"/>
        <family val="1"/>
      </rPr>
      <t>Untergliederung 16 Abgaben</t>
    </r>
  </si>
  <si>
    <t>Gesamteinzahlungen der Allgemeinen Gebarung</t>
  </si>
  <si>
    <t>Anteil an den Gesamteinzahlungen der Allgemeinen Gebarung in %</t>
  </si>
  <si>
    <t>Siedlungswasserwirtschaft, Pflegefonds</t>
  </si>
  <si>
    <r>
      <rPr>
        <vertAlign val="superscript"/>
        <sz val="8"/>
        <rFont val="Palatino Linotype"/>
        <family val="1"/>
      </rPr>
      <t>*)</t>
    </r>
    <r>
      <rPr>
        <sz val="8"/>
        <rFont val="Palatino Linotype"/>
        <family val="1"/>
      </rPr>
      <t xml:space="preserve"> Im Zuge der ab 2013 in Kraft getretenen 2. Etappe der Haushaltsrechtsreform wurde auch die funktionelle Gliederung neu definiert. Die Aufgabenbereiche sind daher mit jenen vor 2013 nicht vergleichbar. Weiters werden ab 2013 im Finanzierungshaushalt (Fin. HH) die Begriffe Auszahlungen, Einzahlungen und Nettofinanzierungsbedarf und im Ergebnishaushalt (Erg. HH) die Begriffe Aufwendungen, Erträge und Nettoergebnis verwendet.</t>
    </r>
  </si>
  <si>
    <t>GB 16.01 Öffentliche Abgaben</t>
  </si>
  <si>
    <t>2013</t>
  </si>
  <si>
    <t>*) BVA-E 2014 und 2015: Ergebnishaushalt u. Finanzierungshaushalt in gleicher Höhe veranschlagt</t>
  </si>
  <si>
    <r>
      <t>2009</t>
    </r>
    <r>
      <rPr>
        <vertAlign val="superscript"/>
        <sz val="9"/>
        <rFont val="Palatino Linotype"/>
        <family val="1"/>
      </rPr>
      <t xml:space="preserve"> 1)</t>
    </r>
  </si>
  <si>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t>
    </r>
  </si>
  <si>
    <t xml:space="preserve">im Ergebnishaushalt (Erg. HH) die Begriffe Aufwendungen, Erträge und Nettoergebnis verwendet. In dieser Übersicht sind die Daten </t>
  </si>
  <si>
    <t>des Fin. HH zu Grunde gelegt.</t>
  </si>
  <si>
    <t>Budgetsaldo 
strukturell*</t>
  </si>
  <si>
    <t>*bis 2008 Ameco, ab 2009 BMF</t>
  </si>
  <si>
    <t>Budgetsaldo strukturell</t>
  </si>
  <si>
    <t>Motorbezogene Versicherungs-steuer</t>
  </si>
  <si>
    <r>
      <t xml:space="preserve">Auszahlungs-/Aufwandssumme </t>
    </r>
    <r>
      <rPr>
        <b/>
        <vertAlign val="superscript"/>
        <sz val="8"/>
        <color rgb="FFC00000"/>
        <rFont val="Palatino Linotype"/>
        <family val="1"/>
      </rPr>
      <t>2)</t>
    </r>
  </si>
  <si>
    <r>
      <t xml:space="preserve">Dienstgeberbeiträge und sonstige Beiträge </t>
    </r>
    <r>
      <rPr>
        <vertAlign val="superscript"/>
        <sz val="8"/>
        <rFont val="Palatino Linotype"/>
        <family val="1"/>
      </rPr>
      <t>3)</t>
    </r>
  </si>
  <si>
    <r>
      <rPr>
        <vertAlign val="superscript"/>
        <sz val="8"/>
        <color rgb="FF000000"/>
        <rFont val="Palatino Linotype"/>
        <family val="1"/>
      </rPr>
      <t>2)</t>
    </r>
    <r>
      <rPr>
        <sz val="8"/>
        <color rgb="FF000000"/>
        <rFont val="Palatino Linotype"/>
        <family val="1"/>
      </rPr>
      <t xml:space="preserve"> In den Auszahlungen sind ab 2013 Darlehen enthalten, die nicht aufwandswirksam sind; in den Aufwendungen sind Abschreibungen enhalten, die nicht auszahlungswirksam sind.</t>
    </r>
  </si>
  <si>
    <r>
      <rPr>
        <vertAlign val="superscript"/>
        <sz val="8"/>
        <color rgb="FF000000"/>
        <rFont val="Palatino Linotype"/>
        <family val="1"/>
      </rPr>
      <t>3)</t>
    </r>
    <r>
      <rPr>
        <sz val="8"/>
        <color rgb="FF000000"/>
        <rFont val="Palatino Linotype"/>
        <family val="1"/>
      </rPr>
      <t xml:space="preserve"> In den Einzahlungen sind ab 2013 Darlehensrückzahlungen enthalten, die nicht ergebniswirksam sind.</t>
    </r>
  </si>
  <si>
    <t xml:space="preserve"> - "Technische" Detailbudgets, da aus verrechnungstechnischer Sicht für jedes DB 1. Ebene zumindest ein DB 2. Ebene erforderlich ist</t>
  </si>
  <si>
    <t xml:space="preserve"> - Detailbudgets aus der Anlage II zum BFG "Bundespersonal das für Dritte leistet - Bruttodarstellung" und</t>
  </si>
  <si>
    <t>*) ohne:</t>
  </si>
  <si>
    <t>Anzahl insgesamt</t>
  </si>
  <si>
    <t>Finanzierungen, Währungstauschverträge</t>
  </si>
  <si>
    <t>58</t>
  </si>
  <si>
    <t>Kassenverwaltung</t>
  </si>
  <si>
    <t>51</t>
  </si>
  <si>
    <t>46</t>
  </si>
  <si>
    <t>Bundesvermögen</t>
  </si>
  <si>
    <t>Finanzausgleich</t>
  </si>
  <si>
    <t>44</t>
  </si>
  <si>
    <t>Umwelt</t>
  </si>
  <si>
    <t>43</t>
  </si>
  <si>
    <t>Land-, Forst- und Wasserwirtschaft</t>
  </si>
  <si>
    <t>41</t>
  </si>
  <si>
    <t>Wirtschaft</t>
  </si>
  <si>
    <t>40</t>
  </si>
  <si>
    <t>Verkehr, Innovation und Technologie (Forschung)</t>
  </si>
  <si>
    <t>Wirtschaft (Forschung)</t>
  </si>
  <si>
    <t>Kunst und Kultur</t>
  </si>
  <si>
    <t>Wissenschaft und Forschung</t>
  </si>
  <si>
    <t>Bildung und Frauen</t>
  </si>
  <si>
    <t>30</t>
  </si>
  <si>
    <t>Familien und Jugend</t>
  </si>
  <si>
    <t>Gesundheit</t>
  </si>
  <si>
    <t>24</t>
  </si>
  <si>
    <t>Pensionen - Beamtinnen und Beamte</t>
  </si>
  <si>
    <t>23</t>
  </si>
  <si>
    <t>Pensionsversicherung</t>
  </si>
  <si>
    <t>22</t>
  </si>
  <si>
    <t>Soziales und Konsumentenschutz</t>
  </si>
  <si>
    <t>21</t>
  </si>
  <si>
    <t>Arbeit</t>
  </si>
  <si>
    <t>20</t>
  </si>
  <si>
    <t>Finanzverwaltung</t>
  </si>
  <si>
    <t>15</t>
  </si>
  <si>
    <t>Militärische Angelegenheiten und Sport</t>
  </si>
  <si>
    <t>14</t>
  </si>
  <si>
    <t>13</t>
  </si>
  <si>
    <t>Äußeres</t>
  </si>
  <si>
    <t>12</t>
  </si>
  <si>
    <t>Inneres</t>
  </si>
  <si>
    <t>11</t>
  </si>
  <si>
    <t>10</t>
  </si>
  <si>
    <t>Rechnungshof</t>
  </si>
  <si>
    <t>06</t>
  </si>
  <si>
    <t>Volksanwaltschaft</t>
  </si>
  <si>
    <t>05</t>
  </si>
  <si>
    <t>Verwaltungsgerichtshof</t>
  </si>
  <si>
    <t>04</t>
  </si>
  <si>
    <t>Verfassungsgerichtshof</t>
  </si>
  <si>
    <t>03</t>
  </si>
  <si>
    <t>Bundesgesetzgebung</t>
  </si>
  <si>
    <t>02</t>
  </si>
  <si>
    <t>Präsidentschaftskanzlei</t>
  </si>
  <si>
    <t>01</t>
  </si>
  <si>
    <t>Detailbudgets 
2. Ebene</t>
  </si>
  <si>
    <t>Detailbudgets 1. Ebene</t>
  </si>
  <si>
    <t>Globalbudgets</t>
  </si>
  <si>
    <t>Untergliederung</t>
  </si>
  <si>
    <t>Ausgleichsfonds für Familienbeihilfen</t>
  </si>
  <si>
    <t>Anzahl der Kinder, für die Familienbeihilfen gezahlt werden (in 1.000)</t>
  </si>
  <si>
    <r>
      <rPr>
        <vertAlign val="superscript"/>
        <sz val="8"/>
        <rFont val="Palatino Linotype"/>
        <family val="1"/>
      </rPr>
      <t>2)</t>
    </r>
    <r>
      <rPr>
        <sz val="8"/>
        <rFont val="Palatino Linotype"/>
        <family val="1"/>
      </rPr>
      <t xml:space="preserve"> Auf Grund der umfassenden Änderungen der Haushaltsrechtsreform 2013 sind die Beträge im Finanzierungshaushalt 2013 nur bedingt </t>
    </r>
  </si>
  <si>
    <t>mit den Vorjahreswerten vergleichbar.</t>
  </si>
  <si>
    <t>2015 BVA</t>
  </si>
  <si>
    <t>2016</t>
  </si>
  <si>
    <t>2015   BVA</t>
  </si>
  <si>
    <t xml:space="preserve">2014 </t>
  </si>
  <si>
    <t xml:space="preserve">2013 </t>
  </si>
  <si>
    <t>2015 
BVA</t>
  </si>
  <si>
    <t xml:space="preserve">2013
</t>
  </si>
  <si>
    <t xml:space="preserve">2014
</t>
  </si>
  <si>
    <r>
      <t xml:space="preserve">2013
</t>
    </r>
    <r>
      <rPr>
        <sz val="8"/>
        <color theme="0"/>
        <rFont val="Palatino Linotype"/>
        <family val="1"/>
      </rPr>
      <t>-</t>
    </r>
  </si>
  <si>
    <r>
      <t xml:space="preserve">2014
</t>
    </r>
    <r>
      <rPr>
        <sz val="8"/>
        <color theme="0"/>
        <rFont val="Palatino Linotype"/>
        <family val="1"/>
      </rPr>
      <t>-</t>
    </r>
  </si>
  <si>
    <r>
      <t xml:space="preserve">2014
</t>
    </r>
    <r>
      <rPr>
        <sz val="9"/>
        <color indexed="9"/>
        <rFont val="Palatino Linotype"/>
        <family val="1"/>
      </rPr>
      <t>-</t>
    </r>
  </si>
  <si>
    <t xml:space="preserve">2014 
</t>
  </si>
  <si>
    <t xml:space="preserve">2012     </t>
  </si>
  <si>
    <t>2015  BVA</t>
  </si>
  <si>
    <t>2015
BVA</t>
  </si>
  <si>
    <t>*) 2013 Finanzierungshaushalt, BVA 2015 BVA-E 2016: Ergebnishaushalt u. Finanzierungshaushalt in gleicher Höhe veranschlagt</t>
  </si>
  <si>
    <t>hievon: Einzahlungen aus Beiträgen zur Arbeitslosenversicherung (ALV)</t>
  </si>
  <si>
    <t>hievon: Einzahlungen aus Beiträgen zum Familienlastenausgleichsfonds (FLAF)</t>
  </si>
  <si>
    <t>hievon: Beiträge zur Arbeitslosenversicherung (ALV)</t>
  </si>
  <si>
    <t>hievon: Beiträge zum Familienlastenausgleichsfonds (FLAF)</t>
  </si>
  <si>
    <r>
      <t xml:space="preserve">Ausfuhrförderung </t>
    </r>
    <r>
      <rPr>
        <b/>
        <vertAlign val="superscript"/>
        <sz val="8"/>
        <rFont val="Palatino Linotype"/>
        <family val="1"/>
      </rPr>
      <t>1)</t>
    </r>
  </si>
  <si>
    <t>Ausfuhrförderungsgesetz</t>
  </si>
  <si>
    <t>Ausfuhrfinanzierungsförderungsgesetz</t>
  </si>
  <si>
    <t>Verkehr und Infrastruktur</t>
  </si>
  <si>
    <t>Österreichische Bundesbahnen (ÖBB)</t>
  </si>
  <si>
    <t>Bundesfinanzgesetz (BFG)</t>
  </si>
  <si>
    <t>EUROFIMA</t>
  </si>
  <si>
    <t>Schieneninfrastruktur-Dienstleistungsgesellschaft mbH (SCHIG)</t>
  </si>
  <si>
    <t>Österreichischer Finanzmarkt</t>
  </si>
  <si>
    <t>Interbankmarktstärkungsgesetz (IBSG)</t>
  </si>
  <si>
    <t>Postsparkassengesetz 1969 (BAWAG P.S.K.)</t>
  </si>
  <si>
    <t>European Financial Stability Facility (EFSF)</t>
  </si>
  <si>
    <t>Wirtschaftsförderung</t>
  </si>
  <si>
    <t xml:space="preserve">Austria Wirtschaftsservice GesmbH (AWS) </t>
  </si>
  <si>
    <t>Österreichische Hotel- und Tourismusbank Gesellschaft m.b.H. (ÖHT)</t>
  </si>
  <si>
    <t>Forschungsförderungsgesellschaft mbH (FFG)</t>
  </si>
  <si>
    <t>Sonstige Haftungen</t>
  </si>
  <si>
    <t>Leihgaben an Bundesmuseen</t>
  </si>
  <si>
    <t>Erdölbevorratungs-Förderungsgesetz</t>
  </si>
  <si>
    <t>Atomhaftungsgesetz 1999</t>
  </si>
  <si>
    <t>Europäische Investitionsbank (EIB)</t>
  </si>
  <si>
    <t>Elektrizitätswirtschaft - Energieanleihen</t>
  </si>
  <si>
    <t>Agrarinvestitionskredite</t>
  </si>
  <si>
    <t>Österr. Industrieholding AG</t>
  </si>
  <si>
    <r>
      <t xml:space="preserve">Insgesamt </t>
    </r>
    <r>
      <rPr>
        <b/>
        <vertAlign val="superscript"/>
        <sz val="8"/>
        <color rgb="FFC00000"/>
        <rFont val="Palatino Linotype"/>
        <family val="1"/>
      </rPr>
      <t>2)</t>
    </r>
  </si>
  <si>
    <t>Die neue Gliederung entspricht der Darstellung der Bundeshaftungsstände auf der Homepage des BMF.</t>
  </si>
  <si>
    <r>
      <rPr>
        <vertAlign val="superscript"/>
        <sz val="8"/>
        <rFont val="Palatino Linotype"/>
        <family val="1"/>
      </rPr>
      <t xml:space="preserve">3) </t>
    </r>
    <r>
      <rPr>
        <sz val="8"/>
        <rFont val="Palatino Linotype"/>
        <family val="1"/>
      </rPr>
      <t>Bruttoinlandsprodukt: bis 2014 lt. Statistik Austria, ab 2015 lt. WIFO-Prognose 9/2015</t>
    </r>
  </si>
  <si>
    <t>Quelle: BKA (Stellen-/Personalpläne des Bundes angepasst um etwaige unterjährige Änderungen, wie zB BFG-Novellen oder PP-Anpassungen)</t>
  </si>
  <si>
    <t>Quelle: BKA (Personalpläne des Bundes angepasst um etwaige unterjährige Änderungen, wie zB BFG-Novellen oder PP-Anpassungen)</t>
  </si>
  <si>
    <r>
      <t>5)</t>
    </r>
    <r>
      <rPr>
        <sz val="7"/>
        <color rgb="FF000000"/>
        <rFont val="Palatino Linotype"/>
        <family val="1"/>
      </rPr>
      <t xml:space="preserve"> Der Anstieg resultiert durch zahlreiche neue Aufgaben in der Verwaltungsgerichtsbarkeit, der Korruptionsbekämpfung, der Großververfahren und der familienrechtlichen Aufgabenstellungen.</t>
    </r>
  </si>
  <si>
    <r>
      <t>6)</t>
    </r>
    <r>
      <rPr>
        <sz val="7"/>
        <color rgb="FF000000"/>
        <rFont val="Palatino Linotype"/>
        <family val="1"/>
      </rPr>
      <t xml:space="preserve"> Der Anstieg resultiert großteils durch Aufstockungen in den Bereichen: Innere Sicherheit, BA für Fremdenrecht und Asyl, operative Finanzverwaltung und Bundesverwaltungsgericht</t>
    </r>
  </si>
  <si>
    <t>UG 23 Pensionen Beamtinnen u. Beamte</t>
  </si>
  <si>
    <t>UG 23 Pensionen Beamtinnen u. Beamte (hauptsächl. Post, ÖBB)</t>
  </si>
  <si>
    <t>UG 30 Bildung und Frauen</t>
  </si>
  <si>
    <t>UG 32 Kunst und Kultur</t>
  </si>
  <si>
    <r>
      <rPr>
        <vertAlign val="superscript"/>
        <sz val="8"/>
        <rFont val="Palatino Linotype"/>
        <family val="1"/>
      </rPr>
      <t xml:space="preserve">1) </t>
    </r>
    <r>
      <rPr>
        <sz val="8"/>
        <rFont val="Palatino Linotype"/>
        <family val="1"/>
      </rPr>
      <t xml:space="preserve">Daten Bund: 2015 BVA, 2016 lt. BVA-E, Daten Ausgegliederte: 2015-2016 Planwerte 
</t>
    </r>
  </si>
  <si>
    <t xml:space="preserve">Übersicht 1: Wirtschaftswachstum im internationalen Vergleich </t>
  </si>
  <si>
    <t>Übersicht 3: Inflationsentwicklung im internationalen Vergleich</t>
  </si>
  <si>
    <t>Übersicht 2: Arbeitslosenrate im internationalen Vergleich</t>
  </si>
  <si>
    <r>
      <t xml:space="preserve">Übersicht 4: Defizite (Überschüsse) der öffentlichen Haushalte im internationalen Vergleich (Maastricht) </t>
    </r>
    <r>
      <rPr>
        <b/>
        <vertAlign val="superscript"/>
        <sz val="9"/>
        <rFont val="Palatino Linotype"/>
        <family val="1"/>
      </rPr>
      <t>1)</t>
    </r>
  </si>
  <si>
    <t xml:space="preserve">Übersicht 5: Strukturelle Budgetsalden, Gesamtstaat </t>
  </si>
  <si>
    <t>Übersicht 6: Finanzierungs- und Ergebnishaushalt, Administrative Darstellung</t>
  </si>
  <si>
    <t>Übersicht 7: Kennzahlen der Budgetentwicklung, Administrative Darstellung</t>
  </si>
  <si>
    <t>Übersicht 8: Öffentliches Defizit (Maastricht), Öffentlicher Schuldenstand, Zinsaufwand, Primärsaldo und</t>
  </si>
  <si>
    <t>Übersicht 9: Struktur der Gesamteinzahlungen des Bundes</t>
  </si>
  <si>
    <t>Übersicht 10: Öffentliche Abgaben des Bundes</t>
  </si>
  <si>
    <t>Übersicht 11: Länderweise Anteile an den Ertragsanteilen</t>
  </si>
  <si>
    <t>Übersicht 12: Aufteilung der öffentlichen Abgaben des Bundes</t>
  </si>
  <si>
    <t>Übersicht 13: Einzahlungen des Bundes nach ökonomischen Kriterien (Kontokennziffern-Übersicht)</t>
  </si>
  <si>
    <t>Übersicht 14: Erträge des Bundes nach ökonomischen Kriterien (Kontokennziffern-Übersicht)</t>
  </si>
  <si>
    <r>
      <t xml:space="preserve">Übersicht 16: Gesamtauszahlungen/-aufwendungen des Bundes bis 2013, Ressortgliederung </t>
    </r>
    <r>
      <rPr>
        <b/>
        <vertAlign val="superscript"/>
        <sz val="9"/>
        <rFont val="Palatino Linotype"/>
        <family val="1"/>
      </rPr>
      <t>1)</t>
    </r>
  </si>
  <si>
    <r>
      <t xml:space="preserve">Übersicht 17: Gesamtauszahlungen/-aufwendungen des Bundes 2014 bis 2016, Ressortgliederung </t>
    </r>
    <r>
      <rPr>
        <b/>
        <vertAlign val="superscript"/>
        <sz val="9"/>
        <rFont val="Palatino Linotype"/>
        <family val="1"/>
      </rPr>
      <t>1)</t>
    </r>
  </si>
  <si>
    <r>
      <t xml:space="preserve">Übersicht 18: Gesamtauszahlungen/-aufwendungen des Bundes nach Aufgabenbereichen, funktionelle Gliederung </t>
    </r>
    <r>
      <rPr>
        <b/>
        <vertAlign val="superscript"/>
        <sz val="9"/>
        <rFont val="Palatino Linotype"/>
        <family val="1"/>
      </rPr>
      <t>*)</t>
    </r>
  </si>
  <si>
    <t>Übersicht 19: Auszahlungen des Bundes nach ökonomischen Kriterien (Kontokennziffern-Übersicht)</t>
  </si>
  <si>
    <t>Übersicht 20: Aufwendungen des Bundes nach ökonomischen Kriterien (Kontokennziffern-Übersicht)</t>
  </si>
  <si>
    <r>
      <t xml:space="preserve">Übersicht 24: Pensionen - Beamtinnen und Beamte (UG 23) </t>
    </r>
    <r>
      <rPr>
        <b/>
        <vertAlign val="superscript"/>
        <sz val="9"/>
        <rFont val="Palatino Linotype"/>
        <family val="1"/>
      </rPr>
      <t>1)</t>
    </r>
  </si>
  <si>
    <t>Übersicht 21: Ausgleichsfonds für Familienbeihilfen</t>
  </si>
  <si>
    <t>Übersicht 22: Pensionsversicherung, Finanzierung und Leistungen</t>
  </si>
  <si>
    <t>Übersicht 23: Zuschüsse des Bundes zur gesetzlichen Pensionsversicherung (UG 22)</t>
  </si>
  <si>
    <r>
      <t xml:space="preserve">Übersicht 25: Investitionen in die Infrastruktur </t>
    </r>
    <r>
      <rPr>
        <b/>
        <vertAlign val="superscript"/>
        <sz val="9"/>
        <rFont val="Palatino Linotype"/>
        <family val="1"/>
      </rPr>
      <t>1)</t>
    </r>
  </si>
  <si>
    <t>Übersicht 26: Haftungsübernahmen des Bundes *</t>
  </si>
  <si>
    <t>Übersicht 27: Planstellen für Bundesbedienstete (Beamtinnen, Beamte und Vertragsbedienstete) nach Besoldungsgruppen-Bereichen</t>
  </si>
  <si>
    <t>Übersicht 28: Planstellen für Bundesbedienstete (Beamtinnen, Beamte und Vertragsbedienstete) nach Besoldungsgruppen-Bereichen</t>
  </si>
  <si>
    <r>
      <t xml:space="preserve">Übersicht 29: Personalstand und Personalauszahlungen/-aufwendungen des Bundes für Bundesbedienstete </t>
    </r>
    <r>
      <rPr>
        <b/>
        <vertAlign val="superscript"/>
        <sz val="10"/>
        <rFont val="Palatino Linotype"/>
        <family val="1"/>
      </rPr>
      <t>1)</t>
    </r>
  </si>
  <si>
    <t>Österreich *</t>
  </si>
  <si>
    <t>* nationale Angaben</t>
  </si>
  <si>
    <t>Quellen: AMECO (EK-Frühjahrsprognose 2015) und WIFO-Konjunkturprognose September 2015</t>
  </si>
  <si>
    <t>Österreich*</t>
  </si>
  <si>
    <t>Vereinigtes Königsreich</t>
  </si>
  <si>
    <t>Quellen: AMECO (EK-Frühjahrsprognose 2015) und BMF</t>
  </si>
  <si>
    <r>
      <rPr>
        <vertAlign val="superscript"/>
        <sz val="8"/>
        <rFont val="Palatino Linotype"/>
        <family val="1"/>
      </rPr>
      <t xml:space="preserve">1) </t>
    </r>
    <r>
      <rPr>
        <sz val="8"/>
        <rFont val="Palatino Linotype"/>
        <family val="1"/>
      </rPr>
      <t>EU-Mitgliedstaaten ESVG 2010</t>
    </r>
  </si>
  <si>
    <t>Übersicht 30: Personalstand und Zahlungen/Aufwand des Bundes für Landeslehrerinnen u. -lehrer</t>
  </si>
  <si>
    <t>Übersicht 31: Anzahl von Global- und Detailbudgets</t>
  </si>
  <si>
    <t xml:space="preserve">Quellen: Statistik Austria (bis 2014); BMF (2015 und 2016); Ameco </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</si>
  <si>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 In dieser Übersicht sind die Daten des Fin HH zu Grunde gelegt.</t>
    </r>
  </si>
  <si>
    <r>
      <rPr>
        <vertAlign val="superscript"/>
        <sz val="8"/>
        <rFont val="Palatino Linotype"/>
        <family val="1"/>
      </rPr>
      <t xml:space="preserve">2) </t>
    </r>
    <r>
      <rPr>
        <sz val="8"/>
        <rFont val="Palatino Linotype"/>
        <family val="1"/>
      </rPr>
      <t xml:space="preserve">Ausgleichsfonds für Familienbeihilfen, Katastrophenfonds, EU-Beitrag, Gesundheitsförderung, Siedlungswasserwirtschaft, Gesundheits- </t>
    </r>
  </si>
  <si>
    <t>u. Sozialbereichs-Beihilfengesetz, Anteile aus Tabaksteuer für Hauptverband, Überweisungen gem. EU-Quellensteuergesetz,</t>
  </si>
  <si>
    <t>Sonstiges</t>
  </si>
  <si>
    <r>
      <rPr>
        <vertAlign val="superscript"/>
        <sz val="9"/>
        <color rgb="FF000000"/>
        <rFont val="Palatino Linotype"/>
        <family val="1"/>
      </rPr>
      <t>1)</t>
    </r>
    <r>
      <rPr>
        <sz val="9"/>
        <color rgb="FF000000"/>
        <rFont val="Palatino Linotype"/>
        <family val="1"/>
      </rPr>
      <t xml:space="preserve"> Aufgrund des Ausfuhrförderungsgesetzes und des Ausfuhrfinanzierungsförderungsgesetzes</t>
    </r>
  </si>
  <si>
    <r>
      <rPr>
        <vertAlign val="superscript"/>
        <sz val="9"/>
        <color rgb="FF000000"/>
        <rFont val="Palatino Linotype"/>
        <family val="1"/>
      </rPr>
      <t>2)</t>
    </r>
    <r>
      <rPr>
        <sz val="9"/>
        <color rgb="FF000000"/>
        <rFont val="Palatino Linotype"/>
        <family val="1"/>
      </rPr>
      <t xml:space="preserve"> Für Kapitalbeträge am Jahresende. In der Regel wird die Bundeshaftung auch für die Zinsen und Kosten übernommen; das tatsächliche Haftungsobligo erhöht sich daher um diese nur schwer abschätzbaren jeweiligen Nebenkosten. </t>
    </r>
  </si>
  <si>
    <t>Umsatzsteueranteil für Pflegefonds (ab 2011), Österreich-Fonds (2016)</t>
  </si>
  <si>
    <t>Übersicht 15: Gesamtauszahlungen und -aufwendungen des Bundes, finanzwirtschaftliche Gliederung nach UG</t>
  </si>
  <si>
    <r>
      <t>Zölle</t>
    </r>
    <r>
      <rPr>
        <vertAlign val="superscript"/>
        <sz val="8"/>
        <rFont val="Palatino Linotype"/>
        <family val="1"/>
      </rPr>
      <t xml:space="preserve"> 2)</t>
    </r>
  </si>
  <si>
    <r>
      <t xml:space="preserve">Veranlagte Einkommensteuer </t>
    </r>
    <r>
      <rPr>
        <vertAlign val="superscript"/>
        <sz val="8"/>
        <rFont val="Palatino Linotype"/>
        <family val="1"/>
      </rPr>
      <t>1)</t>
    </r>
  </si>
  <si>
    <r>
      <t>2)</t>
    </r>
    <r>
      <rPr>
        <sz val="8"/>
        <rFont val="Palatino Linotype"/>
        <family val="1"/>
      </rPr>
      <t xml:space="preserve"> Ab dem Budget 2009 werden die Zölle gem. § 16 (2) Z 10 BHG in der durchlaufenden Gebarung verrechnet.</t>
    </r>
  </si>
  <si>
    <r>
      <t>1)</t>
    </r>
    <r>
      <rPr>
        <sz val="8"/>
        <rFont val="Palatino Linotype"/>
        <family val="1"/>
      </rPr>
      <t xml:space="preserve"> inkl. Vorwegbesteuerung Pensionskassen: 2012: 246,859 Mio. €, 2013: 0,815 Mio. €, 2014: 0,022 Mio. €</t>
    </r>
  </si>
  <si>
    <r>
      <t xml:space="preserve">     aktive Bedienstete </t>
    </r>
    <r>
      <rPr>
        <vertAlign val="superscript"/>
        <sz val="9"/>
        <rFont val="Palatino Linotype"/>
        <family val="1"/>
      </rPr>
      <t xml:space="preserve"> 1) 2)</t>
    </r>
  </si>
  <si>
    <r>
      <rPr>
        <vertAlign val="superscript"/>
        <sz val="8"/>
        <rFont val="Palatino Linotype"/>
        <family val="1"/>
      </rPr>
      <t>1)</t>
    </r>
    <r>
      <rPr>
        <sz val="8"/>
        <rFont val="Palatino Linotype"/>
        <family val="1"/>
      </rPr>
      <t xml:space="preserve"> 2010 bis 2015: Der Veranschlagung zugrunde gelegte Stände</t>
    </r>
  </si>
  <si>
    <r>
      <rPr>
        <vertAlign val="superscript"/>
        <sz val="8"/>
        <rFont val="Palatino Linotype"/>
        <family val="1"/>
      </rPr>
      <t>3)</t>
    </r>
    <r>
      <rPr>
        <sz val="8"/>
        <rFont val="Palatino Linotype"/>
        <family val="1"/>
      </rPr>
      <t xml:space="preserve"> ohne Pflegegeld</t>
    </r>
  </si>
  <si>
    <r>
      <t xml:space="preserve">Auszahlungen für Pensionen </t>
    </r>
    <r>
      <rPr>
        <vertAlign val="superscript"/>
        <sz val="8"/>
        <rFont val="Palatino Linotype"/>
        <family val="1"/>
      </rPr>
      <t>3)</t>
    </r>
  </si>
  <si>
    <r>
      <rPr>
        <vertAlign val="superscript"/>
        <sz val="8"/>
        <rFont val="Palatino Linotype"/>
        <family val="1"/>
      </rPr>
      <t>4)</t>
    </r>
    <r>
      <rPr>
        <sz val="8"/>
        <rFont val="Palatino Linotype"/>
        <family val="1"/>
      </rPr>
      <t xml:space="preserve"> 2012: inkl. Vorlaufzahlungen; ab 2013: inkl. Pensionsbeiträge - Beamtinnen u. Beamte</t>
    </r>
  </si>
  <si>
    <r>
      <t>Auszahlungen für Aktivitätsbezüge</t>
    </r>
    <r>
      <rPr>
        <vertAlign val="superscript"/>
        <sz val="9"/>
        <rFont val="Palatino Linotype"/>
        <family val="1"/>
      </rPr>
      <t xml:space="preserve"> 4)</t>
    </r>
  </si>
  <si>
    <r>
      <t>Aufwendungen für Aktivitätsbezüge</t>
    </r>
    <r>
      <rPr>
        <vertAlign val="superscript"/>
        <sz val="9"/>
        <rFont val="Palatino Linotype"/>
        <family val="1"/>
      </rPr>
      <t xml:space="preserve"> 4)</t>
    </r>
  </si>
  <si>
    <r>
      <rPr>
        <vertAlign val="superscript"/>
        <sz val="8"/>
        <rFont val="Palatino Linotype"/>
        <family val="1"/>
      </rPr>
      <t>2)</t>
    </r>
    <r>
      <rPr>
        <sz val="8"/>
        <rFont val="Palatino Linotype"/>
        <family val="1"/>
      </rPr>
      <t xml:space="preserve"> 2016: Der Veranschlagung zugrunde gelegte Stände (= Stellenpläne der Landeslehrerinnen u. -leher für das Schuljahr 2015/2016 für die Zeit vom 1.9.15 bis 31.8.16); Personalstand für die land- u. forstwirtschaftlichen Schulen des BMLFuW für 2016 nicht verfügbar.</t>
    </r>
  </si>
  <si>
    <t>2016           BVA</t>
  </si>
  <si>
    <t>2016 
BVA</t>
  </si>
  <si>
    <t>2016     BVA</t>
  </si>
  <si>
    <t>2016         BVA</t>
  </si>
  <si>
    <t>2016 BVA</t>
  </si>
  <si>
    <t>2016    BVA</t>
  </si>
  <si>
    <t>2016   BVA</t>
  </si>
  <si>
    <t>Untergliederungen lt. BVA 2016</t>
  </si>
  <si>
    <t>2016   
BVA</t>
  </si>
  <si>
    <t>2016  
BVA</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</si>
</sst>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41" formatCode="_-* #,##0_-;\-* #,##0_-;_-* &quot;-&quot;_-;_-@_-"/>
    <numFmt numFmtId="43" formatCode="_-* #,##0.00_-;\-* #,##0.00_-;_-* &quot;-&quot;??_-;_-@_-"/>
    <numFmt numFmtId="164" formatCode="0.0"/>
    <numFmt numFmtId="165" formatCode="_-* #,##0.00\ [$€-1]_-;\-* #,##0.00\ [$€-1]_-;_-* &quot;-&quot;??\ [$€-1]_-"/>
    <numFmt numFmtId="166" formatCode="_-* #,##0.00\ _Ö_S_-;\-* #,##0.00\ _Ö_S_-;_-* &quot;-&quot;??\ _Ö_S_-;_-@_-"/>
    <numFmt numFmtId="167" formatCode="0.0%"/>
    <numFmt numFmtId="168" formatCode="#,##0.0"/>
    <numFmt numFmtId="169" formatCode="#,##0.000"/>
    <numFmt numFmtId="170" formatCode="_-* #,##0.0_-;\-* #,##0.0_-;_-* &quot;-&quot;??_-;_-@_-"/>
    <numFmt numFmtId="171" formatCode="&quot;$&quot;#,##0.00_);[Red]\(&quot;$&quot;#,##0.00\)"/>
    <numFmt numFmtId="172" formatCode="0.000_)"/>
    <numFmt numFmtId="173" formatCode="0.000"/>
    <numFmt numFmtId="174" formatCode="0.0000"/>
    <numFmt numFmtId="175" formatCode="##0\ &quot;bps&quot;"/>
    <numFmt numFmtId="176" formatCode="_-* #,##0.00\ [$€]_-;\-* #,##0.00\ [$€]_-;_-* &quot;-&quot;??\ [$€]_-;_-@_-"/>
    <numFmt numFmtId="177" formatCode="_-[$€-2]\ * #,##0.00_-;\-[$€-2]\ * #,##0.00_-;_-[$€-2]\ * &quot;-&quot;??_-"/>
    <numFmt numFmtId="178" formatCode="#,##0.00_);[Red]\(#,##0.00\);\-_)"/>
    <numFmt numFmtId="179" formatCode="_(* #,##0.00_);_(* \(#,##0.00\);_(* &quot;-&quot;??_);_(@_)"/>
    <numFmt numFmtId="180" formatCode="_ * #,##0.00_ ;_ * \-#,##0.00_ ;_ * &quot;-&quot;??_ ;_ @_ "/>
    <numFmt numFmtId="181" formatCode="#,##0.00_);\(#,##0.00\)"/>
    <numFmt numFmtId="182" formatCode="\+#,##0;\-#,##0"/>
    <numFmt numFmtId="183" formatCode="_(* #,##0.00_);\(* #,##0.00\);_(* &quot;-&quot;??_);_-@_-"/>
    <numFmt numFmtId="184" formatCode="_(* #,##0_);\(* #,##0\);_(* &quot;-&quot;??_);_-@_-"/>
    <numFmt numFmtId="185" formatCode="0.00_)"/>
    <numFmt numFmtId="186" formatCode="#0.00"/>
    <numFmt numFmtId="187" formatCode="#0.0000"/>
    <numFmt numFmtId="188" formatCode="0.000%"/>
    <numFmt numFmtId="189" formatCode="0.0000000%"/>
    <numFmt numFmtId="190" formatCode="#,##0_ ;[Red]\-#,##0\ "/>
    <numFmt numFmtId="191" formatCode="0.0_)"/>
    <numFmt numFmtId="192" formatCode="&quot;L.&quot;\ #,##0;[Red]\-&quot;L.&quot;\ #,##0"/>
    <numFmt numFmtId="193" formatCode="#,##0.0000000000000"/>
    <numFmt numFmtId="194" formatCode="#,##0.0000"/>
    <numFmt numFmtId="195" formatCode="0.00000"/>
  </numFmts>
  <fonts count="17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b/>
      <sz val="10"/>
      <name val="Arial"/>
      <family val="2"/>
    </font>
    <font>
      <sz val="10"/>
      <name val="Arial"/>
      <family val="2"/>
    </font>
    <font>
      <sz val="8"/>
      <name val="Arial"/>
      <family val="2"/>
    </font>
    <font>
      <sz val="12"/>
      <name val="Arial"/>
      <family val="2"/>
    </font>
    <font>
      <b/>
      <sz val="10"/>
      <name val="Univers (E1)"/>
      <family val="2"/>
    </font>
    <font>
      <sz val="10"/>
      <name val="Univers (E1)"/>
      <family val="2"/>
    </font>
    <font>
      <sz val="10"/>
      <name val="Univers (E1)"/>
    </font>
    <font>
      <b/>
      <sz val="10"/>
      <name val="Arial"/>
      <family val="2"/>
    </font>
    <font>
      <sz val="8"/>
      <name val="Univers (E1)"/>
      <family val="2"/>
    </font>
    <font>
      <sz val="10"/>
      <color theme="1"/>
      <name val="Arial"/>
      <family val="2"/>
    </font>
    <font>
      <sz val="8"/>
      <name val="Univers (E1)"/>
    </font>
    <font>
      <b/>
      <sz val="10"/>
      <name val="Palatino Linotype"/>
      <family val="1"/>
    </font>
    <font>
      <sz val="10"/>
      <name val="Palatino Linotype"/>
      <family val="1"/>
    </font>
    <font>
      <sz val="8"/>
      <name val="Palatino Linotype"/>
      <family val="1"/>
    </font>
    <font>
      <sz val="9"/>
      <name val="Palatino Linotype"/>
      <family val="1"/>
    </font>
    <font>
      <b/>
      <sz val="9"/>
      <name val="Palatino Linotype"/>
      <family val="1"/>
    </font>
    <font>
      <vertAlign val="superscript"/>
      <sz val="9"/>
      <name val="Palatino Linotype"/>
      <family val="1"/>
    </font>
    <font>
      <vertAlign val="superscript"/>
      <sz val="8"/>
      <name val="Palatino Linotype"/>
      <family val="1"/>
    </font>
    <font>
      <b/>
      <vertAlign val="superscript"/>
      <sz val="10"/>
      <name val="Palatino Linotype"/>
      <family val="1"/>
    </font>
    <font>
      <b/>
      <vertAlign val="superscript"/>
      <sz val="9"/>
      <name val="Palatino Linotype"/>
      <family val="1"/>
    </font>
    <font>
      <sz val="7"/>
      <name val="Palatino Linotype"/>
      <family val="1"/>
    </font>
    <font>
      <vertAlign val="superscript"/>
      <sz val="7"/>
      <name val="Palatino Linotype"/>
      <family val="1"/>
    </font>
    <font>
      <b/>
      <sz val="8"/>
      <name val="Palatino Linotype"/>
      <family val="1"/>
    </font>
    <font>
      <sz val="8"/>
      <color theme="0"/>
      <name val="Palatino Linotype"/>
      <family val="1"/>
    </font>
    <font>
      <vertAlign val="superscript"/>
      <sz val="8"/>
      <color theme="0"/>
      <name val="Palatino Linotype"/>
      <family val="1"/>
    </font>
    <font>
      <sz val="8"/>
      <color rgb="FFFF0000"/>
      <name val="Palatino Linotype"/>
      <family val="1"/>
    </font>
    <font>
      <b/>
      <sz val="8"/>
      <color rgb="FFC00000"/>
      <name val="Palatino Linotype"/>
      <family val="1"/>
    </font>
    <font>
      <sz val="8"/>
      <color rgb="FFC00000"/>
      <name val="Palatino Linotype"/>
      <family val="1"/>
    </font>
    <font>
      <b/>
      <sz val="10"/>
      <color rgb="FFC00000"/>
      <name val="Palatino Linotype"/>
      <family val="1"/>
    </font>
    <font>
      <i/>
      <sz val="9"/>
      <name val="Palatino Linotype"/>
      <family val="1"/>
    </font>
    <font>
      <b/>
      <sz val="9"/>
      <color rgb="FFC00000"/>
      <name val="Palatino Linotype"/>
      <family val="1"/>
    </font>
    <font>
      <b/>
      <vertAlign val="superscript"/>
      <sz val="8"/>
      <name val="Palatino Linotype"/>
      <family val="1"/>
    </font>
    <font>
      <sz val="10"/>
      <color rgb="FFC00000"/>
      <name val="Palatino Linotype"/>
      <family val="1"/>
    </font>
    <font>
      <sz val="10"/>
      <color rgb="FFC00000"/>
      <name val="Arial"/>
      <family val="2"/>
    </font>
    <font>
      <b/>
      <sz val="10"/>
      <color rgb="FFC00000"/>
      <name val="Arial"/>
      <family val="2"/>
    </font>
    <font>
      <b/>
      <sz val="10"/>
      <color theme="1"/>
      <name val="Palatino Linotype"/>
      <family val="1"/>
    </font>
    <font>
      <sz val="10"/>
      <color theme="1"/>
      <name val="Palatino Linotype"/>
      <family val="1"/>
    </font>
    <font>
      <sz val="8"/>
      <color theme="1"/>
      <name val="Palatino Linotype"/>
      <family val="1"/>
    </font>
    <font>
      <vertAlign val="superscript"/>
      <sz val="8"/>
      <color theme="1"/>
      <name val="Palatino Linotype"/>
      <family val="1"/>
    </font>
    <font>
      <sz val="8"/>
      <color rgb="FF000000"/>
      <name val="Palatino Linotype"/>
      <family val="1"/>
    </font>
    <font>
      <b/>
      <vertAlign val="superscript"/>
      <sz val="8"/>
      <color rgb="FFC00000"/>
      <name val="Palatino Linotype"/>
      <family val="1"/>
    </font>
    <font>
      <sz val="7"/>
      <color rgb="FF000000"/>
      <name val="Palatino Linotype"/>
      <family val="1"/>
    </font>
    <font>
      <vertAlign val="superscript"/>
      <sz val="8"/>
      <color rgb="FF000000"/>
      <name val="Palatino Linotype"/>
      <family val="1"/>
    </font>
    <font>
      <vertAlign val="superscript"/>
      <sz val="7"/>
      <color rgb="FF000000"/>
      <name val="Palatino Linotype"/>
      <family val="1"/>
    </font>
    <font>
      <sz val="9"/>
      <name val="Arial"/>
      <family val="2"/>
    </font>
    <font>
      <b/>
      <u/>
      <sz val="9"/>
      <name val="Palatino Linotype"/>
      <family val="1"/>
    </font>
    <font>
      <i/>
      <vertAlign val="superscript"/>
      <sz val="9"/>
      <name val="Palatino Linotype"/>
      <family val="1"/>
    </font>
    <font>
      <sz val="9"/>
      <color rgb="FFC00000"/>
      <name val="Palatino Linotype"/>
      <family val="1"/>
    </font>
    <font>
      <sz val="8"/>
      <name val="CG Times (E1)"/>
    </font>
    <font>
      <b/>
      <sz val="8"/>
      <color theme="1"/>
      <name val="Palatino Linotype"/>
      <family val="1"/>
    </font>
    <font>
      <b/>
      <vertAlign val="superscript"/>
      <sz val="8"/>
      <color theme="1"/>
      <name val="Palatino Linotype"/>
      <family val="1"/>
    </font>
    <font>
      <sz val="11"/>
      <name val="Arial"/>
      <family val="2"/>
    </font>
    <font>
      <sz val="10"/>
      <color rgb="FFFF0000"/>
      <name val="Palatino Linotype"/>
      <family val="1"/>
    </font>
    <font>
      <sz val="10"/>
      <name val="Arial"/>
      <family val="2"/>
    </font>
    <font>
      <sz val="9"/>
      <color indexed="9"/>
      <name val="Palatino Linotype"/>
      <family val="1"/>
    </font>
    <font>
      <vertAlign val="superscript"/>
      <sz val="9"/>
      <color indexed="9"/>
      <name val="Palatino Linotype"/>
      <family val="1"/>
    </font>
    <font>
      <sz val="10"/>
      <name val="Arial"/>
      <family val="2"/>
    </font>
    <font>
      <sz val="10"/>
      <name val="Times New Roman"/>
      <family val="1"/>
    </font>
    <font>
      <sz val="9"/>
      <name val="Times New Roman"/>
      <family val="1"/>
    </font>
    <font>
      <i/>
      <sz val="8"/>
      <name val="Tms Rmn"/>
    </font>
    <font>
      <b/>
      <sz val="8"/>
      <name val="Tms Rmn"/>
    </font>
    <font>
      <b/>
      <sz val="9"/>
      <color theme="1"/>
      <name val="Calibri"/>
      <family val="2"/>
      <scheme val="minor"/>
    </font>
    <font>
      <sz val="9"/>
      <color theme="1"/>
      <name val="Calibri"/>
      <family val="2"/>
      <scheme val="minor"/>
    </font>
    <font>
      <i/>
      <sz val="9"/>
      <color theme="1"/>
      <name val="Calibri"/>
      <family val="2"/>
      <scheme val="minor"/>
    </font>
    <font>
      <sz val="9"/>
      <color theme="1"/>
      <name val="Palatino Linotype"/>
      <family val="1"/>
    </font>
    <font>
      <i/>
      <sz val="9"/>
      <color theme="1"/>
      <name val="Palatino Linotype"/>
      <family val="1"/>
    </font>
    <font>
      <i/>
      <vertAlign val="superscript"/>
      <sz val="9"/>
      <color theme="1"/>
      <name val="Palatino Linotype"/>
      <family val="1"/>
    </font>
    <font>
      <vertAlign val="superscript"/>
      <sz val="9"/>
      <color theme="1"/>
      <name val="Palatino Linotype"/>
      <family val="1"/>
    </font>
    <font>
      <b/>
      <u/>
      <sz val="8"/>
      <name val="Palatino Linotype"/>
      <family val="1"/>
    </font>
    <font>
      <b/>
      <sz val="11"/>
      <color theme="1"/>
      <name val="Calibri"/>
      <family val="2"/>
      <scheme val="minor"/>
    </font>
    <font>
      <b/>
      <sz val="8"/>
      <name val="Arial"/>
      <family val="2"/>
    </font>
    <font>
      <sz val="11"/>
      <color indexed="8"/>
      <name val="Arial"/>
      <family val="2"/>
    </font>
    <font>
      <sz val="11"/>
      <color indexed="8"/>
      <name val="Calibri"/>
      <family val="2"/>
      <charset val="238"/>
    </font>
    <font>
      <sz val="11"/>
      <color indexed="8"/>
      <name val="Calibri"/>
      <family val="2"/>
    </font>
    <font>
      <sz val="11"/>
      <color indexed="9"/>
      <name val="Arial"/>
      <family val="2"/>
    </font>
    <font>
      <sz val="11"/>
      <color indexed="9"/>
      <name val="Calibri"/>
      <family val="2"/>
      <charset val="238"/>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9"/>
      <color theme="1"/>
      <name val="Tahoma"/>
      <family val="2"/>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b/>
      <i/>
      <sz val="16"/>
      <name val="Helv"/>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name val="Courier"/>
      <family val="3"/>
    </font>
    <font>
      <b/>
      <sz val="11"/>
      <color theme="1"/>
      <name val="Palatino Linotype"/>
      <family val="1"/>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11"/>
      <name val="Calibri"/>
      <family val="2"/>
      <scheme val="minor"/>
    </font>
    <font>
      <sz val="9"/>
      <color rgb="FF000000"/>
      <name val="Palatino Linotype"/>
      <family val="1"/>
    </font>
    <font>
      <vertAlign val="superscript"/>
      <sz val="9"/>
      <color rgb="FF000000"/>
      <name val="Palatino Linotype"/>
      <family val="1"/>
    </font>
  </fonts>
  <fills count="49">
    <fill>
      <patternFill patternType="none"/>
    </fill>
    <fill>
      <patternFill patternType="gray125"/>
    </fill>
    <fill>
      <patternFill patternType="solid">
        <fgColor theme="0"/>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55"/>
      </patternFill>
    </fill>
    <fill>
      <patternFill patternType="solid">
        <fgColor indexed="44"/>
        <bgColor indexed="64"/>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s>
  <borders count="31">
    <border>
      <left/>
      <right/>
      <top/>
      <bottom/>
      <diagonal/>
    </border>
    <border>
      <left/>
      <right/>
      <top/>
      <bottom style="thin">
        <color indexed="64"/>
      </bottom>
      <diagonal/>
    </border>
    <border>
      <left/>
      <right/>
      <top style="thin">
        <color indexed="64"/>
      </top>
      <bottom/>
      <diagonal/>
    </border>
    <border>
      <left/>
      <right/>
      <top style="thin">
        <color indexed="64"/>
      </top>
      <bottom style="thin">
        <color rgb="FFFF0000"/>
      </bottom>
      <diagonal/>
    </border>
    <border>
      <left/>
      <right/>
      <top/>
      <bottom style="thin">
        <color theme="0" tint="-0.249977111117893"/>
      </bottom>
      <diagonal/>
    </border>
    <border>
      <left/>
      <right/>
      <top/>
      <bottom style="thin">
        <color rgb="FFFF0000"/>
      </bottom>
      <diagonal/>
    </border>
    <border>
      <left/>
      <right/>
      <top style="thin">
        <color theme="0" tint="-0.249977111117893"/>
      </top>
      <bottom style="thin">
        <color theme="0" tint="-0.249977111117893"/>
      </bottom>
      <diagonal/>
    </border>
    <border>
      <left/>
      <right/>
      <top style="thin">
        <color theme="0" tint="-0.249977111117893"/>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s>
  <cellStyleXfs count="569">
    <xf numFmtId="0" fontId="0" fillId="0" borderId="0"/>
    <xf numFmtId="0" fontId="17" fillId="0" borderId="0"/>
    <xf numFmtId="165" fontId="19" fillId="0" borderId="0" applyFont="0" applyFill="0" applyBorder="0" applyAlignment="0" applyProtection="0"/>
    <xf numFmtId="166" fontId="19" fillId="0" borderId="0" applyFont="0" applyFill="0" applyBorder="0" applyAlignment="0" applyProtection="0"/>
    <xf numFmtId="0" fontId="17" fillId="0" borderId="0"/>
    <xf numFmtId="0" fontId="17" fillId="0" borderId="0"/>
    <xf numFmtId="0" fontId="21" fillId="0" borderId="0"/>
    <xf numFmtId="0" fontId="19" fillId="0" borderId="0"/>
    <xf numFmtId="0" fontId="19" fillId="0" borderId="0"/>
    <xf numFmtId="0" fontId="16" fillId="0" borderId="0"/>
    <xf numFmtId="171" fontId="17" fillId="0" borderId="0" applyFont="0" applyFill="0" applyBorder="0" applyAlignment="0" applyProtection="0"/>
    <xf numFmtId="0" fontId="19" fillId="0" borderId="0"/>
    <xf numFmtId="43" fontId="69" fillId="0" borderId="0" applyFont="0" applyFill="0" applyBorder="0" applyAlignment="0" applyProtection="0"/>
    <xf numFmtId="0" fontId="15" fillId="3" borderId="8" applyNumberFormat="0" applyFont="0" applyAlignment="0" applyProtection="0"/>
    <xf numFmtId="0" fontId="69" fillId="0" borderId="0"/>
    <xf numFmtId="0" fontId="14" fillId="0" borderId="0"/>
    <xf numFmtId="9" fontId="71" fillId="0" borderId="0" applyFont="0" applyFill="0" applyBorder="0" applyAlignment="0" applyProtection="0"/>
    <xf numFmtId="0" fontId="13" fillId="0" borderId="0"/>
    <xf numFmtId="9" fontId="19" fillId="0" borderId="0" applyFont="0" applyFill="0" applyBorder="0" applyAlignment="0" applyProtection="0"/>
    <xf numFmtId="0" fontId="12" fillId="3" borderId="8" applyNumberFormat="0" applyFont="0" applyAlignment="0" applyProtection="0"/>
    <xf numFmtId="0" fontId="12" fillId="0" borderId="0"/>
    <xf numFmtId="0" fontId="12" fillId="0" borderId="0"/>
    <xf numFmtId="0" fontId="11" fillId="0" borderId="0"/>
    <xf numFmtId="0" fontId="11" fillId="3" borderId="8" applyNumberFormat="0" applyFont="0" applyAlignment="0" applyProtection="0"/>
    <xf numFmtId="0" fontId="11" fillId="0" borderId="0"/>
    <xf numFmtId="0" fontId="11" fillId="0" borderId="0"/>
    <xf numFmtId="0" fontId="74" fillId="0" borderId="0"/>
    <xf numFmtId="0" fontId="75" fillId="0" borderId="9">
      <alignment horizontal="center" vertical="center"/>
    </xf>
    <xf numFmtId="164" fontId="75" fillId="0" borderId="0" applyBorder="0"/>
    <xf numFmtId="164" fontId="75" fillId="0" borderId="10"/>
    <xf numFmtId="0" fontId="75" fillId="0" borderId="0"/>
    <xf numFmtId="0" fontId="75" fillId="0" borderId="0"/>
    <xf numFmtId="0" fontId="76" fillId="0" borderId="0">
      <alignment horizontal="left"/>
    </xf>
    <xf numFmtId="0" fontId="75" fillId="0" borderId="1">
      <alignment horizontal="center" vertical="center"/>
    </xf>
    <xf numFmtId="0" fontId="77" fillId="0" borderId="0"/>
    <xf numFmtId="0" fontId="78" fillId="0" borderId="0"/>
    <xf numFmtId="0" fontId="69" fillId="0" borderId="0"/>
    <xf numFmtId="0" fontId="10" fillId="0" borderId="0"/>
    <xf numFmtId="9" fontId="10" fillId="0" borderId="0" applyFont="0" applyFill="0" applyBorder="0" applyAlignment="0" applyProtection="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19" fillId="0" borderId="0"/>
    <xf numFmtId="0" fontId="89" fillId="4" borderId="0" applyNumberFormat="0" applyBorder="0" applyAlignment="0" applyProtection="0"/>
    <xf numFmtId="0" fontId="89" fillId="5" borderId="0" applyNumberFormat="0" applyBorder="0" applyAlignment="0" applyProtection="0"/>
    <xf numFmtId="0" fontId="89" fillId="6" borderId="0" applyNumberFormat="0" applyBorder="0" applyAlignment="0" applyProtection="0"/>
    <xf numFmtId="0" fontId="89" fillId="7" borderId="0" applyNumberFormat="0" applyBorder="0" applyAlignment="0" applyProtection="0"/>
    <xf numFmtId="0" fontId="89" fillId="8" borderId="0" applyNumberFormat="0" applyBorder="0" applyAlignment="0" applyProtection="0"/>
    <xf numFmtId="0" fontId="89" fillId="9" borderId="0" applyNumberFormat="0" applyBorder="0" applyAlignment="0" applyProtection="0"/>
    <xf numFmtId="0" fontId="90" fillId="4"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10" borderId="0" applyNumberFormat="0" applyBorder="0" applyAlignment="0" applyProtection="0"/>
    <xf numFmtId="0" fontId="90" fillId="4"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9"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10" borderId="0" applyNumberFormat="0" applyBorder="0" applyAlignment="0" applyProtection="0"/>
    <xf numFmtId="0" fontId="90" fillId="9" borderId="0" applyNumberFormat="0" applyBorder="0" applyAlignment="0" applyProtection="0"/>
    <xf numFmtId="0" fontId="89" fillId="4" borderId="0" applyNumberFormat="0" applyBorder="0" applyAlignment="0" applyProtection="0"/>
    <xf numFmtId="0" fontId="89" fillId="5" borderId="0" applyNumberFormat="0" applyBorder="0" applyAlignment="0" applyProtection="0"/>
    <xf numFmtId="0" fontId="89" fillId="6" borderId="0" applyNumberFormat="0" applyBorder="0" applyAlignment="0" applyProtection="0"/>
    <xf numFmtId="0" fontId="89" fillId="7" borderId="0" applyNumberFormat="0" applyBorder="0" applyAlignment="0" applyProtection="0"/>
    <xf numFmtId="0" fontId="89" fillId="8" borderId="0" applyNumberFormat="0" applyBorder="0" applyAlignment="0" applyProtection="0"/>
    <xf numFmtId="0" fontId="89" fillId="9" borderId="0" applyNumberFormat="0" applyBorder="0" applyAlignment="0" applyProtection="0"/>
    <xf numFmtId="0" fontId="91" fillId="9" borderId="0" applyNumberFormat="0" applyBorder="0" applyAlignment="0" applyProtection="0"/>
    <xf numFmtId="0" fontId="91" fillId="11" borderId="0" applyNumberFormat="0" applyBorder="0" applyAlignment="0" applyProtection="0"/>
    <xf numFmtId="0" fontId="91" fillId="12" borderId="0" applyNumberFormat="0" applyBorder="0" applyAlignment="0" applyProtection="0"/>
    <xf numFmtId="0" fontId="91" fillId="9" borderId="0" applyNumberFormat="0" applyBorder="0" applyAlignment="0" applyProtection="0"/>
    <xf numFmtId="0" fontId="91" fillId="8" borderId="0" applyNumberFormat="0" applyBorder="0" applyAlignment="0" applyProtection="0"/>
    <xf numFmtId="0" fontId="91" fillId="12" borderId="0" applyNumberFormat="0" applyBorder="0" applyAlignment="0" applyProtection="0"/>
    <xf numFmtId="0" fontId="91" fillId="4" borderId="0" applyNumberFormat="0" applyBorder="0" applyAlignment="0" applyProtection="0"/>
    <xf numFmtId="0" fontId="91" fillId="5" borderId="0" applyNumberFormat="0" applyBorder="0" applyAlignment="0" applyProtection="0"/>
    <xf numFmtId="0" fontId="91" fillId="6" borderId="0" applyNumberFormat="0" applyBorder="0" applyAlignment="0" applyProtection="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89" fillId="13" borderId="0" applyNumberFormat="0" applyBorder="0" applyAlignment="0" applyProtection="0"/>
    <xf numFmtId="0" fontId="89" fillId="11" borderId="0" applyNumberFormat="0" applyBorder="0" applyAlignment="0" applyProtection="0"/>
    <xf numFmtId="0" fontId="89" fillId="14" borderId="0" applyNumberFormat="0" applyBorder="0" applyAlignment="0" applyProtection="0"/>
    <xf numFmtId="0" fontId="89" fillId="7" borderId="0" applyNumberFormat="0" applyBorder="0" applyAlignment="0" applyProtection="0"/>
    <xf numFmtId="0" fontId="89" fillId="13" borderId="0" applyNumberFormat="0" applyBorder="0" applyAlignment="0" applyProtection="0"/>
    <xf numFmtId="0" fontId="89" fillId="15"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89" fillId="13" borderId="0" applyNumberFormat="0" applyBorder="0" applyAlignment="0" applyProtection="0"/>
    <xf numFmtId="0" fontId="89" fillId="11" borderId="0" applyNumberFormat="0" applyBorder="0" applyAlignment="0" applyProtection="0"/>
    <xf numFmtId="0" fontId="89" fillId="14" borderId="0" applyNumberFormat="0" applyBorder="0" applyAlignment="0" applyProtection="0"/>
    <xf numFmtId="0" fontId="89" fillId="7" borderId="0" applyNumberFormat="0" applyBorder="0" applyAlignment="0" applyProtection="0"/>
    <xf numFmtId="0" fontId="89" fillId="13" borderId="0" applyNumberFormat="0" applyBorder="0" applyAlignment="0" applyProtection="0"/>
    <xf numFmtId="0" fontId="89" fillId="15" borderId="0" applyNumberFormat="0" applyBorder="0" applyAlignment="0" applyProtection="0"/>
    <xf numFmtId="0" fontId="91" fillId="10" borderId="0" applyNumberFormat="0" applyBorder="0" applyAlignment="0" applyProtection="0"/>
    <xf numFmtId="0" fontId="91" fillId="11" borderId="0" applyNumberFormat="0" applyBorder="0" applyAlignment="0" applyProtection="0"/>
    <xf numFmtId="0" fontId="91" fillId="16" borderId="0" applyNumberFormat="0" applyBorder="0" applyAlignment="0" applyProtection="0"/>
    <xf numFmtId="0" fontId="91" fillId="10"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3"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1" fillId="7" borderId="0" applyNumberFormat="0" applyBorder="0" applyAlignment="0" applyProtection="0"/>
    <xf numFmtId="0" fontId="91" fillId="13" borderId="0" applyNumberFormat="0" applyBorder="0" applyAlignment="0" applyProtection="0"/>
    <xf numFmtId="0" fontId="91" fillId="15" borderId="0" applyNumberFormat="0" applyBorder="0" applyAlignment="0" applyProtection="0"/>
    <xf numFmtId="0" fontId="92" fillId="17"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2" fillId="17"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4" fillId="19" borderId="0" applyNumberFormat="0" applyBorder="0" applyAlignment="0" applyProtection="0"/>
    <xf numFmtId="0" fontId="94" fillId="11" borderId="0" applyNumberFormat="0" applyBorder="0" applyAlignment="0" applyProtection="0"/>
    <xf numFmtId="0" fontId="94" fillId="16" borderId="0" applyNumberFormat="0" applyBorder="0" applyAlignment="0" applyProtection="0"/>
    <xf numFmtId="0" fontId="94" fillId="10" borderId="0" applyNumberFormat="0" applyBorder="0" applyAlignment="0" applyProtection="0"/>
    <xf numFmtId="0" fontId="94" fillId="19" borderId="0" applyNumberFormat="0" applyBorder="0" applyAlignment="0" applyProtection="0"/>
    <xf numFmtId="0" fontId="94" fillId="11" borderId="0" applyNumberFormat="0" applyBorder="0" applyAlignment="0" applyProtection="0"/>
    <xf numFmtId="0" fontId="94" fillId="17" borderId="0" applyNumberFormat="0" applyBorder="0" applyAlignment="0" applyProtection="0"/>
    <xf numFmtId="0" fontId="94" fillId="11" borderId="0" applyNumberFormat="0" applyBorder="0" applyAlignment="0" applyProtection="0"/>
    <xf numFmtId="0" fontId="94" fillId="14"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3"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4" borderId="0" applyNumberFormat="0" applyBorder="0" applyAlignment="0" applyProtection="0"/>
    <xf numFmtId="0" fontId="95" fillId="5" borderId="0" applyNumberFormat="0" applyBorder="0" applyAlignment="0" applyProtection="0"/>
    <xf numFmtId="0" fontId="19" fillId="25" borderId="0" applyNumberFormat="0" applyFont="0" applyBorder="0" applyAlignment="0" applyProtection="0"/>
    <xf numFmtId="0" fontId="96" fillId="26" borderId="0" applyNumberFormat="0" applyBorder="0" applyAlignment="0" applyProtection="0"/>
    <xf numFmtId="0" fontId="97" fillId="9" borderId="11" applyNumberFormat="0" applyAlignment="0" applyProtection="0"/>
    <xf numFmtId="175" fontId="19" fillId="0" borderId="0" applyFont="0" applyFill="0" applyBorder="0" applyAlignment="0" applyProtection="0"/>
    <xf numFmtId="0" fontId="98" fillId="10" borderId="11" applyNumberFormat="0" applyAlignment="0" applyProtection="0"/>
    <xf numFmtId="0" fontId="99" fillId="10" borderId="11" applyNumberFormat="0" applyAlignment="0" applyProtection="0"/>
    <xf numFmtId="0" fontId="100" fillId="0" borderId="12" applyNumberFormat="0" applyFill="0" applyAlignment="0" applyProtection="0"/>
    <xf numFmtId="0" fontId="101" fillId="0" borderId="13" applyNumberFormat="0" applyFill="0" applyAlignment="0" applyProtection="0"/>
    <xf numFmtId="0" fontId="102" fillId="27" borderId="14" applyNumberFormat="0" applyAlignment="0" applyProtection="0"/>
    <xf numFmtId="0" fontId="103" fillId="27" borderId="14" applyNumberFormat="0" applyAlignment="0" applyProtection="0"/>
    <xf numFmtId="0" fontId="104" fillId="5" borderId="0" applyNumberFormat="0" applyBorder="0" applyAlignment="0" applyProtection="0"/>
    <xf numFmtId="0" fontId="104" fillId="5" borderId="0" applyNumberFormat="0" applyBorder="0" applyAlignment="0" applyProtection="0"/>
    <xf numFmtId="0" fontId="105" fillId="0" borderId="0" applyNumberFormat="0" applyFill="0" applyBorder="0" applyAlignment="0" applyProtection="0"/>
    <xf numFmtId="0" fontId="106" fillId="0" borderId="15" applyNumberFormat="0" applyFill="0" applyAlignment="0" applyProtection="0"/>
    <xf numFmtId="0" fontId="107" fillId="0" borderId="16"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0" applyNumberFormat="0" applyFill="0" applyBorder="0" applyAlignment="0" applyProtection="0"/>
    <xf numFmtId="0" fontId="94" fillId="21" borderId="0" applyNumberFormat="0" applyBorder="0" applyAlignment="0" applyProtection="0"/>
    <xf numFmtId="0" fontId="94" fillId="22"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4" borderId="0" applyNumberFormat="0" applyBorder="0" applyAlignment="0" applyProtection="0"/>
    <xf numFmtId="14" fontId="109" fillId="0" borderId="0"/>
    <xf numFmtId="0" fontId="96" fillId="28" borderId="0" applyNumberFormat="0" applyFont="0" applyBorder="0" applyAlignment="0" applyProtection="0"/>
    <xf numFmtId="41" fontId="110" fillId="0" borderId="0" applyFont="0" applyFill="0" applyBorder="0" applyAlignment="0" applyProtection="0"/>
    <xf numFmtId="0" fontId="96" fillId="26" borderId="0" applyNumberFormat="0" applyFont="0" applyBorder="0" applyProtection="0">
      <alignment horizontal="right"/>
    </xf>
    <xf numFmtId="0" fontId="111" fillId="27" borderId="14" applyNumberFormat="0" applyAlignment="0" applyProtection="0"/>
    <xf numFmtId="0" fontId="111" fillId="27" borderId="14" applyNumberFormat="0" applyAlignment="0" applyProtection="0"/>
    <xf numFmtId="176" fontId="19" fillId="0" borderId="0" applyFont="0" applyFill="0" applyBorder="0" applyAlignment="0" applyProtection="0"/>
    <xf numFmtId="177" fontId="19" fillId="0" borderId="0" applyFont="0" applyFill="0" applyBorder="0" applyAlignment="0" applyProtection="0"/>
    <xf numFmtId="11" fontId="19" fillId="0" borderId="0" applyFont="0" applyFill="0" applyBorder="0" applyAlignment="0" applyProtection="0"/>
    <xf numFmtId="0" fontId="112" fillId="0" borderId="0" applyNumberFormat="0" applyFill="0" applyBorder="0" applyAlignment="0" applyProtection="0"/>
    <xf numFmtId="0" fontId="113" fillId="0" borderId="0" applyFill="0" applyBorder="0" applyAlignment="0" applyProtection="0"/>
    <xf numFmtId="0" fontId="114" fillId="0" borderId="0" applyNumberFormat="0" applyFill="0" applyBorder="0" applyAlignment="0" applyProtection="0"/>
    <xf numFmtId="0" fontId="19" fillId="0" borderId="0" applyFont="0" applyFill="0" applyBorder="0" applyProtection="0">
      <alignment horizontal="center"/>
    </xf>
    <xf numFmtId="0" fontId="19" fillId="0" borderId="18" applyFont="0" applyFill="0" applyBorder="0" applyProtection="0">
      <alignment horizontal="right"/>
    </xf>
    <xf numFmtId="0" fontId="115" fillId="6" borderId="0" applyNumberFormat="0" applyBorder="0" applyAlignment="0" applyProtection="0"/>
    <xf numFmtId="178" fontId="116" fillId="0" borderId="0"/>
    <xf numFmtId="0" fontId="117" fillId="0" borderId="15" applyNumberFormat="0" applyFill="0" applyAlignment="0" applyProtection="0"/>
    <xf numFmtId="0" fontId="118" fillId="0" borderId="16" applyNumberFormat="0" applyFill="0" applyAlignment="0" applyProtection="0"/>
    <xf numFmtId="0" fontId="119" fillId="0" borderId="17" applyNumberFormat="0" applyFill="0" applyAlignment="0" applyProtection="0"/>
    <xf numFmtId="0" fontId="119" fillId="0" borderId="17" applyNumberFormat="0" applyFill="0" applyAlignment="0" applyProtection="0"/>
    <xf numFmtId="0" fontId="119" fillId="0" borderId="17" applyNumberFormat="0" applyFill="0" applyAlignment="0" applyProtection="0"/>
    <xf numFmtId="0" fontId="119" fillId="0" borderId="17" applyNumberFormat="0" applyFill="0" applyAlignment="0" applyProtection="0"/>
    <xf numFmtId="0" fontId="119" fillId="0" borderId="17" applyNumberFormat="0" applyFill="0" applyAlignment="0" applyProtection="0"/>
    <xf numFmtId="0" fontId="119" fillId="0" borderId="17" applyNumberFormat="0" applyFill="0" applyAlignment="0" applyProtection="0"/>
    <xf numFmtId="0" fontId="119" fillId="0" borderId="17" applyNumberFormat="0" applyFill="0" applyAlignment="0" applyProtection="0"/>
    <xf numFmtId="0" fontId="119" fillId="0" borderId="17" applyNumberFormat="0" applyFill="0" applyAlignment="0" applyProtection="0"/>
    <xf numFmtId="0" fontId="119" fillId="0" borderId="0" applyNumberFormat="0" applyFill="0" applyBorder="0" applyAlignment="0" applyProtection="0"/>
    <xf numFmtId="0" fontId="120" fillId="0" borderId="13" applyNumberFormat="0" applyFill="0" applyAlignment="0" applyProtection="0"/>
    <xf numFmtId="0" fontId="121" fillId="9" borderId="11" applyNumberFormat="0" applyAlignment="0" applyProtection="0"/>
    <xf numFmtId="0" fontId="122" fillId="0" borderId="0"/>
    <xf numFmtId="0" fontId="123" fillId="12" borderId="19" applyNumberFormat="0" applyFont="0" applyAlignment="0" applyProtection="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124" fillId="6" borderId="0" applyNumberFormat="0" applyBorder="0" applyAlignment="0" applyProtection="0"/>
    <xf numFmtId="0" fontId="125" fillId="10" borderId="20" applyNumberFormat="0" applyAlignment="0" applyProtection="0"/>
    <xf numFmtId="43" fontId="69" fillId="0" borderId="0" applyFont="0" applyFill="0" applyBorder="0" applyAlignment="0" applyProtection="0"/>
    <xf numFmtId="43" fontId="4" fillId="0" borderId="0" applyFont="0" applyFill="0" applyBorder="0" applyAlignment="0" applyProtection="0"/>
    <xf numFmtId="179" fontId="19" fillId="0" borderId="0" applyFont="0" applyFill="0" applyBorder="0" applyAlignment="0" applyProtection="0"/>
    <xf numFmtId="43" fontId="19" fillId="0" borderId="0" applyFont="0" applyFill="0" applyBorder="0" applyAlignment="0" applyProtection="0"/>
    <xf numFmtId="180" fontId="19" fillId="0" borderId="0" applyFont="0" applyFill="0" applyBorder="0" applyAlignment="0" applyProtection="0"/>
    <xf numFmtId="17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9" fontId="19"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111" fillId="27" borderId="14" applyNumberFormat="0" applyAlignment="0" applyProtection="0"/>
    <xf numFmtId="0" fontId="111" fillId="27" borderId="14" applyNumberFormat="0" applyAlignment="0" applyProtection="0"/>
    <xf numFmtId="38" fontId="126" fillId="0" borderId="0"/>
    <xf numFmtId="38" fontId="127" fillId="0" borderId="0"/>
    <xf numFmtId="38" fontId="128" fillId="0" borderId="0"/>
    <xf numFmtId="38" fontId="129" fillId="0" borderId="0"/>
    <xf numFmtId="0" fontId="109" fillId="0" borderId="0"/>
    <xf numFmtId="0" fontId="109" fillId="0" borderId="0"/>
    <xf numFmtId="0" fontId="109" fillId="0" borderId="0"/>
    <xf numFmtId="0" fontId="130" fillId="0" borderId="13" applyNumberFormat="0" applyFill="0" applyAlignment="0" applyProtection="0"/>
    <xf numFmtId="0" fontId="131" fillId="0" borderId="0" applyNumberFormat="0" applyFill="0" applyBorder="0" applyAlignment="0" applyProtection="0"/>
    <xf numFmtId="15" fontId="109" fillId="0" borderId="0"/>
    <xf numFmtId="181" fontId="109" fillId="0" borderId="0"/>
    <xf numFmtId="182" fontId="109" fillId="0" borderId="0"/>
    <xf numFmtId="38" fontId="17"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0" fontId="106" fillId="0" borderId="15" applyNumberFormat="0" applyFill="0" applyAlignment="0" applyProtection="0"/>
    <xf numFmtId="0" fontId="107" fillId="0" borderId="16"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17" applyNumberFormat="0" applyFill="0" applyAlignment="0" applyProtection="0"/>
    <xf numFmtId="0" fontId="108" fillId="0" borderId="0" applyNumberFormat="0" applyFill="0" applyBorder="0" applyAlignment="0" applyProtection="0"/>
    <xf numFmtId="0" fontId="105" fillId="0" borderId="0" applyNumberFormat="0" applyFill="0" applyBorder="0" applyAlignment="0" applyProtection="0"/>
    <xf numFmtId="0" fontId="132" fillId="16" borderId="0" applyNumberFormat="0" applyBorder="0" applyAlignment="0" applyProtection="0"/>
    <xf numFmtId="0" fontId="133" fillId="16" borderId="0" applyNumberFormat="0" applyBorder="0" applyAlignment="0" applyProtection="0"/>
    <xf numFmtId="0" fontId="21" fillId="0" borderId="0"/>
    <xf numFmtId="185" fontId="134" fillId="0" borderId="0"/>
    <xf numFmtId="0" fontId="19" fillId="0" borderId="0"/>
    <xf numFmtId="0" fontId="75" fillId="0" borderId="0"/>
    <xf numFmtId="0" fontId="123" fillId="0" borderId="0"/>
    <xf numFmtId="0" fontId="19" fillId="12" borderId="19" applyNumberFormat="0" applyFont="0" applyAlignment="0" applyProtection="0"/>
    <xf numFmtId="0" fontId="89" fillId="12" borderId="19" applyNumberFormat="0" applyFont="0" applyAlignment="0" applyProtection="0"/>
    <xf numFmtId="186" fontId="19" fillId="0" borderId="0" applyFont="0" applyFill="0" applyBorder="0" applyAlignment="0" applyProtection="0"/>
    <xf numFmtId="173" fontId="19" fillId="0" borderId="0" applyFont="0" applyFill="0" applyBorder="0" applyAlignment="0" applyProtection="0"/>
    <xf numFmtId="187" fontId="19" fillId="0" borderId="0" applyFont="0" applyFill="0" applyAlignment="0" applyProtection="0"/>
    <xf numFmtId="0" fontId="19" fillId="0" borderId="0" applyFont="0" applyFill="0" applyBorder="0" applyProtection="0">
      <alignment horizontal="center"/>
    </xf>
    <xf numFmtId="0" fontId="96" fillId="0" borderId="0" applyNumberFormat="0" applyFont="0" applyBorder="0" applyProtection="0"/>
    <xf numFmtId="0" fontId="100" fillId="0" borderId="12" applyNumberFormat="0" applyFill="0" applyAlignment="0" applyProtection="0"/>
    <xf numFmtId="0" fontId="135" fillId="10" borderId="20" applyNumberFormat="0" applyAlignment="0" applyProtection="0"/>
    <xf numFmtId="9" fontId="19" fillId="0" borderId="0" applyFont="0" applyFill="0" applyBorder="0" applyAlignment="0" applyProtection="0"/>
    <xf numFmtId="10" fontId="19" fillId="0" borderId="0" applyFont="0" applyFill="0" applyBorder="0" applyAlignment="0" applyProtection="0"/>
    <xf numFmtId="188" fontId="19" fillId="0" borderId="0" applyFont="0" applyFill="0" applyBorder="0" applyAlignment="0" applyProtection="0"/>
    <xf numFmtId="10" fontId="109" fillId="0" borderId="0"/>
    <xf numFmtId="10" fontId="109" fillId="0" borderId="0"/>
    <xf numFmtId="189" fontId="109" fillId="0" borderId="0"/>
    <xf numFmtId="10" fontId="136" fillId="0" borderId="0" applyFont="0" applyFill="0" applyBorder="0" applyAlignment="0" applyProtection="0"/>
    <xf numFmtId="0" fontId="123" fillId="12" borderId="19" applyNumberFormat="0" applyFont="0" applyAlignment="0" applyProtection="0"/>
    <xf numFmtId="0" fontId="120" fillId="0" borderId="13" applyNumberFormat="0" applyFill="0" applyAlignment="0" applyProtection="0"/>
    <xf numFmtId="0" fontId="120" fillId="0" borderId="13" applyNumberFormat="0" applyFill="0" applyAlignment="0" applyProtection="0"/>
    <xf numFmtId="9" fontId="19" fillId="0" borderId="0" applyFont="0" applyFill="0" applyBorder="0" applyAlignment="0" applyProtection="0"/>
    <xf numFmtId="9" fontId="91" fillId="0" borderId="0" applyFont="0" applyFill="0" applyBorder="0" applyAlignment="0" applyProtection="0"/>
    <xf numFmtId="0" fontId="104" fillId="5" borderId="0" applyNumberFormat="0" applyBorder="0" applyAlignment="0" applyProtection="0"/>
    <xf numFmtId="4" fontId="137" fillId="29" borderId="21" applyNumberFormat="0" applyProtection="0">
      <alignment vertical="center"/>
    </xf>
    <xf numFmtId="4" fontId="137" fillId="29" borderId="21" applyNumberFormat="0" applyProtection="0">
      <alignment vertical="center"/>
    </xf>
    <xf numFmtId="4" fontId="138" fillId="29" borderId="21" applyNumberFormat="0" applyProtection="0">
      <alignment vertical="center"/>
    </xf>
    <xf numFmtId="4" fontId="138" fillId="29" borderId="21" applyNumberFormat="0" applyProtection="0">
      <alignment vertical="center"/>
    </xf>
    <xf numFmtId="4" fontId="139" fillId="29" borderId="21" applyNumberFormat="0" applyProtection="0">
      <alignment horizontal="left" vertical="center" indent="1"/>
    </xf>
    <xf numFmtId="4" fontId="139" fillId="29" borderId="21" applyNumberFormat="0" applyProtection="0">
      <alignment horizontal="left" vertical="center" indent="1"/>
    </xf>
    <xf numFmtId="0" fontId="140" fillId="29" borderId="21" applyNumberFormat="0" applyProtection="0">
      <alignment horizontal="left" vertical="top" indent="1"/>
    </xf>
    <xf numFmtId="4" fontId="139" fillId="30" borderId="0" applyNumberFormat="0" applyProtection="0">
      <alignment horizontal="left" vertical="center" indent="1"/>
    </xf>
    <xf numFmtId="4" fontId="139" fillId="30" borderId="0" applyNumberFormat="0" applyProtection="0">
      <alignment horizontal="left" vertical="center" indent="1"/>
    </xf>
    <xf numFmtId="4" fontId="139" fillId="31" borderId="21" applyNumberFormat="0" applyProtection="0">
      <alignment horizontal="right" vertical="center"/>
    </xf>
    <xf numFmtId="4" fontId="139" fillId="31" borderId="21" applyNumberFormat="0" applyProtection="0">
      <alignment horizontal="right" vertical="center"/>
    </xf>
    <xf numFmtId="4" fontId="139" fillId="32" borderId="21" applyNumberFormat="0" applyProtection="0">
      <alignment horizontal="right" vertical="center"/>
    </xf>
    <xf numFmtId="4" fontId="139" fillId="32" borderId="21" applyNumberFormat="0" applyProtection="0">
      <alignment horizontal="right" vertical="center"/>
    </xf>
    <xf numFmtId="4" fontId="139" fillId="33" borderId="21" applyNumberFormat="0" applyProtection="0">
      <alignment horizontal="right" vertical="center"/>
    </xf>
    <xf numFmtId="4" fontId="139" fillId="33" borderId="21" applyNumberFormat="0" applyProtection="0">
      <alignment horizontal="right" vertical="center"/>
    </xf>
    <xf numFmtId="4" fontId="139" fillId="34" borderId="21" applyNumberFormat="0" applyProtection="0">
      <alignment horizontal="right" vertical="center"/>
    </xf>
    <xf numFmtId="4" fontId="139" fillId="34" borderId="21" applyNumberFormat="0" applyProtection="0">
      <alignment horizontal="right" vertical="center"/>
    </xf>
    <xf numFmtId="4" fontId="139" fillId="35" borderId="21" applyNumberFormat="0" applyProtection="0">
      <alignment horizontal="right" vertical="center"/>
    </xf>
    <xf numFmtId="4" fontId="139" fillId="35" borderId="21" applyNumberFormat="0" applyProtection="0">
      <alignment horizontal="right" vertical="center"/>
    </xf>
    <xf numFmtId="4" fontId="139" fillId="36" borderId="21" applyNumberFormat="0" applyProtection="0">
      <alignment horizontal="right" vertical="center"/>
    </xf>
    <xf numFmtId="4" fontId="139" fillId="36" borderId="21" applyNumberFormat="0" applyProtection="0">
      <alignment horizontal="right" vertical="center"/>
    </xf>
    <xf numFmtId="4" fontId="139" fillId="37" borderId="21" applyNumberFormat="0" applyProtection="0">
      <alignment horizontal="right" vertical="center"/>
    </xf>
    <xf numFmtId="4" fontId="139" fillId="37" borderId="21" applyNumberFormat="0" applyProtection="0">
      <alignment horizontal="right" vertical="center"/>
    </xf>
    <xf numFmtId="4" fontId="139" fillId="38" borderId="21" applyNumberFormat="0" applyProtection="0">
      <alignment horizontal="right" vertical="center"/>
    </xf>
    <xf numFmtId="4" fontId="139" fillId="38" borderId="21" applyNumberFormat="0" applyProtection="0">
      <alignment horizontal="right" vertical="center"/>
    </xf>
    <xf numFmtId="4" fontId="139" fillId="39" borderId="21" applyNumberFormat="0" applyProtection="0">
      <alignment horizontal="right" vertical="center"/>
    </xf>
    <xf numFmtId="4" fontId="139" fillId="39" borderId="21" applyNumberFormat="0" applyProtection="0">
      <alignment horizontal="right" vertical="center"/>
    </xf>
    <xf numFmtId="4" fontId="137" fillId="40" borderId="22" applyNumberFormat="0" applyProtection="0">
      <alignment horizontal="left" vertical="center" indent="1"/>
    </xf>
    <xf numFmtId="4" fontId="137" fillId="40" borderId="22" applyNumberFormat="0" applyProtection="0">
      <alignment horizontal="left" vertical="center" indent="1"/>
    </xf>
    <xf numFmtId="4" fontId="137" fillId="28" borderId="0" applyNumberFormat="0" applyProtection="0">
      <alignment horizontal="left" vertical="center" indent="1"/>
    </xf>
    <xf numFmtId="4" fontId="137" fillId="28" borderId="0" applyNumberFormat="0" applyProtection="0">
      <alignment horizontal="left" vertical="center" indent="1"/>
    </xf>
    <xf numFmtId="4" fontId="137" fillId="30" borderId="0" applyNumberFormat="0" applyProtection="0">
      <alignment horizontal="left" vertical="center" indent="1"/>
    </xf>
    <xf numFmtId="4" fontId="137" fillId="30" borderId="0" applyNumberFormat="0" applyProtection="0">
      <alignment horizontal="left" vertical="center" indent="1"/>
    </xf>
    <xf numFmtId="4" fontId="139" fillId="28" borderId="21" applyNumberFormat="0" applyProtection="0">
      <alignment horizontal="right" vertical="center"/>
    </xf>
    <xf numFmtId="4" fontId="139" fillId="28" borderId="21" applyNumberFormat="0" applyProtection="0">
      <alignment horizontal="right" vertical="center"/>
    </xf>
    <xf numFmtId="4" fontId="96" fillId="28" borderId="0" applyNumberFormat="0" applyProtection="0">
      <alignment horizontal="left" vertical="center" indent="1"/>
    </xf>
    <xf numFmtId="4" fontId="96" fillId="28" borderId="0" applyNumberFormat="0" applyProtection="0">
      <alignment horizontal="left" vertical="center" indent="1"/>
    </xf>
    <xf numFmtId="4" fontId="96" fillId="30" borderId="0" applyNumberFormat="0" applyProtection="0">
      <alignment horizontal="left" vertical="center" indent="1"/>
    </xf>
    <xf numFmtId="4" fontId="96" fillId="30" borderId="0" applyNumberFormat="0" applyProtection="0">
      <alignment horizontal="left" vertical="center" indent="1"/>
    </xf>
    <xf numFmtId="0" fontId="19" fillId="30" borderId="21" applyNumberFormat="0" applyProtection="0">
      <alignment horizontal="left" vertical="center" indent="1"/>
    </xf>
    <xf numFmtId="0" fontId="19" fillId="30" borderId="21" applyNumberFormat="0" applyProtection="0">
      <alignment horizontal="left" vertical="top" indent="1"/>
    </xf>
    <xf numFmtId="0" fontId="19" fillId="41" borderId="21" applyNumberFormat="0" applyProtection="0">
      <alignment horizontal="left" vertical="center" indent="1"/>
    </xf>
    <xf numFmtId="0" fontId="19" fillId="41" borderId="21" applyNumberFormat="0" applyProtection="0">
      <alignment horizontal="left" vertical="top" indent="1"/>
    </xf>
    <xf numFmtId="0" fontId="19" fillId="28" borderId="21" applyNumberFormat="0" applyProtection="0">
      <alignment horizontal="left" vertical="center" indent="1"/>
    </xf>
    <xf numFmtId="0" fontId="19" fillId="28" borderId="21" applyNumberFormat="0" applyProtection="0">
      <alignment horizontal="left" vertical="top" indent="1"/>
    </xf>
    <xf numFmtId="0" fontId="19" fillId="42" borderId="21" applyNumberFormat="0" applyProtection="0">
      <alignment horizontal="left" vertical="center" indent="1"/>
    </xf>
    <xf numFmtId="0" fontId="19" fillId="42" borderId="21" applyNumberFormat="0" applyProtection="0">
      <alignment horizontal="left" vertical="top" indent="1"/>
    </xf>
    <xf numFmtId="4" fontId="139" fillId="42" borderId="21" applyNumberFormat="0" applyProtection="0">
      <alignment vertical="center"/>
    </xf>
    <xf numFmtId="4" fontId="139" fillId="42" borderId="21" applyNumberFormat="0" applyProtection="0">
      <alignment vertical="center"/>
    </xf>
    <xf numFmtId="4" fontId="141" fillId="42" borderId="21" applyNumberFormat="0" applyProtection="0">
      <alignment vertical="center"/>
    </xf>
    <xf numFmtId="4" fontId="141" fillId="42" borderId="21" applyNumberFormat="0" applyProtection="0">
      <alignment vertical="center"/>
    </xf>
    <xf numFmtId="4" fontId="137" fillId="28" borderId="23" applyNumberFormat="0" applyProtection="0">
      <alignment horizontal="left" vertical="center" indent="1"/>
    </xf>
    <xf numFmtId="4" fontId="137" fillId="28" borderId="23" applyNumberFormat="0" applyProtection="0">
      <alignment horizontal="left" vertical="center" indent="1"/>
    </xf>
    <xf numFmtId="0" fontId="96" fillId="43" borderId="21" applyNumberFormat="0" applyProtection="0">
      <alignment horizontal="left" vertical="top" indent="1"/>
    </xf>
    <xf numFmtId="4" fontId="139" fillId="42" borderId="21" applyNumberFormat="0" applyProtection="0">
      <alignment horizontal="right" vertical="center"/>
    </xf>
    <xf numFmtId="4" fontId="139" fillId="42" borderId="21" applyNumberFormat="0" applyProtection="0">
      <alignment horizontal="right" vertical="center"/>
    </xf>
    <xf numFmtId="4" fontId="141" fillId="42" borderId="21" applyNumberFormat="0" applyProtection="0">
      <alignment horizontal="right" vertical="center"/>
    </xf>
    <xf numFmtId="4" fontId="141" fillId="42" borderId="21" applyNumberFormat="0" applyProtection="0">
      <alignment horizontal="right" vertical="center"/>
    </xf>
    <xf numFmtId="4" fontId="137" fillId="28" borderId="21" applyNumberFormat="0" applyProtection="0">
      <alignment horizontal="left" vertical="center" indent="1"/>
    </xf>
    <xf numFmtId="4" fontId="137" fillId="28" borderId="21" applyNumberFormat="0" applyProtection="0">
      <alignment horizontal="left" vertical="center" indent="1"/>
    </xf>
    <xf numFmtId="0" fontId="96" fillId="41" borderId="21" applyNumberFormat="0" applyProtection="0">
      <alignment horizontal="left" vertical="top" indent="1"/>
    </xf>
    <xf numFmtId="4" fontId="142" fillId="41" borderId="23" applyNumberFormat="0" applyProtection="0">
      <alignment horizontal="left" vertical="center" indent="1"/>
    </xf>
    <xf numFmtId="4" fontId="142" fillId="41" borderId="23" applyNumberFormat="0" applyProtection="0">
      <alignment horizontal="left" vertical="center" indent="1"/>
    </xf>
    <xf numFmtId="4" fontId="143" fillId="42" borderId="21" applyNumberFormat="0" applyProtection="0">
      <alignment horizontal="right" vertical="center"/>
    </xf>
    <xf numFmtId="4" fontId="143" fillId="42" borderId="21" applyNumberFormat="0" applyProtection="0">
      <alignment horizontal="right" vertical="center"/>
    </xf>
    <xf numFmtId="190" fontId="144" fillId="38" borderId="24"/>
    <xf numFmtId="49" fontId="145" fillId="38" borderId="0"/>
    <xf numFmtId="49" fontId="146" fillId="37" borderId="25">
      <alignment horizontal="center" wrapText="1"/>
    </xf>
    <xf numFmtId="49" fontId="146" fillId="37" borderId="25">
      <alignment wrapText="1"/>
    </xf>
    <xf numFmtId="0" fontId="144" fillId="44" borderId="26">
      <protection locked="0"/>
    </xf>
    <xf numFmtId="0" fontId="147" fillId="44" borderId="0"/>
    <xf numFmtId="0" fontId="146" fillId="29" borderId="25"/>
    <xf numFmtId="0" fontId="146" fillId="29" borderId="25"/>
    <xf numFmtId="0" fontId="146" fillId="36" borderId="25">
      <alignment vertical="center" wrapText="1"/>
    </xf>
    <xf numFmtId="0" fontId="133" fillId="1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9"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0" fontId="69" fillId="0" borderId="0"/>
    <xf numFmtId="0" fontId="69" fillId="0" borderId="0"/>
    <xf numFmtId="0" fontId="4" fillId="0" borderId="0"/>
    <xf numFmtId="0" fontId="4" fillId="0" borderId="0"/>
    <xf numFmtId="0" fontId="4" fillId="0" borderId="0"/>
    <xf numFmtId="0" fontId="19" fillId="0" borderId="0"/>
    <xf numFmtId="0" fontId="17" fillId="0" borderId="0"/>
    <xf numFmtId="0" fontId="19" fillId="0" borderId="0"/>
    <xf numFmtId="0" fontId="19" fillId="0" borderId="0"/>
    <xf numFmtId="0" fontId="21" fillId="0" borderId="0"/>
    <xf numFmtId="0" fontId="17" fillId="0" borderId="0"/>
    <xf numFmtId="0" fontId="110" fillId="0" borderId="0"/>
    <xf numFmtId="0" fontId="4" fillId="0" borderId="0"/>
    <xf numFmtId="0" fontId="19"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191" fontId="148" fillId="0" borderId="0"/>
    <xf numFmtId="0" fontId="4"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96" fillId="0" borderId="0">
      <alignment vertical="top"/>
    </xf>
    <xf numFmtId="0" fontId="149" fillId="0" borderId="0">
      <alignment horizontal="right"/>
    </xf>
    <xf numFmtId="2" fontId="19" fillId="0" borderId="0" applyFill="0" applyBorder="0" applyProtection="0">
      <alignment horizontal="right"/>
    </xf>
    <xf numFmtId="2" fontId="150" fillId="45" borderId="27" applyProtection="0">
      <alignment horizontal="right"/>
    </xf>
    <xf numFmtId="2" fontId="151" fillId="46" borderId="27" applyProtection="0">
      <alignment horizontal="right"/>
    </xf>
    <xf numFmtId="14" fontId="152" fillId="47" borderId="27" applyProtection="0">
      <alignment horizontal="right"/>
    </xf>
    <xf numFmtId="14" fontId="152" fillId="47" borderId="27" applyProtection="0">
      <alignment horizontal="left"/>
    </xf>
    <xf numFmtId="0" fontId="153" fillId="48" borderId="27" applyNumberFormat="0" applyProtection="0">
      <alignment horizontal="left"/>
    </xf>
    <xf numFmtId="183" fontId="19" fillId="0" borderId="28" applyFont="0" applyFill="0" applyAlignment="0" applyProtection="0"/>
    <xf numFmtId="0" fontId="154" fillId="10" borderId="11" applyNumberFormat="0" applyAlignment="0" applyProtection="0"/>
    <xf numFmtId="14" fontId="155" fillId="1" borderId="29" applyBorder="0">
      <alignment horizontal="center"/>
    </xf>
    <xf numFmtId="0" fontId="156" fillId="0" borderId="0" applyNumberFormat="0" applyFill="0" applyBorder="0" applyAlignment="0" applyProtection="0"/>
    <xf numFmtId="0" fontId="157"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15" applyNumberFormat="0" applyFill="0" applyAlignment="0" applyProtection="0"/>
    <xf numFmtId="0" fontId="160" fillId="0" borderId="16"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0" applyNumberFormat="0" applyFill="0" applyBorder="0" applyAlignment="0" applyProtection="0"/>
    <xf numFmtId="183" fontId="19" fillId="0" borderId="30" applyFont="0" applyFill="0" applyAlignment="0" applyProtection="0"/>
    <xf numFmtId="0" fontId="162" fillId="0" borderId="12" applyNumberFormat="0" applyFill="0" applyAlignment="0" applyProtection="0"/>
    <xf numFmtId="0" fontId="163" fillId="0" borderId="0"/>
    <xf numFmtId="0" fontId="18" fillId="0" borderId="0" applyAlignment="0">
      <alignment horizontal="right"/>
    </xf>
    <xf numFmtId="0" fontId="164" fillId="5" borderId="0" applyNumberFormat="0" applyBorder="0" applyAlignment="0" applyProtection="0"/>
    <xf numFmtId="0" fontId="165" fillId="6" borderId="0" applyNumberFormat="0" applyBorder="0" applyAlignment="0" applyProtection="0"/>
    <xf numFmtId="192" fontId="17" fillId="0" borderId="0" applyFont="0" applyFill="0" applyBorder="0" applyAlignment="0" applyProtection="0"/>
    <xf numFmtId="0" fontId="97" fillId="9" borderId="11" applyNumberFormat="0" applyAlignment="0" applyProtection="0"/>
    <xf numFmtId="0" fontId="154" fillId="10" borderId="11" applyNumberFormat="0" applyAlignment="0" applyProtection="0"/>
    <xf numFmtId="0" fontId="154" fillId="10" borderId="11" applyNumberFormat="0" applyAlignment="0" applyProtection="0"/>
    <xf numFmtId="0" fontId="125" fillId="10" borderId="20" applyNumberFormat="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66" fillId="0" borderId="0" applyNumberFormat="0" applyFill="0" applyBorder="0" applyAlignment="0" applyProtection="0"/>
    <xf numFmtId="0" fontId="96" fillId="0" borderId="0" applyAlignment="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1" fillId="0" borderId="0"/>
    <xf numFmtId="0" fontId="1" fillId="0" borderId="0"/>
  </cellStyleXfs>
  <cellXfs count="593">
    <xf numFmtId="0" fontId="0" fillId="0" borderId="0" xfId="0"/>
    <xf numFmtId="0" fontId="18" fillId="0" borderId="0" xfId="1" applyFont="1" applyAlignment="1"/>
    <xf numFmtId="0" fontId="19" fillId="0" borderId="0" xfId="1" applyFont="1" applyBorder="1" applyAlignment="1">
      <alignment wrapText="1"/>
    </xf>
    <xf numFmtId="0" fontId="18" fillId="0" borderId="0" xfId="1" applyFont="1" applyBorder="1" applyAlignment="1">
      <alignment vertical="center"/>
    </xf>
    <xf numFmtId="0" fontId="19" fillId="0" borderId="0" xfId="1" applyFont="1" applyBorder="1"/>
    <xf numFmtId="0" fontId="19" fillId="0" borderId="0" xfId="1" applyFont="1"/>
    <xf numFmtId="0" fontId="19" fillId="0" borderId="0" xfId="1" applyFont="1" applyAlignment="1"/>
    <xf numFmtId="0" fontId="19" fillId="0" borderId="0" xfId="1" applyFont="1" applyAlignment="1">
      <alignment wrapText="1"/>
    </xf>
    <xf numFmtId="0" fontId="18" fillId="0" borderId="0" xfId="1" applyFont="1"/>
    <xf numFmtId="0" fontId="19" fillId="0" borderId="0" xfId="1" applyFont="1" applyBorder="1" applyAlignment="1">
      <alignment vertical="center"/>
    </xf>
    <xf numFmtId="0" fontId="19" fillId="0" borderId="0" xfId="4" applyFont="1"/>
    <xf numFmtId="0" fontId="19" fillId="0" borderId="0" xfId="0" applyFont="1" applyBorder="1"/>
    <xf numFmtId="0" fontId="19" fillId="0" borderId="0" xfId="0" applyFont="1" applyFill="1"/>
    <xf numFmtId="0" fontId="23" fillId="0" borderId="0" xfId="5" applyFont="1"/>
    <xf numFmtId="0" fontId="22" fillId="0" borderId="0" xfId="0" applyFont="1" applyFill="1" applyAlignment="1"/>
    <xf numFmtId="0" fontId="24" fillId="0" borderId="0" xfId="0" applyFont="1" applyFill="1" applyAlignment="1"/>
    <xf numFmtId="0" fontId="19" fillId="0" borderId="0" xfId="0" applyFont="1" applyFill="1" applyAlignment="1"/>
    <xf numFmtId="0" fontId="19" fillId="0" borderId="0" xfId="0" applyFont="1" applyFill="1" applyBorder="1" applyAlignment="1"/>
    <xf numFmtId="0" fontId="23" fillId="0" borderId="0" xfId="0" applyFont="1" applyFill="1"/>
    <xf numFmtId="0" fontId="25" fillId="0" borderId="0" xfId="0" applyFont="1" applyFill="1" applyAlignment="1"/>
    <xf numFmtId="0" fontId="18" fillId="0" borderId="0" xfId="0" applyFont="1" applyFill="1" applyBorder="1" applyAlignment="1"/>
    <xf numFmtId="0" fontId="0" fillId="0" borderId="0" xfId="0" applyFill="1"/>
    <xf numFmtId="0" fontId="0" fillId="0" borderId="0" xfId="0" applyFill="1" applyBorder="1"/>
    <xf numFmtId="0" fontId="26" fillId="0" borderId="0" xfId="0" applyFont="1" applyFill="1"/>
    <xf numFmtId="0" fontId="0" fillId="0" borderId="0" xfId="0" applyFill="1" applyAlignment="1"/>
    <xf numFmtId="0" fontId="20" fillId="0" borderId="0" xfId="0" applyFont="1" applyFill="1"/>
    <xf numFmtId="0" fontId="29" fillId="0" borderId="0" xfId="0" applyFont="1" applyFill="1" applyAlignment="1">
      <alignment horizontal="left"/>
    </xf>
    <xf numFmtId="0" fontId="18" fillId="0" borderId="0" xfId="0" applyFont="1" applyFill="1" applyAlignment="1">
      <alignment horizontal="left"/>
    </xf>
    <xf numFmtId="0" fontId="30" fillId="0" borderId="0" xfId="0" applyFont="1" applyFill="1" applyBorder="1" applyAlignment="1">
      <alignment horizontal="left"/>
    </xf>
    <xf numFmtId="0" fontId="31" fillId="0" borderId="0" xfId="0" applyFont="1" applyFill="1" applyBorder="1" applyAlignment="1">
      <alignment horizontal="left"/>
    </xf>
    <xf numFmtId="0" fontId="20" fillId="0" borderId="0" xfId="0" applyFont="1" applyFill="1" applyBorder="1" applyAlignment="1">
      <alignment horizontal="left"/>
    </xf>
    <xf numFmtId="49" fontId="32" fillId="2" borderId="3" xfId="0" applyNumberFormat="1" applyFont="1" applyFill="1" applyBorder="1" applyAlignment="1">
      <alignment horizontal="center"/>
    </xf>
    <xf numFmtId="0" fontId="32" fillId="2" borderId="3" xfId="0" applyFont="1" applyFill="1" applyBorder="1" applyAlignment="1">
      <alignment horizontal="right" vertical="center"/>
    </xf>
    <xf numFmtId="49" fontId="32" fillId="2" borderId="3" xfId="0" applyNumberFormat="1" applyFont="1" applyFill="1" applyBorder="1" applyAlignment="1">
      <alignment horizontal="right" vertical="center" wrapText="1"/>
    </xf>
    <xf numFmtId="0" fontId="33" fillId="0" borderId="0" xfId="1" applyFont="1" applyBorder="1" applyAlignment="1"/>
    <xf numFmtId="0" fontId="32" fillId="0" borderId="0" xfId="1" applyFont="1" applyBorder="1" applyAlignment="1"/>
    <xf numFmtId="0" fontId="32" fillId="0" borderId="0" xfId="1" applyFont="1" applyBorder="1"/>
    <xf numFmtId="0" fontId="32" fillId="0" borderId="1" xfId="1" applyFont="1" applyBorder="1" applyAlignment="1"/>
    <xf numFmtId="0" fontId="33" fillId="0" borderId="0" xfId="1" applyFont="1"/>
    <xf numFmtId="0" fontId="33" fillId="0" borderId="0" xfId="1" applyFont="1" applyBorder="1"/>
    <xf numFmtId="0" fontId="32" fillId="2" borderId="0" xfId="0" applyFont="1" applyFill="1" applyBorder="1" applyAlignment="1">
      <alignment horizontal="right" vertical="center"/>
    </xf>
    <xf numFmtId="49" fontId="32" fillId="2" borderId="0" xfId="0" applyNumberFormat="1" applyFont="1" applyFill="1" applyBorder="1" applyAlignment="1">
      <alignment horizontal="right" vertical="center" wrapText="1"/>
    </xf>
    <xf numFmtId="0" fontId="32" fillId="2" borderId="3" xfId="0" applyFont="1" applyFill="1" applyBorder="1" applyAlignment="1">
      <alignment horizontal="left" vertical="center"/>
    </xf>
    <xf numFmtId="0" fontId="35" fillId="0" borderId="0" xfId="1" applyFont="1" applyBorder="1" applyAlignment="1"/>
    <xf numFmtId="0" fontId="31" fillId="0" borderId="0" xfId="1" applyFont="1" applyBorder="1" applyAlignment="1"/>
    <xf numFmtId="0" fontId="30" fillId="0" borderId="0" xfId="0" applyFont="1" applyFill="1"/>
    <xf numFmtId="0" fontId="30" fillId="0" borderId="0" xfId="0" applyFont="1" applyFill="1" applyBorder="1"/>
    <xf numFmtId="49" fontId="30" fillId="2" borderId="3" xfId="0" applyNumberFormat="1" applyFont="1" applyFill="1" applyBorder="1" applyAlignment="1">
      <alignment horizontal="right" vertical="center" wrapText="1"/>
    </xf>
    <xf numFmtId="0" fontId="31" fillId="2" borderId="0" xfId="0" applyFont="1" applyFill="1" applyBorder="1" applyAlignment="1">
      <alignment horizontal="left"/>
    </xf>
    <xf numFmtId="0" fontId="20" fillId="0" borderId="0" xfId="0" applyFont="1" applyFill="1" applyAlignment="1">
      <alignment horizontal="left"/>
    </xf>
    <xf numFmtId="0" fontId="31" fillId="0" borderId="0" xfId="0" applyFont="1" applyFill="1"/>
    <xf numFmtId="0" fontId="31" fillId="0" borderId="0" xfId="0" applyFont="1" applyFill="1" applyAlignment="1">
      <alignment horizontal="left"/>
    </xf>
    <xf numFmtId="0" fontId="29" fillId="0" borderId="0" xfId="0" applyFont="1" applyFill="1"/>
    <xf numFmtId="0" fontId="30" fillId="0" borderId="0" xfId="0" applyFont="1" applyFill="1" applyAlignment="1"/>
    <xf numFmtId="3" fontId="30" fillId="0" borderId="0" xfId="0" applyNumberFormat="1" applyFont="1" applyFill="1" applyBorder="1"/>
    <xf numFmtId="3" fontId="30" fillId="0" borderId="0" xfId="0" applyNumberFormat="1" applyFont="1" applyFill="1"/>
    <xf numFmtId="0" fontId="30" fillId="0" borderId="0" xfId="0" applyFont="1" applyFill="1" applyBorder="1" applyAlignment="1"/>
    <xf numFmtId="0" fontId="29" fillId="0" borderId="0" xfId="0" applyFont="1" applyFill="1" applyAlignment="1"/>
    <xf numFmtId="0" fontId="29" fillId="0" borderId="0" xfId="0" applyFont="1" applyFill="1" applyBorder="1" applyAlignment="1"/>
    <xf numFmtId="2" fontId="30" fillId="0" borderId="0" xfId="0" applyNumberFormat="1" applyFont="1" applyFill="1"/>
    <xf numFmtId="0" fontId="33" fillId="0" borderId="0" xfId="0" applyFont="1" applyFill="1" applyAlignment="1">
      <alignment horizontal="left"/>
    </xf>
    <xf numFmtId="0" fontId="32" fillId="0" borderId="0" xfId="0" applyFont="1" applyFill="1" applyBorder="1" applyAlignment="1">
      <alignment horizontal="left"/>
    </xf>
    <xf numFmtId="0" fontId="32" fillId="2" borderId="1" xfId="0" applyFont="1" applyFill="1" applyBorder="1"/>
    <xf numFmtId="0" fontId="32" fillId="2" borderId="0" xfId="0" applyFont="1" applyFill="1" applyBorder="1"/>
    <xf numFmtId="0" fontId="32" fillId="0" borderId="0" xfId="0" applyFont="1" applyFill="1"/>
    <xf numFmtId="0" fontId="32" fillId="2" borderId="0" xfId="0" applyFont="1" applyFill="1" applyBorder="1" applyAlignment="1">
      <alignment horizontal="left"/>
    </xf>
    <xf numFmtId="0" fontId="32" fillId="0" borderId="0" xfId="0" applyFont="1" applyFill="1" applyAlignment="1">
      <alignment horizontal="left"/>
    </xf>
    <xf numFmtId="0" fontId="33" fillId="0" borderId="0" xfId="0" applyFont="1" applyFill="1"/>
    <xf numFmtId="0" fontId="32" fillId="0" borderId="0" xfId="0" applyFont="1" applyFill="1" applyAlignment="1"/>
    <xf numFmtId="3" fontId="32" fillId="0" borderId="0" xfId="0" applyNumberFormat="1" applyFont="1" applyFill="1" applyBorder="1" applyAlignment="1">
      <alignment horizontal="right"/>
    </xf>
    <xf numFmtId="3" fontId="32" fillId="0" borderId="0" xfId="0" applyNumberFormat="1" applyFont="1" applyFill="1" applyAlignment="1">
      <alignment horizontal="right"/>
    </xf>
    <xf numFmtId="0" fontId="32" fillId="0" borderId="4" xfId="0" applyFont="1" applyBorder="1" applyAlignment="1">
      <alignment vertical="top"/>
    </xf>
    <xf numFmtId="164" fontId="32" fillId="0" borderId="4" xfId="0" applyNumberFormat="1" applyFont="1" applyBorder="1" applyAlignment="1">
      <alignment horizontal="right" vertical="top"/>
    </xf>
    <xf numFmtId="0" fontId="32" fillId="0" borderId="0" xfId="0" applyFont="1" applyFill="1" applyBorder="1" applyAlignment="1"/>
    <xf numFmtId="3" fontId="32" fillId="0" borderId="0" xfId="0" applyNumberFormat="1" applyFont="1" applyFill="1" applyBorder="1"/>
    <xf numFmtId="3" fontId="32" fillId="0" borderId="0" xfId="0" applyNumberFormat="1" applyFont="1" applyFill="1"/>
    <xf numFmtId="0" fontId="32" fillId="0" borderId="0" xfId="0" applyFont="1" applyFill="1" applyBorder="1"/>
    <xf numFmtId="0" fontId="33" fillId="0" borderId="0" xfId="0" applyFont="1" applyFill="1" applyAlignment="1"/>
    <xf numFmtId="0" fontId="33" fillId="0" borderId="4" xfId="0" applyFont="1" applyBorder="1" applyAlignment="1">
      <alignment vertical="top"/>
    </xf>
    <xf numFmtId="0" fontId="33" fillId="0" borderId="0" xfId="0" applyFont="1" applyFill="1" applyBorder="1" applyAlignment="1"/>
    <xf numFmtId="167" fontId="32" fillId="0" borderId="0" xfId="0" applyNumberFormat="1" applyFont="1" applyFill="1"/>
    <xf numFmtId="167" fontId="32" fillId="0" borderId="0" xfId="0" applyNumberFormat="1" applyFont="1" applyFill="1" applyBorder="1"/>
    <xf numFmtId="0" fontId="32" fillId="0" borderId="1" xfId="0" applyFont="1" applyFill="1" applyBorder="1"/>
    <xf numFmtId="0" fontId="35" fillId="0" borderId="0" xfId="0" applyFont="1" applyFill="1" applyAlignment="1"/>
    <xf numFmtId="0" fontId="31" fillId="0" borderId="0" xfId="0" applyFont="1" applyFill="1" applyBorder="1"/>
    <xf numFmtId="3" fontId="31" fillId="0" borderId="0" xfId="0" applyNumberFormat="1" applyFont="1" applyFill="1"/>
    <xf numFmtId="3" fontId="31" fillId="0" borderId="0" xfId="0" applyNumberFormat="1" applyFont="1" applyFill="1" applyAlignment="1"/>
    <xf numFmtId="0" fontId="40" fillId="0" borderId="4" xfId="0" applyFont="1" applyFill="1" applyBorder="1" applyAlignment="1">
      <alignment vertical="center"/>
    </xf>
    <xf numFmtId="0" fontId="40" fillId="0" borderId="4" xfId="0" applyFont="1" applyFill="1" applyBorder="1" applyAlignment="1"/>
    <xf numFmtId="164" fontId="31" fillId="0" borderId="0" xfId="0" applyNumberFormat="1" applyFont="1" applyFill="1"/>
    <xf numFmtId="0" fontId="43" fillId="0" borderId="1" xfId="0" applyFont="1" applyFill="1" applyBorder="1"/>
    <xf numFmtId="164" fontId="43" fillId="0" borderId="1" xfId="0" applyNumberFormat="1" applyFont="1" applyFill="1" applyBorder="1"/>
    <xf numFmtId="0" fontId="29" fillId="0" borderId="0" xfId="0" applyFont="1" applyFill="1" applyBorder="1" applyAlignment="1">
      <alignment horizontal="left"/>
    </xf>
    <xf numFmtId="3" fontId="29" fillId="0" borderId="0" xfId="0" applyNumberFormat="1" applyFont="1" applyFill="1" applyBorder="1"/>
    <xf numFmtId="0" fontId="29" fillId="0" borderId="1" xfId="0" applyFont="1" applyFill="1" applyBorder="1" applyAlignment="1">
      <alignment horizontal="left"/>
    </xf>
    <xf numFmtId="3" fontId="29" fillId="0" borderId="1" xfId="0" applyNumberFormat="1" applyFont="1" applyFill="1" applyBorder="1"/>
    <xf numFmtId="0" fontId="40" fillId="0" borderId="0" xfId="0" applyFont="1" applyFill="1"/>
    <xf numFmtId="3" fontId="31" fillId="0" borderId="0" xfId="0" applyNumberFormat="1" applyFont="1" applyFill="1" applyBorder="1"/>
    <xf numFmtId="0" fontId="40" fillId="0" borderId="0" xfId="0" applyFont="1" applyFill="1" applyBorder="1" applyAlignment="1"/>
    <xf numFmtId="0" fontId="40" fillId="0" borderId="1" xfId="0" applyFont="1" applyFill="1" applyBorder="1" applyAlignment="1">
      <alignment horizontal="left"/>
    </xf>
    <xf numFmtId="3" fontId="40" fillId="0" borderId="1" xfId="0" applyNumberFormat="1" applyFont="1" applyFill="1" applyBorder="1"/>
    <xf numFmtId="0" fontId="32" fillId="0" borderId="0" xfId="0" applyFont="1" applyFill="1" applyBorder="1" applyAlignment="1">
      <alignment wrapText="1"/>
    </xf>
    <xf numFmtId="0" fontId="31" fillId="0" borderId="0" xfId="0" applyFont="1" applyFill="1" applyBorder="1" applyAlignment="1">
      <alignment wrapText="1"/>
    </xf>
    <xf numFmtId="0" fontId="30" fillId="0" borderId="0" xfId="0" applyFont="1" applyFill="1" applyAlignment="1">
      <alignment wrapText="1"/>
    </xf>
    <xf numFmtId="0" fontId="44" fillId="0" borderId="0" xfId="0" applyFont="1" applyFill="1" applyBorder="1" applyAlignment="1">
      <alignment horizontal="left"/>
    </xf>
    <xf numFmtId="3" fontId="44" fillId="0" borderId="0" xfId="0" applyNumberFormat="1" applyFont="1" applyFill="1" applyBorder="1"/>
    <xf numFmtId="0" fontId="45" fillId="0" borderId="0" xfId="0" applyFont="1" applyFill="1" applyBorder="1" applyAlignment="1">
      <alignment wrapText="1"/>
    </xf>
    <xf numFmtId="3" fontId="45" fillId="0" borderId="0" xfId="0" applyNumberFormat="1" applyFont="1" applyFill="1" applyBorder="1"/>
    <xf numFmtId="164" fontId="45" fillId="0" borderId="0" xfId="0" applyNumberFormat="1" applyFont="1" applyFill="1" applyBorder="1"/>
    <xf numFmtId="0" fontId="31" fillId="0" borderId="0" xfId="0" applyFont="1" applyFill="1" applyAlignment="1"/>
    <xf numFmtId="0" fontId="31" fillId="0" borderId="0" xfId="0" applyFont="1" applyFill="1" applyAlignment="1">
      <alignment horizontal="right" vertical="center"/>
    </xf>
    <xf numFmtId="0" fontId="20" fillId="0" borderId="0" xfId="0" applyFont="1" applyFill="1" applyAlignment="1">
      <alignment horizontal="right" vertical="center"/>
    </xf>
    <xf numFmtId="0" fontId="31" fillId="0" borderId="0" xfId="0" applyFont="1" applyFill="1" applyBorder="1" applyAlignment="1">
      <alignment horizontal="right" vertical="center"/>
    </xf>
    <xf numFmtId="0" fontId="30" fillId="0" borderId="0" xfId="0" applyFont="1" applyFill="1" applyBorder="1" applyAlignment="1">
      <alignment wrapText="1"/>
    </xf>
    <xf numFmtId="0" fontId="33" fillId="0" borderId="0" xfId="0" applyFont="1" applyFill="1" applyBorder="1" applyAlignment="1">
      <alignment horizontal="center"/>
    </xf>
    <xf numFmtId="0" fontId="47" fillId="0" borderId="0" xfId="0" applyFont="1" applyFill="1" applyBorder="1"/>
    <xf numFmtId="0" fontId="30" fillId="0" borderId="0" xfId="0" applyFont="1" applyFill="1" applyAlignment="1">
      <alignment horizontal="left"/>
    </xf>
    <xf numFmtId="1" fontId="30" fillId="0" borderId="0" xfId="0" applyNumberFormat="1" applyFont="1" applyFill="1"/>
    <xf numFmtId="3" fontId="29" fillId="0" borderId="0" xfId="0" applyNumberFormat="1" applyFont="1" applyFill="1"/>
    <xf numFmtId="0" fontId="30" fillId="0" borderId="1" xfId="0" applyFont="1" applyFill="1" applyBorder="1" applyAlignment="1">
      <alignment horizontal="left"/>
    </xf>
    <xf numFmtId="49" fontId="30" fillId="2" borderId="3" xfId="0" applyNumberFormat="1" applyFont="1" applyFill="1" applyBorder="1" applyAlignment="1">
      <alignment horizontal="left" vertical="center"/>
    </xf>
    <xf numFmtId="0" fontId="23" fillId="0" borderId="0" xfId="7" applyFont="1" applyFill="1"/>
    <xf numFmtId="0" fontId="19" fillId="0" borderId="0" xfId="7" applyFill="1"/>
    <xf numFmtId="0" fontId="19" fillId="0" borderId="0" xfId="7" applyFont="1" applyFill="1"/>
    <xf numFmtId="0" fontId="20" fillId="0" borderId="0" xfId="7" applyFont="1" applyFill="1"/>
    <xf numFmtId="0" fontId="18" fillId="0" borderId="0" xfId="7" applyFont="1" applyFill="1"/>
    <xf numFmtId="0" fontId="19" fillId="0" borderId="0" xfId="7" applyFill="1" applyAlignment="1">
      <alignment horizontal="left"/>
    </xf>
    <xf numFmtId="0" fontId="19" fillId="0" borderId="0" xfId="7" applyFill="1" applyBorder="1"/>
    <xf numFmtId="0" fontId="24" fillId="0" borderId="0" xfId="7" applyFont="1" applyFill="1"/>
    <xf numFmtId="0" fontId="24" fillId="0" borderId="0" xfId="7" applyFont="1" applyFill="1" applyBorder="1"/>
    <xf numFmtId="0" fontId="30" fillId="0" borderId="0" xfId="7" applyFont="1" applyFill="1"/>
    <xf numFmtId="0" fontId="30" fillId="0" borderId="0" xfId="7" applyFont="1" applyFill="1" applyBorder="1"/>
    <xf numFmtId="0" fontId="31" fillId="0" borderId="0" xfId="7" applyFont="1" applyFill="1"/>
    <xf numFmtId="0" fontId="19" fillId="0" borderId="0" xfId="7" applyFill="1" applyAlignment="1">
      <alignment vertical="top"/>
    </xf>
    <xf numFmtId="4" fontId="31" fillId="0" borderId="0" xfId="7" applyNumberFormat="1" applyFont="1" applyFill="1"/>
    <xf numFmtId="0" fontId="31" fillId="0" borderId="0" xfId="7" applyFont="1" applyFill="1" applyBorder="1"/>
    <xf numFmtId="0" fontId="31" fillId="0" borderId="1" xfId="7" applyFont="1" applyFill="1" applyBorder="1" applyAlignment="1">
      <alignment vertical="top"/>
    </xf>
    <xf numFmtId="2" fontId="31" fillId="0" borderId="1" xfId="7" applyNumberFormat="1" applyFont="1" applyFill="1" applyBorder="1" applyAlignment="1">
      <alignment vertical="top"/>
    </xf>
    <xf numFmtId="0" fontId="40" fillId="0" borderId="0" xfId="7" applyFont="1" applyFill="1" applyBorder="1" applyAlignment="1"/>
    <xf numFmtId="164" fontId="31" fillId="0" borderId="1" xfId="7" applyNumberFormat="1" applyFont="1" applyFill="1" applyBorder="1" applyAlignment="1">
      <alignment vertical="top"/>
    </xf>
    <xf numFmtId="0" fontId="29" fillId="0" borderId="0" xfId="7" applyFont="1" applyFill="1" applyAlignment="1">
      <alignment horizontal="left"/>
    </xf>
    <xf numFmtId="0" fontId="30" fillId="0" borderId="0" xfId="7" applyFont="1" applyFill="1" applyAlignment="1">
      <alignment horizontal="left"/>
    </xf>
    <xf numFmtId="168" fontId="30" fillId="0" borderId="0" xfId="7" applyNumberFormat="1" applyFont="1" applyFill="1"/>
    <xf numFmtId="0" fontId="32" fillId="0" borderId="0" xfId="7" applyFont="1" applyFill="1" applyBorder="1" applyAlignment="1">
      <alignment horizontal="left" wrapText="1"/>
    </xf>
    <xf numFmtId="3" fontId="30" fillId="0" borderId="0" xfId="7" applyNumberFormat="1" applyFont="1" applyFill="1" applyBorder="1"/>
    <xf numFmtId="0" fontId="50" fillId="0" borderId="0" xfId="7" applyFont="1" applyFill="1" applyAlignment="1">
      <alignment vertical="center"/>
    </xf>
    <xf numFmtId="0" fontId="52" fillId="0" borderId="0" xfId="7" applyFont="1" applyFill="1"/>
    <xf numFmtId="0" fontId="51" fillId="0" borderId="0" xfId="7" applyFont="1" applyFill="1"/>
    <xf numFmtId="0" fontId="31" fillId="2" borderId="3" xfId="0" applyFont="1" applyFill="1" applyBorder="1" applyAlignment="1">
      <alignment horizontal="left" vertical="center"/>
    </xf>
    <xf numFmtId="0" fontId="31" fillId="2" borderId="3" xfId="0" applyFont="1" applyFill="1" applyBorder="1" applyAlignment="1">
      <alignment horizontal="right" vertical="center"/>
    </xf>
    <xf numFmtId="0" fontId="31" fillId="0" borderId="0" xfId="7" applyFont="1" applyFill="1" applyBorder="1" applyAlignment="1">
      <alignment horizontal="left"/>
    </xf>
    <xf numFmtId="0" fontId="40" fillId="0" borderId="0" xfId="7" applyFont="1" applyFill="1" applyBorder="1" applyAlignment="1">
      <alignment horizontal="center"/>
    </xf>
    <xf numFmtId="0" fontId="32" fillId="0" borderId="0" xfId="7" applyFont="1" applyFill="1" applyBorder="1" applyAlignment="1">
      <alignment horizontal="left"/>
    </xf>
    <xf numFmtId="0" fontId="33" fillId="0" borderId="0" xfId="7" applyFont="1" applyFill="1" applyBorder="1" applyAlignment="1">
      <alignment horizontal="center"/>
    </xf>
    <xf numFmtId="0" fontId="32" fillId="0" borderId="0" xfId="7" applyFont="1" applyFill="1"/>
    <xf numFmtId="0" fontId="33" fillId="0" borderId="0" xfId="7" applyFont="1" applyFill="1" applyAlignment="1">
      <alignment horizontal="left"/>
    </xf>
    <xf numFmtId="0" fontId="32" fillId="0" borderId="0" xfId="7" applyFont="1" applyFill="1" applyAlignment="1">
      <alignment horizontal="left"/>
    </xf>
    <xf numFmtId="3" fontId="32" fillId="0" borderId="0" xfId="7" applyNumberFormat="1" applyFont="1" applyFill="1"/>
    <xf numFmtId="3" fontId="48" fillId="0" borderId="0" xfId="7" applyNumberFormat="1" applyFont="1" applyFill="1" applyBorder="1"/>
    <xf numFmtId="3" fontId="32" fillId="0" borderId="0" xfId="7" applyNumberFormat="1" applyFont="1" applyFill="1" applyBorder="1"/>
    <xf numFmtId="0" fontId="32" fillId="0" borderId="0" xfId="7" applyFont="1" applyFill="1" applyBorder="1"/>
    <xf numFmtId="0" fontId="33" fillId="0" borderId="0" xfId="7" applyFont="1" applyFill="1"/>
    <xf numFmtId="0" fontId="32" fillId="0" borderId="1" xfId="7" applyFont="1" applyFill="1" applyBorder="1" applyAlignment="1">
      <alignment horizontal="left"/>
    </xf>
    <xf numFmtId="0" fontId="32" fillId="0" borderId="1" xfId="7" applyFont="1" applyFill="1" applyBorder="1"/>
    <xf numFmtId="0" fontId="32" fillId="2" borderId="0" xfId="0" applyFont="1" applyFill="1" applyBorder="1" applyAlignment="1">
      <alignment horizontal="right" vertical="center" wrapText="1"/>
    </xf>
    <xf numFmtId="0" fontId="29" fillId="0" borderId="0" xfId="1" applyFont="1" applyAlignment="1"/>
    <xf numFmtId="0" fontId="30" fillId="0" borderId="0" xfId="1" applyFont="1" applyAlignment="1"/>
    <xf numFmtId="0" fontId="29" fillId="0" borderId="0" xfId="1" applyFont="1" applyBorder="1" applyAlignment="1">
      <alignment vertical="center"/>
    </xf>
    <xf numFmtId="0" fontId="59" fillId="0" borderId="0" xfId="0" applyFont="1"/>
    <xf numFmtId="0" fontId="29" fillId="0" borderId="0" xfId="6" applyFont="1" applyFill="1" applyBorder="1" applyAlignment="1">
      <alignment horizontal="center"/>
    </xf>
    <xf numFmtId="0" fontId="31" fillId="0" borderId="0" xfId="7" applyFont="1" applyFill="1" applyAlignment="1">
      <alignment horizontal="left"/>
    </xf>
    <xf numFmtId="0" fontId="32" fillId="0" borderId="0" xfId="6" applyFont="1" applyFill="1" applyBorder="1" applyAlignment="1"/>
    <xf numFmtId="3" fontId="32" fillId="0" borderId="0" xfId="6" applyNumberFormat="1" applyFont="1" applyFill="1" applyBorder="1"/>
    <xf numFmtId="0" fontId="33" fillId="0" borderId="0" xfId="6" applyFont="1" applyFill="1" applyBorder="1" applyAlignment="1"/>
    <xf numFmtId="3" fontId="33" fillId="0" borderId="0" xfId="6" applyNumberFormat="1" applyFont="1" applyFill="1" applyBorder="1"/>
    <xf numFmtId="0" fontId="33" fillId="0" borderId="1" xfId="6" applyFont="1" applyFill="1" applyBorder="1" applyAlignment="1"/>
    <xf numFmtId="3" fontId="33" fillId="0" borderId="1" xfId="6" applyNumberFormat="1" applyFont="1" applyFill="1" applyBorder="1"/>
    <xf numFmtId="0" fontId="38" fillId="0" borderId="0" xfId="6" applyFont="1" applyFill="1" applyAlignment="1">
      <alignment horizontal="left"/>
    </xf>
    <xf numFmtId="0" fontId="30" fillId="0" borderId="0" xfId="6" applyFont="1" applyFill="1" applyAlignment="1"/>
    <xf numFmtId="0" fontId="30" fillId="0" borderId="0" xfId="6" applyFont="1" applyFill="1" applyAlignment="1">
      <alignment wrapText="1"/>
    </xf>
    <xf numFmtId="0" fontId="33" fillId="0" borderId="0" xfId="7" applyFont="1" applyFill="1" applyBorder="1"/>
    <xf numFmtId="3" fontId="33" fillId="0" borderId="0" xfId="7" applyNumberFormat="1" applyFont="1" applyFill="1" applyBorder="1"/>
    <xf numFmtId="0" fontId="33" fillId="0" borderId="0" xfId="0" applyFont="1" applyFill="1" applyBorder="1" applyAlignment="1">
      <alignment horizontal="left"/>
    </xf>
    <xf numFmtId="0" fontId="48" fillId="0" borderId="0" xfId="7" applyFont="1" applyFill="1" applyBorder="1" applyAlignment="1">
      <alignment horizontal="left"/>
    </xf>
    <xf numFmtId="0" fontId="28" fillId="0" borderId="0" xfId="7" applyFont="1" applyFill="1" applyBorder="1"/>
    <xf numFmtId="0" fontId="23" fillId="0" borderId="0" xfId="7" applyFont="1" applyFill="1" applyBorder="1"/>
    <xf numFmtId="0" fontId="26" fillId="0" borderId="0" xfId="7" applyFont="1" applyFill="1" applyBorder="1"/>
    <xf numFmtId="0" fontId="29" fillId="0" borderId="0" xfId="7" applyFont="1" applyFill="1" applyBorder="1"/>
    <xf numFmtId="0" fontId="40" fillId="0" borderId="0" xfId="7" applyFont="1" applyFill="1" applyBorder="1"/>
    <xf numFmtId="0" fontId="30" fillId="0" borderId="1" xfId="7" applyFont="1" applyFill="1" applyBorder="1"/>
    <xf numFmtId="0" fontId="31" fillId="0" borderId="1" xfId="7" applyFont="1" applyFill="1" applyBorder="1"/>
    <xf numFmtId="0" fontId="32" fillId="0" borderId="2" xfId="7" applyFont="1" applyFill="1" applyBorder="1" applyAlignment="1">
      <alignment horizontal="right"/>
    </xf>
    <xf numFmtId="49" fontId="32" fillId="0" borderId="2" xfId="7" applyNumberFormat="1" applyFont="1" applyFill="1" applyBorder="1" applyAlignment="1">
      <alignment horizontal="right"/>
    </xf>
    <xf numFmtId="0" fontId="62" fillId="0" borderId="0" xfId="7" applyFont="1" applyFill="1" applyBorder="1" applyAlignment="1">
      <alignment horizontal="right"/>
    </xf>
    <xf numFmtId="0" fontId="32" fillId="0" borderId="5" xfId="7" applyFont="1" applyFill="1" applyBorder="1" applyAlignment="1">
      <alignment horizontal="right" vertical="top" wrapText="1"/>
    </xf>
    <xf numFmtId="168" fontId="32" fillId="0" borderId="5" xfId="7" applyNumberFormat="1" applyFont="1" applyFill="1" applyBorder="1" applyAlignment="1">
      <alignment horizontal="right" vertical="top"/>
    </xf>
    <xf numFmtId="0" fontId="32" fillId="0" borderId="5" xfId="7" applyFont="1" applyFill="1" applyBorder="1" applyAlignment="1">
      <alignment horizontal="right" vertical="top"/>
    </xf>
    <xf numFmtId="0" fontId="62" fillId="0" borderId="0" xfId="7" applyFont="1" applyFill="1" applyBorder="1" applyAlignment="1">
      <alignment horizontal="right" vertical="top"/>
    </xf>
    <xf numFmtId="0" fontId="63" fillId="0" borderId="0" xfId="7" applyFont="1" applyFill="1" applyBorder="1"/>
    <xf numFmtId="0" fontId="32" fillId="0" borderId="0" xfId="7" applyFont="1" applyFill="1" applyBorder="1" applyAlignment="1">
      <alignment horizontal="center"/>
    </xf>
    <xf numFmtId="0" fontId="32" fillId="0" borderId="0" xfId="7" applyFont="1" applyFill="1" applyBorder="1" applyAlignment="1">
      <alignment wrapText="1"/>
    </xf>
    <xf numFmtId="3" fontId="32" fillId="0" borderId="1" xfId="7" applyNumberFormat="1" applyFont="1" applyFill="1" applyBorder="1"/>
    <xf numFmtId="1" fontId="32" fillId="0" borderId="0" xfId="7" applyNumberFormat="1" applyFont="1" applyFill="1" applyBorder="1" applyAlignment="1">
      <alignment wrapText="1"/>
    </xf>
    <xf numFmtId="3" fontId="32" fillId="0" borderId="0" xfId="7" applyNumberFormat="1" applyFont="1" applyFill="1" applyBorder="1" applyAlignment="1">
      <alignment horizontal="center"/>
    </xf>
    <xf numFmtId="3" fontId="32" fillId="0" borderId="1" xfId="7" applyNumberFormat="1" applyFont="1" applyFill="1" applyBorder="1" applyAlignment="1">
      <alignment horizontal="right"/>
    </xf>
    <xf numFmtId="1" fontId="32" fillId="0" borderId="0" xfId="7" applyNumberFormat="1" applyFont="1" applyFill="1" applyBorder="1"/>
    <xf numFmtId="3" fontId="32" fillId="0" borderId="0" xfId="7" applyNumberFormat="1" applyFont="1" applyFill="1" applyBorder="1" applyAlignment="1">
      <alignment horizontal="right"/>
    </xf>
    <xf numFmtId="1" fontId="32" fillId="0" borderId="0" xfId="7" applyNumberFormat="1" applyFont="1" applyFill="1" applyBorder="1" applyAlignment="1">
      <alignment horizontal="right"/>
    </xf>
    <xf numFmtId="0" fontId="47" fillId="0" borderId="0" xfId="7" applyFont="1" applyFill="1" applyBorder="1" applyAlignment="1">
      <alignment wrapText="1"/>
    </xf>
    <xf numFmtId="3" fontId="33" fillId="0" borderId="0" xfId="7" applyNumberFormat="1" applyFont="1" applyFill="1" applyBorder="1" applyAlignment="1">
      <alignment horizontal="right"/>
    </xf>
    <xf numFmtId="3" fontId="32" fillId="0" borderId="1" xfId="7" applyNumberFormat="1" applyFont="1" applyFill="1" applyBorder="1" applyAlignment="1">
      <alignment horizontal="center"/>
    </xf>
    <xf numFmtId="3" fontId="33" fillId="0" borderId="1" xfId="7" applyNumberFormat="1" applyFont="1" applyFill="1" applyBorder="1" applyAlignment="1">
      <alignment horizontal="right"/>
    </xf>
    <xf numFmtId="169" fontId="32" fillId="0" borderId="0" xfId="7" applyNumberFormat="1" applyFont="1" applyFill="1" applyBorder="1"/>
    <xf numFmtId="3" fontId="32" fillId="0" borderId="0" xfId="7" applyNumberFormat="1" applyFont="1" applyFill="1" applyBorder="1" applyAlignment="1">
      <alignment wrapText="1"/>
    </xf>
    <xf numFmtId="3" fontId="32" fillId="0" borderId="0" xfId="7" applyNumberFormat="1" applyFont="1" applyFill="1" applyBorder="1" applyAlignment="1">
      <alignment horizontal="center" wrapText="1"/>
    </xf>
    <xf numFmtId="3" fontId="32" fillId="0" borderId="0" xfId="7" applyNumberFormat="1" applyFont="1" applyFill="1" applyBorder="1" applyAlignment="1">
      <alignment horizontal="right" wrapText="1"/>
    </xf>
    <xf numFmtId="1" fontId="32" fillId="0" borderId="1" xfId="7" applyNumberFormat="1" applyFont="1" applyFill="1" applyBorder="1"/>
    <xf numFmtId="0" fontId="47" fillId="0" borderId="0" xfId="7" applyFont="1" applyFill="1" applyBorder="1"/>
    <xf numFmtId="0" fontId="32" fillId="0" borderId="2" xfId="7" applyFont="1" applyFill="1" applyBorder="1"/>
    <xf numFmtId="0" fontId="32" fillId="0" borderId="0" xfId="7" applyFont="1" applyFill="1" applyBorder="1" applyAlignment="1">
      <alignment horizontal="right"/>
    </xf>
    <xf numFmtId="0" fontId="47" fillId="0" borderId="1" xfId="7" applyFont="1" applyFill="1" applyBorder="1"/>
    <xf numFmtId="0" fontId="48" fillId="0" borderId="1" xfId="7" applyFont="1" applyFill="1" applyBorder="1" applyAlignment="1">
      <alignment vertical="center"/>
    </xf>
    <xf numFmtId="3" fontId="48" fillId="0" borderId="1" xfId="7" applyNumberFormat="1" applyFont="1" applyFill="1" applyBorder="1" applyAlignment="1">
      <alignment vertical="center"/>
    </xf>
    <xf numFmtId="169" fontId="65" fillId="0" borderId="0" xfId="7" applyNumberFormat="1" applyFont="1" applyFill="1" applyBorder="1" applyAlignment="1">
      <alignment vertical="center"/>
    </xf>
    <xf numFmtId="0" fontId="65" fillId="0" borderId="0" xfId="7" applyFont="1" applyFill="1" applyBorder="1" applyAlignment="1">
      <alignment vertical="center"/>
    </xf>
    <xf numFmtId="3" fontId="33" fillId="0" borderId="0" xfId="7" applyNumberFormat="1" applyFont="1" applyFill="1" applyBorder="1" applyAlignment="1">
      <alignment horizontal="center"/>
    </xf>
    <xf numFmtId="0" fontId="33" fillId="0" borderId="0" xfId="7" applyFont="1" applyFill="1" applyBorder="1" applyAlignment="1">
      <alignment horizontal="right"/>
    </xf>
    <xf numFmtId="0" fontId="32" fillId="0" borderId="4" xfId="7" applyFont="1" applyFill="1" applyBorder="1"/>
    <xf numFmtId="3" fontId="32" fillId="0" borderId="4" xfId="7" applyNumberFormat="1" applyFont="1" applyFill="1" applyBorder="1"/>
    <xf numFmtId="0" fontId="32" fillId="0" borderId="7" xfId="7" applyFont="1" applyFill="1" applyBorder="1"/>
    <xf numFmtId="3" fontId="32" fillId="0" borderId="7" xfId="7" applyNumberFormat="1" applyFont="1" applyFill="1" applyBorder="1"/>
    <xf numFmtId="3" fontId="32" fillId="0" borderId="4" xfId="7" applyNumberFormat="1" applyFont="1" applyFill="1" applyBorder="1" applyAlignment="1">
      <alignment horizontal="right"/>
    </xf>
    <xf numFmtId="17" fontId="47" fillId="0" borderId="0" xfId="7" applyNumberFormat="1" applyFont="1" applyFill="1" applyBorder="1" applyAlignment="1">
      <alignment wrapText="1"/>
    </xf>
    <xf numFmtId="3" fontId="32" fillId="0" borderId="4" xfId="7" applyNumberFormat="1" applyFont="1" applyFill="1" applyBorder="1" applyAlignment="1">
      <alignment horizontal="center"/>
    </xf>
    <xf numFmtId="0" fontId="32" fillId="0" borderId="4" xfId="7" applyFont="1" applyFill="1" applyBorder="1" applyAlignment="1">
      <alignment wrapText="1"/>
    </xf>
    <xf numFmtId="1" fontId="32" fillId="0" borderId="4" xfId="7" applyNumberFormat="1" applyFont="1" applyFill="1" applyBorder="1"/>
    <xf numFmtId="3" fontId="32" fillId="0" borderId="4" xfId="7" applyNumberFormat="1" applyFont="1" applyFill="1" applyBorder="1" applyAlignment="1">
      <alignment wrapText="1"/>
    </xf>
    <xf numFmtId="0" fontId="33" fillId="0" borderId="4" xfId="7" applyFont="1" applyFill="1" applyBorder="1"/>
    <xf numFmtId="3" fontId="33" fillId="0" borderId="4" xfId="7" applyNumberFormat="1" applyFont="1" applyFill="1" applyBorder="1"/>
    <xf numFmtId="1" fontId="33" fillId="0" borderId="4" xfId="7" applyNumberFormat="1" applyFont="1" applyFill="1" applyBorder="1"/>
    <xf numFmtId="49" fontId="32" fillId="0" borderId="4" xfId="7" applyNumberFormat="1" applyFont="1" applyFill="1" applyBorder="1"/>
    <xf numFmtId="1" fontId="32" fillId="0" borderId="4" xfId="7" applyNumberFormat="1" applyFont="1" applyFill="1" applyBorder="1" applyAlignment="1">
      <alignment horizontal="right"/>
    </xf>
    <xf numFmtId="0" fontId="32" fillId="0" borderId="4" xfId="7" applyFont="1" applyFill="1" applyBorder="1" applyAlignment="1">
      <alignment horizontal="right"/>
    </xf>
    <xf numFmtId="0" fontId="48" fillId="0" borderId="4" xfId="7" applyFont="1" applyFill="1" applyBorder="1" applyAlignment="1">
      <alignment vertical="center"/>
    </xf>
    <xf numFmtId="3" fontId="48" fillId="0" borderId="4" xfId="7" applyNumberFormat="1" applyFont="1" applyFill="1" applyBorder="1" applyAlignment="1">
      <alignment vertical="center"/>
    </xf>
    <xf numFmtId="0" fontId="48" fillId="0" borderId="6" xfId="7" applyFont="1" applyFill="1" applyBorder="1" applyAlignment="1">
      <alignment vertical="center"/>
    </xf>
    <xf numFmtId="3" fontId="48" fillId="0" borderId="6" xfId="7" applyNumberFormat="1" applyFont="1" applyFill="1" applyBorder="1" applyAlignment="1">
      <alignment vertical="center"/>
    </xf>
    <xf numFmtId="0" fontId="33" fillId="0" borderId="0" xfId="0" applyFont="1" applyFill="1" applyBorder="1"/>
    <xf numFmtId="0" fontId="57" fillId="0" borderId="0" xfId="0" applyFont="1" applyAlignment="1">
      <alignment horizontal="left" vertical="center"/>
    </xf>
    <xf numFmtId="0" fontId="29" fillId="0" borderId="0" xfId="7" applyFont="1" applyFill="1" applyBorder="1" applyAlignment="1">
      <alignment horizontal="left"/>
    </xf>
    <xf numFmtId="0" fontId="18" fillId="0" borderId="0" xfId="7" applyFont="1" applyFill="1" applyAlignment="1">
      <alignment horizontal="left"/>
    </xf>
    <xf numFmtId="0" fontId="30" fillId="0" borderId="0" xfId="7" applyFont="1" applyFill="1" applyBorder="1" applyAlignment="1">
      <alignment horizontal="left"/>
    </xf>
    <xf numFmtId="0" fontId="20" fillId="0" borderId="0" xfId="7" applyFont="1" applyFill="1" applyBorder="1" applyAlignment="1">
      <alignment horizontal="left"/>
    </xf>
    <xf numFmtId="0" fontId="30" fillId="2" borderId="0" xfId="7" applyFont="1" applyFill="1" applyBorder="1"/>
    <xf numFmtId="0" fontId="31" fillId="2" borderId="0" xfId="7" applyFont="1" applyFill="1" applyBorder="1"/>
    <xf numFmtId="0" fontId="20" fillId="0" borderId="0" xfId="7" applyFont="1" applyFill="1" applyBorder="1"/>
    <xf numFmtId="0" fontId="31" fillId="2" borderId="3" xfId="7" applyFont="1" applyFill="1" applyBorder="1" applyAlignment="1">
      <alignment horizontal="left" vertical="center"/>
    </xf>
    <xf numFmtId="0" fontId="31" fillId="2" borderId="3" xfId="7" applyFont="1" applyFill="1" applyBorder="1" applyAlignment="1">
      <alignment horizontal="right" vertical="center"/>
    </xf>
    <xf numFmtId="0" fontId="32" fillId="2" borderId="0" xfId="7" applyFont="1" applyFill="1" applyBorder="1" applyAlignment="1">
      <alignment horizontal="right" vertical="center"/>
    </xf>
    <xf numFmtId="49" fontId="32" fillId="2" borderId="0" xfId="7" applyNumberFormat="1" applyFont="1" applyFill="1" applyBorder="1" applyAlignment="1">
      <alignment horizontal="right" vertical="center" wrapText="1"/>
    </xf>
    <xf numFmtId="49" fontId="32" fillId="2" borderId="0" xfId="7" applyNumberFormat="1" applyFont="1" applyFill="1" applyBorder="1" applyAlignment="1">
      <alignment horizontal="center"/>
    </xf>
    <xf numFmtId="0" fontId="31" fillId="0" borderId="0" xfId="7" applyFont="1" applyAlignment="1"/>
    <xf numFmtId="3" fontId="31" fillId="0" borderId="0" xfId="7" applyNumberFormat="1" applyFont="1"/>
    <xf numFmtId="0" fontId="19" fillId="0" borderId="0" xfId="7" applyFont="1"/>
    <xf numFmtId="0" fontId="30" fillId="0" borderId="0" xfId="7" applyFont="1"/>
    <xf numFmtId="0" fontId="44" fillId="0" borderId="1" xfId="7" applyFont="1" applyBorder="1" applyAlignment="1">
      <alignment vertical="center"/>
    </xf>
    <xf numFmtId="3" fontId="44" fillId="0" borderId="1" xfId="7" applyNumberFormat="1" applyFont="1" applyBorder="1" applyAlignment="1">
      <alignment vertical="center"/>
    </xf>
    <xf numFmtId="0" fontId="31" fillId="0" borderId="0" xfId="7" applyFont="1" applyAlignment="1">
      <alignment wrapText="1"/>
    </xf>
    <xf numFmtId="49" fontId="31" fillId="2" borderId="2" xfId="7" applyNumberFormat="1" applyFont="1" applyFill="1" applyBorder="1" applyAlignment="1">
      <alignment horizontal="center"/>
    </xf>
    <xf numFmtId="49" fontId="31" fillId="2" borderId="5" xfId="7" applyNumberFormat="1" applyFont="1" applyFill="1" applyBorder="1" applyAlignment="1">
      <alignment horizontal="center" vertical="top"/>
    </xf>
    <xf numFmtId="0" fontId="31" fillId="0" borderId="0" xfId="7" applyFont="1" applyFill="1" applyAlignment="1">
      <alignment vertical="top"/>
    </xf>
    <xf numFmtId="0" fontId="20" fillId="0" borderId="0" xfId="7" applyFont="1" applyFill="1" applyAlignment="1">
      <alignment vertical="top"/>
    </xf>
    <xf numFmtId="0" fontId="20" fillId="0" borderId="0" xfId="7" applyFont="1" applyFill="1" applyAlignment="1">
      <alignment horizontal="left"/>
    </xf>
    <xf numFmtId="0" fontId="30" fillId="0" borderId="0" xfId="8" applyFont="1" applyFill="1"/>
    <xf numFmtId="0" fontId="19" fillId="0" borderId="0" xfId="8" applyFill="1"/>
    <xf numFmtId="0" fontId="30" fillId="0" borderId="0" xfId="8" applyFont="1" applyFill="1" applyAlignment="1">
      <alignment vertical="top"/>
    </xf>
    <xf numFmtId="0" fontId="19" fillId="0" borderId="0" xfId="8" applyFill="1" applyAlignment="1">
      <alignment vertical="top"/>
    </xf>
    <xf numFmtId="168" fontId="32" fillId="0" borderId="0" xfId="7" applyNumberFormat="1" applyFont="1" applyFill="1"/>
    <xf numFmtId="43" fontId="32" fillId="0" borderId="0" xfId="7" applyNumberFormat="1" applyFont="1" applyFill="1"/>
    <xf numFmtId="170" fontId="32" fillId="0" borderId="0" xfId="7" applyNumberFormat="1" applyFont="1" applyFill="1"/>
    <xf numFmtId="0" fontId="32" fillId="0" borderId="1" xfId="8" applyFont="1" applyFill="1" applyBorder="1"/>
    <xf numFmtId="168" fontId="32" fillId="0" borderId="1" xfId="8" applyNumberFormat="1" applyFont="1" applyFill="1" applyBorder="1"/>
    <xf numFmtId="0" fontId="32" fillId="0" borderId="0" xfId="8" applyFont="1" applyFill="1"/>
    <xf numFmtId="168" fontId="44" fillId="0" borderId="0" xfId="0" applyNumberFormat="1" applyFont="1" applyFill="1" applyBorder="1"/>
    <xf numFmtId="0" fontId="19" fillId="0" borderId="0" xfId="7"/>
    <xf numFmtId="0" fontId="33" fillId="0" borderId="0" xfId="7" applyFont="1" applyFill="1" applyBorder="1" applyAlignment="1">
      <alignment horizontal="center"/>
    </xf>
    <xf numFmtId="3" fontId="31" fillId="0" borderId="0" xfId="7" applyNumberFormat="1" applyFont="1" applyFill="1"/>
    <xf numFmtId="3" fontId="32" fillId="0" borderId="4" xfId="0" applyNumberFormat="1" applyFont="1" applyBorder="1" applyAlignment="1">
      <alignment horizontal="right" vertical="top"/>
    </xf>
    <xf numFmtId="49" fontId="32" fillId="2" borderId="3" xfId="7" applyNumberFormat="1" applyFont="1" applyFill="1" applyBorder="1" applyAlignment="1">
      <alignment horizontal="center"/>
    </xf>
    <xf numFmtId="0" fontId="32" fillId="2" borderId="3" xfId="7" applyFont="1" applyFill="1" applyBorder="1" applyAlignment="1">
      <alignment horizontal="right" vertical="center"/>
    </xf>
    <xf numFmtId="49" fontId="32" fillId="2" borderId="3" xfId="7" applyNumberFormat="1" applyFont="1" applyFill="1" applyBorder="1" applyAlignment="1">
      <alignment horizontal="right" vertical="center" wrapText="1"/>
    </xf>
    <xf numFmtId="164" fontId="32" fillId="0" borderId="0" xfId="7" applyNumberFormat="1" applyFont="1" applyBorder="1"/>
    <xf numFmtId="164" fontId="32" fillId="0" borderId="0" xfId="7" applyNumberFormat="1" applyFont="1" applyFill="1" applyBorder="1"/>
    <xf numFmtId="164" fontId="32" fillId="0" borderId="1" xfId="7" applyNumberFormat="1" applyFont="1" applyBorder="1"/>
    <xf numFmtId="0" fontId="32" fillId="2" borderId="3" xfId="7" applyFont="1" applyFill="1" applyBorder="1" applyAlignment="1">
      <alignment horizontal="left" vertical="center"/>
    </xf>
    <xf numFmtId="164" fontId="33" fillId="0" borderId="0" xfId="7" applyNumberFormat="1" applyFont="1" applyBorder="1"/>
    <xf numFmtId="164" fontId="33" fillId="0" borderId="0" xfId="7" applyNumberFormat="1" applyFont="1" applyFill="1" applyBorder="1"/>
    <xf numFmtId="164" fontId="32" fillId="0" borderId="1" xfId="7" applyNumberFormat="1" applyFont="1" applyFill="1" applyBorder="1"/>
    <xf numFmtId="0" fontId="19" fillId="0" borderId="0" xfId="7" applyFont="1" applyFill="1" applyBorder="1" applyAlignment="1"/>
    <xf numFmtId="0" fontId="19" fillId="0" borderId="0" xfId="7" applyFont="1" applyFill="1" applyBorder="1"/>
    <xf numFmtId="0" fontId="29" fillId="0" borderId="0" xfId="7" applyFont="1" applyFill="1"/>
    <xf numFmtId="0" fontId="57" fillId="0" borderId="0" xfId="7" applyFont="1" applyAlignment="1">
      <alignment vertical="center"/>
    </xf>
    <xf numFmtId="0" fontId="57" fillId="0" borderId="0" xfId="7" applyFont="1"/>
    <xf numFmtId="0" fontId="31" fillId="0" borderId="0" xfId="0" applyFont="1" applyFill="1" applyBorder="1" applyAlignment="1">
      <alignment horizontal="right"/>
    </xf>
    <xf numFmtId="0" fontId="33" fillId="0" borderId="0" xfId="6" applyFont="1" applyFill="1" applyBorder="1" applyAlignment="1">
      <alignment horizontal="center"/>
    </xf>
    <xf numFmtId="0" fontId="38" fillId="0" borderId="0" xfId="6" applyFont="1" applyFill="1" applyAlignment="1"/>
    <xf numFmtId="0" fontId="38" fillId="0" borderId="0" xfId="6" applyFont="1" applyFill="1" applyBorder="1" applyAlignment="1">
      <alignment wrapText="1"/>
    </xf>
    <xf numFmtId="49" fontId="33" fillId="0" borderId="0" xfId="7" applyNumberFormat="1" applyFont="1" applyFill="1" applyBorder="1" applyAlignment="1">
      <alignment horizontal="center"/>
    </xf>
    <xf numFmtId="49" fontId="32" fillId="0" borderId="0" xfId="7" applyNumberFormat="1" applyFont="1" applyFill="1" applyBorder="1"/>
    <xf numFmtId="4" fontId="32" fillId="0" borderId="0" xfId="7" applyNumberFormat="1" applyFont="1" applyFill="1" applyBorder="1"/>
    <xf numFmtId="49" fontId="31" fillId="0" borderId="3" xfId="0" applyNumberFormat="1" applyFont="1" applyFill="1" applyBorder="1" applyAlignment="1">
      <alignment horizontal="center"/>
    </xf>
    <xf numFmtId="49" fontId="31" fillId="0" borderId="3" xfId="0" applyNumberFormat="1" applyFont="1" applyFill="1" applyBorder="1" applyAlignment="1">
      <alignment horizontal="right" vertical="center" wrapText="1"/>
    </xf>
    <xf numFmtId="3" fontId="31" fillId="0" borderId="0" xfId="0" applyNumberFormat="1" applyFont="1" applyFill="1" applyBorder="1" applyAlignment="1">
      <alignment horizontal="right"/>
    </xf>
    <xf numFmtId="49" fontId="32" fillId="0" borderId="3" xfId="0" applyNumberFormat="1" applyFont="1" applyFill="1" applyBorder="1" applyAlignment="1">
      <alignment horizontal="right" vertical="center"/>
    </xf>
    <xf numFmtId="49" fontId="32" fillId="0" borderId="3" xfId="0" applyNumberFormat="1" applyFont="1" applyFill="1" applyBorder="1" applyAlignment="1">
      <alignment horizontal="right" vertical="center" wrapText="1"/>
    </xf>
    <xf numFmtId="49" fontId="31" fillId="0" borderId="0" xfId="0" applyNumberFormat="1" applyFont="1" applyFill="1" applyBorder="1" applyAlignment="1">
      <alignment horizontal="right" vertical="center" wrapText="1"/>
    </xf>
    <xf numFmtId="0" fontId="19" fillId="0" borderId="0" xfId="0" applyFont="1" applyFill="1" applyBorder="1"/>
    <xf numFmtId="3" fontId="32" fillId="0" borderId="0" xfId="0" applyNumberFormat="1" applyFont="1" applyFill="1" applyBorder="1" applyAlignment="1">
      <alignment horizontal="center"/>
    </xf>
    <xf numFmtId="0" fontId="48" fillId="0" borderId="1" xfId="0" applyFont="1" applyFill="1" applyBorder="1" applyAlignment="1">
      <alignment vertical="center"/>
    </xf>
    <xf numFmtId="3" fontId="48" fillId="0" borderId="1" xfId="0" applyNumberFormat="1" applyFont="1" applyFill="1" applyBorder="1" applyAlignment="1">
      <alignment vertical="center"/>
    </xf>
    <xf numFmtId="0" fontId="38" fillId="0" borderId="0" xfId="0" applyFont="1" applyFill="1" applyBorder="1" applyAlignment="1">
      <alignment horizontal="left"/>
    </xf>
    <xf numFmtId="0" fontId="19" fillId="0" borderId="0" xfId="0" applyFont="1" applyFill="1" applyBorder="1" applyAlignment="1">
      <alignment wrapText="1"/>
    </xf>
    <xf numFmtId="0" fontId="39" fillId="0" borderId="0" xfId="0" applyFont="1" applyFill="1" applyBorder="1" applyAlignment="1"/>
    <xf numFmtId="49" fontId="32" fillId="0" borderId="0" xfId="0" applyNumberFormat="1" applyFont="1" applyFill="1" applyBorder="1" applyAlignment="1">
      <alignment horizontal="right" vertical="center" wrapText="1"/>
    </xf>
    <xf numFmtId="3" fontId="33" fillId="0" borderId="0" xfId="0" applyNumberFormat="1" applyFont="1" applyFill="1" applyBorder="1"/>
    <xf numFmtId="0" fontId="0" fillId="0" borderId="0" xfId="0" applyBorder="1"/>
    <xf numFmtId="3" fontId="30" fillId="0" borderId="0" xfId="7" applyNumberFormat="1" applyFont="1" applyFill="1"/>
    <xf numFmtId="0" fontId="31" fillId="0" borderId="0" xfId="7" applyFont="1" applyFill="1" applyAlignment="1">
      <alignment vertical="center" wrapText="1"/>
    </xf>
    <xf numFmtId="172" fontId="66" fillId="0" borderId="0" xfId="7" applyNumberFormat="1" applyFont="1"/>
    <xf numFmtId="0" fontId="70" fillId="0" borderId="0" xfId="8" applyFont="1" applyFill="1"/>
    <xf numFmtId="49" fontId="40" fillId="2" borderId="2" xfId="7" applyNumberFormat="1" applyFont="1" applyFill="1" applyBorder="1" applyAlignment="1">
      <alignment horizontal="center" vertical="center"/>
    </xf>
    <xf numFmtId="0" fontId="31" fillId="0" borderId="0" xfId="7" applyFont="1" applyFill="1" applyAlignment="1">
      <alignment vertical="center"/>
    </xf>
    <xf numFmtId="0" fontId="0" fillId="0" borderId="0" xfId="0" applyFill="1" applyAlignment="1">
      <alignment horizontal="left"/>
    </xf>
    <xf numFmtId="0" fontId="32" fillId="0" borderId="0" xfId="0" applyFont="1" applyFill="1" applyAlignment="1">
      <alignment wrapText="1"/>
    </xf>
    <xf numFmtId="0" fontId="32" fillId="0" borderId="0" xfId="0" applyFont="1" applyFill="1" applyBorder="1" applyAlignment="1">
      <alignment vertical="center"/>
    </xf>
    <xf numFmtId="0" fontId="32" fillId="0" borderId="0" xfId="0" applyFont="1" applyFill="1" applyBorder="1" applyAlignment="1">
      <alignment horizontal="right" vertical="center"/>
    </xf>
    <xf numFmtId="0" fontId="19" fillId="0" borderId="0" xfId="0" applyFont="1" applyFill="1" applyBorder="1" applyAlignment="1">
      <alignment vertical="center"/>
    </xf>
    <xf numFmtId="0" fontId="30" fillId="0" borderId="0" xfId="0" applyFont="1" applyFill="1" applyBorder="1" applyAlignment="1">
      <alignment vertical="center"/>
    </xf>
    <xf numFmtId="0" fontId="30" fillId="0" borderId="0" xfId="0" applyFont="1" applyFill="1" applyAlignment="1">
      <alignment vertical="center"/>
    </xf>
    <xf numFmtId="0" fontId="19" fillId="0" borderId="0" xfId="0" applyFont="1" applyFill="1" applyAlignment="1">
      <alignment vertical="center"/>
    </xf>
    <xf numFmtId="0" fontId="31" fillId="0" borderId="0" xfId="0" applyFont="1" applyFill="1" applyBorder="1" applyAlignment="1">
      <alignment horizontal="left" vertical="center"/>
    </xf>
    <xf numFmtId="0" fontId="40" fillId="0" borderId="0" xfId="7" applyFont="1" applyFill="1" applyAlignment="1">
      <alignment horizontal="left"/>
    </xf>
    <xf numFmtId="0" fontId="19" fillId="0" borderId="0" xfId="7" applyFill="1" applyAlignment="1">
      <alignment vertical="center"/>
    </xf>
    <xf numFmtId="0" fontId="31" fillId="2" borderId="3" xfId="7" applyFont="1" applyFill="1" applyBorder="1" applyAlignment="1">
      <alignment horizontal="right" vertical="center" wrapText="1"/>
    </xf>
    <xf numFmtId="0" fontId="31" fillId="0" borderId="0" xfId="7" applyFont="1" applyFill="1" applyBorder="1" applyAlignment="1">
      <alignment horizontal="left" vertical="center"/>
    </xf>
    <xf numFmtId="0" fontId="40" fillId="0" borderId="0" xfId="7" applyFont="1" applyFill="1" applyBorder="1" applyAlignment="1">
      <alignment horizontal="center" vertical="center"/>
    </xf>
    <xf numFmtId="0" fontId="31" fillId="0" borderId="0" xfId="7" applyFont="1" applyFill="1" applyAlignment="1">
      <alignment horizontal="left" wrapText="1"/>
    </xf>
    <xf numFmtId="0" fontId="44" fillId="0" borderId="0" xfId="7" applyFont="1" applyFill="1" applyBorder="1" applyAlignment="1">
      <alignment horizontal="left" vertical="center" wrapText="1"/>
    </xf>
    <xf numFmtId="3" fontId="44" fillId="0" borderId="0" xfId="7" applyNumberFormat="1" applyFont="1" applyFill="1" applyBorder="1"/>
    <xf numFmtId="0" fontId="31" fillId="0" borderId="0" xfId="7" applyFont="1" applyFill="1" applyBorder="1" applyAlignment="1">
      <alignment horizontal="left" wrapText="1"/>
    </xf>
    <xf numFmtId="3" fontId="31" fillId="0" borderId="0" xfId="7" applyNumberFormat="1" applyFont="1" applyFill="1" applyBorder="1"/>
    <xf numFmtId="0" fontId="40" fillId="0" borderId="0" xfId="7" applyFont="1" applyFill="1"/>
    <xf numFmtId="0" fontId="31" fillId="0" borderId="1" xfId="7" applyFont="1" applyFill="1" applyBorder="1" applyAlignment="1">
      <alignment horizontal="left"/>
    </xf>
    <xf numFmtId="0" fontId="33" fillId="0" borderId="0" xfId="7" applyFont="1" applyFill="1" applyAlignment="1">
      <alignment horizontal="right"/>
    </xf>
    <xf numFmtId="0" fontId="32" fillId="0" borderId="0" xfId="7" applyFont="1" applyFill="1" applyAlignment="1">
      <alignment wrapText="1"/>
    </xf>
    <xf numFmtId="0" fontId="33" fillId="0" borderId="0" xfId="7" applyFont="1" applyFill="1" applyAlignment="1">
      <alignment wrapText="1"/>
    </xf>
    <xf numFmtId="0" fontId="48" fillId="0" borderId="6" xfId="7" applyFont="1" applyFill="1" applyBorder="1" applyAlignment="1">
      <alignment vertical="center" wrapText="1"/>
    </xf>
    <xf numFmtId="0" fontId="33" fillId="0" borderId="0" xfId="7" applyFont="1" applyFill="1" applyAlignment="1"/>
    <xf numFmtId="0" fontId="18" fillId="0" borderId="0" xfId="7" applyFont="1" applyFill="1" applyAlignment="1">
      <alignment vertical="center"/>
    </xf>
    <xf numFmtId="0" fontId="33" fillId="0" borderId="3" xfId="7" applyFont="1" applyFill="1" applyBorder="1" applyAlignment="1">
      <alignment vertical="center"/>
    </xf>
    <xf numFmtId="169" fontId="32" fillId="0" borderId="0" xfId="7" applyNumberFormat="1" applyFont="1" applyFill="1"/>
    <xf numFmtId="0" fontId="40" fillId="0" borderId="0" xfId="6" applyFont="1" applyFill="1" applyBorder="1" applyAlignment="1">
      <alignment horizontal="center"/>
    </xf>
    <xf numFmtId="0" fontId="31" fillId="0" borderId="0" xfId="6" applyFont="1" applyFill="1" applyBorder="1" applyAlignment="1"/>
    <xf numFmtId="3" fontId="31" fillId="0" borderId="0" xfId="6" applyNumberFormat="1" applyFont="1" applyFill="1" applyBorder="1"/>
    <xf numFmtId="3" fontId="49" fillId="0" borderId="0" xfId="6" applyNumberFormat="1" applyFont="1" applyFill="1" applyBorder="1"/>
    <xf numFmtId="0" fontId="40" fillId="0" borderId="0" xfId="6" applyFont="1" applyFill="1" applyBorder="1" applyAlignment="1"/>
    <xf numFmtId="3" fontId="40" fillId="0" borderId="0" xfId="6" applyNumberFormat="1" applyFont="1" applyFill="1" applyBorder="1"/>
    <xf numFmtId="3" fontId="31" fillId="0" borderId="0" xfId="6" applyNumberFormat="1" applyFont="1" applyFill="1" applyBorder="1" applyAlignment="1">
      <alignment horizontal="right"/>
    </xf>
    <xf numFmtId="0" fontId="40" fillId="0" borderId="1" xfId="6" applyFont="1" applyFill="1" applyBorder="1" applyAlignment="1"/>
    <xf numFmtId="3" fontId="40" fillId="0" borderId="1" xfId="6" applyNumberFormat="1" applyFont="1" applyFill="1" applyBorder="1"/>
    <xf numFmtId="0" fontId="39" fillId="0" borderId="0" xfId="6" applyFont="1" applyFill="1" applyAlignment="1">
      <alignment wrapText="1"/>
    </xf>
    <xf numFmtId="0" fontId="29" fillId="0" borderId="0" xfId="0" applyFont="1" applyFill="1" applyBorder="1" applyAlignment="1">
      <alignment horizontal="left" wrapText="1"/>
    </xf>
    <xf numFmtId="0" fontId="44" fillId="0" borderId="0" xfId="7" applyFont="1" applyFill="1" applyBorder="1" applyAlignment="1">
      <alignment horizontal="left"/>
    </xf>
    <xf numFmtId="0" fontId="40" fillId="0" borderId="0" xfId="7" applyFont="1" applyFill="1" applyBorder="1" applyAlignment="1">
      <alignment horizontal="right"/>
    </xf>
    <xf numFmtId="3" fontId="31" fillId="0" borderId="0" xfId="7" applyNumberFormat="1" applyFont="1" applyFill="1" applyBorder="1" applyAlignment="1">
      <alignment horizontal="right" vertical="top" wrapText="1"/>
    </xf>
    <xf numFmtId="10" fontId="40" fillId="0" borderId="0" xfId="7" applyNumberFormat="1" applyFont="1" applyFill="1" applyBorder="1"/>
    <xf numFmtId="10" fontId="31" fillId="0" borderId="1" xfId="7" applyNumberFormat="1" applyFont="1" applyFill="1" applyBorder="1"/>
    <xf numFmtId="0" fontId="31" fillId="0" borderId="0" xfId="0" applyFont="1" applyFill="1" applyAlignment="1">
      <alignment horizontal="left" vertical="center"/>
    </xf>
    <xf numFmtId="0" fontId="20" fillId="0" borderId="0" xfId="0" applyFont="1" applyFill="1" applyAlignment="1">
      <alignment horizontal="left" vertical="center"/>
    </xf>
    <xf numFmtId="0" fontId="40" fillId="0" borderId="0" xfId="0" applyFont="1" applyFill="1" applyAlignment="1">
      <alignment vertical="center"/>
    </xf>
    <xf numFmtId="0" fontId="31" fillId="0" borderId="0" xfId="0" applyFont="1" applyFill="1" applyAlignment="1">
      <alignment vertical="center"/>
    </xf>
    <xf numFmtId="0" fontId="30" fillId="0" borderId="0" xfId="0" applyFont="1" applyFill="1" applyAlignment="1">
      <alignment vertical="top"/>
    </xf>
    <xf numFmtId="0" fontId="0" fillId="0" borderId="0" xfId="0" applyFill="1" applyAlignment="1">
      <alignment vertical="top"/>
    </xf>
    <xf numFmtId="3" fontId="48" fillId="0" borderId="0" xfId="7" applyNumberFormat="1" applyFont="1" applyFill="1" applyBorder="1" applyAlignment="1">
      <alignment vertical="center"/>
    </xf>
    <xf numFmtId="0" fontId="48" fillId="0" borderId="0" xfId="7" applyFont="1" applyFill="1" applyBorder="1" applyAlignment="1">
      <alignment vertical="center"/>
    </xf>
    <xf numFmtId="167" fontId="48" fillId="0" borderId="1" xfId="16" applyNumberFormat="1" applyFont="1" applyFill="1" applyBorder="1" applyAlignment="1">
      <alignment vertical="center"/>
    </xf>
    <xf numFmtId="0" fontId="33" fillId="0" borderId="1" xfId="7" applyFont="1" applyFill="1" applyBorder="1" applyAlignment="1">
      <alignment horizontal="left"/>
    </xf>
    <xf numFmtId="3" fontId="33" fillId="0" borderId="1" xfId="7" applyNumberFormat="1" applyFont="1" applyFill="1" applyBorder="1"/>
    <xf numFmtId="0" fontId="31" fillId="2" borderId="0" xfId="7" applyFont="1" applyFill="1" applyBorder="1" applyAlignment="1">
      <alignment horizontal="left"/>
    </xf>
    <xf numFmtId="164" fontId="32" fillId="0" borderId="0" xfId="7" applyNumberFormat="1" applyFont="1" applyBorder="1" applyAlignment="1">
      <alignment horizontal="right"/>
    </xf>
    <xf numFmtId="0" fontId="19" fillId="0" borderId="0" xfId="7"/>
    <xf numFmtId="0" fontId="32" fillId="0" borderId="0" xfId="1" applyFont="1" applyFill="1" applyBorder="1" applyAlignment="1"/>
    <xf numFmtId="0" fontId="31" fillId="0" borderId="0" xfId="1" applyFont="1" applyFill="1" applyBorder="1" applyAlignment="1"/>
    <xf numFmtId="0" fontId="19" fillId="0" borderId="0" xfId="1" applyFont="1" applyFill="1" applyAlignment="1">
      <alignment wrapText="1"/>
    </xf>
    <xf numFmtId="0" fontId="19" fillId="0" borderId="0" xfId="4" applyFont="1" applyFill="1"/>
    <xf numFmtId="0" fontId="31" fillId="0" borderId="0" xfId="4" applyFont="1" applyFill="1"/>
    <xf numFmtId="0" fontId="32" fillId="0" borderId="1" xfId="1" applyFont="1" applyFill="1" applyBorder="1" applyAlignment="1"/>
    <xf numFmtId="164" fontId="32" fillId="0" borderId="0" xfId="7" applyNumberFormat="1" applyFont="1" applyFill="1" applyBorder="1"/>
    <xf numFmtId="164" fontId="32" fillId="0" borderId="1" xfId="7" applyNumberFormat="1" applyFont="1" applyFill="1" applyBorder="1"/>
    <xf numFmtId="0" fontId="19" fillId="0" borderId="0" xfId="7" applyFont="1" applyFill="1"/>
    <xf numFmtId="0" fontId="33" fillId="0" borderId="0" xfId="1" applyFont="1" applyFill="1" applyBorder="1" applyAlignment="1"/>
    <xf numFmtId="0" fontId="33" fillId="0" borderId="0" xfId="1" applyFont="1" applyFill="1"/>
    <xf numFmtId="1" fontId="55" fillId="0" borderId="0" xfId="18" applyNumberFormat="1" applyFont="1" applyFill="1" applyBorder="1" applyAlignment="1"/>
    <xf numFmtId="167" fontId="55" fillId="0" borderId="0" xfId="18" applyNumberFormat="1" applyFont="1" applyFill="1" applyBorder="1" applyAlignment="1"/>
    <xf numFmtId="0" fontId="19" fillId="0" borderId="1" xfId="7" applyBorder="1"/>
    <xf numFmtId="0" fontId="32" fillId="0" borderId="3" xfId="7" applyFont="1" applyFill="1" applyBorder="1" applyAlignment="1">
      <alignment horizontal="left" vertical="center"/>
    </xf>
    <xf numFmtId="0" fontId="32" fillId="0" borderId="3" xfId="7" applyFont="1" applyFill="1" applyBorder="1" applyAlignment="1">
      <alignment horizontal="right" vertical="center"/>
    </xf>
    <xf numFmtId="0" fontId="32" fillId="0" borderId="0" xfId="1" applyFont="1" applyFill="1" applyBorder="1"/>
    <xf numFmtId="0" fontId="33" fillId="0" borderId="0" xfId="1" applyFont="1" applyFill="1" applyBorder="1"/>
    <xf numFmtId="3" fontId="32" fillId="0" borderId="4" xfId="0" applyNumberFormat="1" applyFont="1" applyFill="1" applyBorder="1" applyAlignment="1">
      <alignment horizontal="right" vertical="top"/>
    </xf>
    <xf numFmtId="164" fontId="32" fillId="0" borderId="4" xfId="0" applyNumberFormat="1" applyFont="1" applyFill="1" applyBorder="1" applyAlignment="1">
      <alignment horizontal="right" vertical="top"/>
    </xf>
    <xf numFmtId="0" fontId="0" fillId="0" borderId="1" xfId="0" applyFill="1" applyBorder="1"/>
    <xf numFmtId="164" fontId="19" fillId="0" borderId="0" xfId="7" applyNumberFormat="1" applyFill="1"/>
    <xf numFmtId="0" fontId="67" fillId="0" borderId="0" xfId="7" applyFont="1" applyBorder="1" applyAlignment="1">
      <alignment horizontal="left"/>
    </xf>
    <xf numFmtId="0" fontId="67" fillId="0" borderId="0" xfId="7" applyFont="1" applyBorder="1" applyAlignment="1"/>
    <xf numFmtId="0" fontId="53" fillId="0" borderId="0" xfId="7" applyFont="1" applyBorder="1" applyAlignment="1"/>
    <xf numFmtId="0" fontId="55" fillId="0" borderId="0" xfId="7" applyFont="1" applyBorder="1" applyAlignment="1"/>
    <xf numFmtId="164" fontId="55" fillId="0" borderId="0" xfId="7" applyNumberFormat="1" applyFont="1" applyFill="1" applyBorder="1" applyAlignment="1"/>
    <xf numFmtId="0" fontId="54" fillId="0" borderId="0" xfId="7" applyFont="1" applyBorder="1" applyAlignment="1"/>
    <xf numFmtId="168" fontId="55" fillId="0" borderId="0" xfId="7" applyNumberFormat="1" applyFont="1" applyFill="1" applyBorder="1" applyAlignment="1"/>
    <xf numFmtId="0" fontId="55" fillId="0" borderId="4" xfId="7" applyFont="1" applyBorder="1" applyAlignment="1"/>
    <xf numFmtId="168" fontId="55" fillId="0" borderId="4" xfId="7" applyNumberFormat="1" applyFont="1" applyFill="1" applyBorder="1" applyAlignment="1"/>
    <xf numFmtId="3" fontId="55" fillId="0" borderId="0" xfId="7" applyNumberFormat="1" applyFont="1" applyFill="1" applyBorder="1" applyAlignment="1"/>
    <xf numFmtId="0" fontId="67" fillId="0" borderId="4" xfId="7" applyFont="1" applyBorder="1" applyAlignment="1"/>
    <xf numFmtId="167" fontId="55" fillId="0" borderId="4" xfId="7" applyNumberFormat="1" applyFont="1" applyFill="1" applyBorder="1" applyAlignment="1"/>
    <xf numFmtId="0" fontId="54" fillId="0" borderId="0" xfId="7" applyFont="1" applyBorder="1" applyAlignment="1">
      <alignment vertical="top"/>
    </xf>
    <xf numFmtId="0" fontId="55" fillId="0" borderId="1" xfId="7" applyFont="1" applyBorder="1" applyAlignment="1">
      <alignment vertical="top"/>
    </xf>
    <xf numFmtId="167" fontId="55" fillId="0" borderId="1" xfId="18" applyNumberFormat="1" applyFont="1" applyBorder="1" applyAlignment="1">
      <alignment vertical="top"/>
    </xf>
    <xf numFmtId="0" fontId="56" fillId="0" borderId="0" xfId="7" applyFont="1" applyBorder="1" applyAlignment="1"/>
    <xf numFmtId="0" fontId="56" fillId="0" borderId="0" xfId="7" applyFont="1" applyFill="1" applyBorder="1" applyAlignment="1"/>
    <xf numFmtId="0" fontId="54" fillId="0" borderId="0" xfId="7" applyFont="1" applyFill="1" applyBorder="1" applyAlignment="1"/>
    <xf numFmtId="0" fontId="27" fillId="0" borderId="0" xfId="7" applyFont="1" applyBorder="1" applyAlignment="1"/>
    <xf numFmtId="0" fontId="22" fillId="0" borderId="0" xfId="7" applyFont="1" applyFill="1" applyAlignment="1"/>
    <xf numFmtId="0" fontId="32" fillId="0" borderId="0" xfId="7" applyFont="1" applyFill="1" applyAlignment="1"/>
    <xf numFmtId="0" fontId="24" fillId="0" borderId="0" xfId="7" applyFont="1" applyFill="1" applyAlignment="1"/>
    <xf numFmtId="0" fontId="19" fillId="0" borderId="0" xfId="7" applyFill="1" applyAlignment="1"/>
    <xf numFmtId="0" fontId="32" fillId="0" borderId="0" xfId="7" applyFont="1" applyFill="1" applyBorder="1" applyAlignment="1">
      <alignment vertical="center"/>
    </xf>
    <xf numFmtId="0" fontId="32" fillId="0" borderId="0" xfId="7" applyFont="1" applyFill="1" applyBorder="1" applyAlignment="1">
      <alignment horizontal="right" vertical="center"/>
    </xf>
    <xf numFmtId="0" fontId="19" fillId="0" borderId="0" xfId="7" applyFont="1" applyFill="1" applyBorder="1" applyAlignment="1">
      <alignment vertical="center"/>
    </xf>
    <xf numFmtId="0" fontId="32" fillId="0" borderId="0" xfId="7" applyFont="1" applyFill="1" applyBorder="1" applyAlignment="1"/>
    <xf numFmtId="0" fontId="33" fillId="0" borderId="0" xfId="7" applyFont="1" applyFill="1" applyBorder="1" applyAlignment="1"/>
    <xf numFmtId="4" fontId="32" fillId="0" borderId="0" xfId="7" applyNumberFormat="1" applyFont="1" applyFill="1"/>
    <xf numFmtId="4" fontId="32" fillId="0" borderId="1" xfId="7" applyNumberFormat="1" applyFont="1" applyFill="1" applyBorder="1"/>
    <xf numFmtId="0" fontId="32" fillId="0" borderId="0" xfId="0" applyFont="1" applyBorder="1" applyAlignment="1">
      <alignment vertical="top"/>
    </xf>
    <xf numFmtId="3" fontId="32" fillId="0" borderId="0" xfId="0" applyNumberFormat="1" applyFont="1" applyBorder="1" applyAlignment="1">
      <alignment horizontal="right" vertical="top"/>
    </xf>
    <xf numFmtId="3" fontId="32" fillId="0" borderId="0" xfId="0" applyNumberFormat="1" applyFont="1" applyFill="1" applyBorder="1" applyAlignment="1">
      <alignment horizontal="right" vertical="top"/>
    </xf>
    <xf numFmtId="0" fontId="30" fillId="0" borderId="1" xfId="0" applyFont="1" applyFill="1" applyBorder="1"/>
    <xf numFmtId="0" fontId="31" fillId="0" borderId="1" xfId="1" applyFont="1" applyBorder="1" applyAlignment="1"/>
    <xf numFmtId="0" fontId="19" fillId="0" borderId="1" xfId="7" applyFont="1" applyBorder="1"/>
    <xf numFmtId="164" fontId="32" fillId="0" borderId="0" xfId="1" applyNumberFormat="1" applyFont="1" applyBorder="1"/>
    <xf numFmtId="0" fontId="31" fillId="0" borderId="0" xfId="0" applyFont="1" applyFill="1" applyAlignment="1">
      <alignment horizontal="center" vertical="center"/>
    </xf>
    <xf numFmtId="1" fontId="29" fillId="0" borderId="1" xfId="0" applyNumberFormat="1" applyFont="1" applyFill="1" applyBorder="1"/>
    <xf numFmtId="0" fontId="31" fillId="0" borderId="0" xfId="7" applyFont="1" applyFill="1" applyAlignment="1">
      <alignment horizontal="left" vertical="center" wrapText="1"/>
    </xf>
    <xf numFmtId="3" fontId="34" fillId="0" borderId="0" xfId="6" applyNumberFormat="1" applyFont="1" applyFill="1" applyBorder="1"/>
    <xf numFmtId="0" fontId="33" fillId="0" borderId="3" xfId="7" applyFont="1" applyFill="1" applyBorder="1" applyAlignment="1">
      <alignment horizontal="right" vertical="center" wrapText="1"/>
    </xf>
    <xf numFmtId="0" fontId="31" fillId="0" borderId="0" xfId="7" applyFont="1" applyFill="1" applyAlignment="1">
      <alignment horizontal="left" vertical="center" wrapText="1"/>
    </xf>
    <xf numFmtId="0" fontId="31" fillId="0" borderId="0" xfId="0" applyFont="1" applyFill="1" applyBorder="1" applyAlignment="1">
      <alignment horizontal="left" vertical="top"/>
    </xf>
    <xf numFmtId="168" fontId="48" fillId="0" borderId="1" xfId="7" applyNumberFormat="1" applyFont="1" applyFill="1" applyBorder="1" applyAlignment="1">
      <alignment vertical="center"/>
    </xf>
    <xf numFmtId="3" fontId="32" fillId="0" borderId="0" xfId="7" applyNumberFormat="1" applyFont="1" applyFill="1" applyAlignment="1"/>
    <xf numFmtId="0" fontId="18" fillId="0" borderId="0" xfId="1" applyFont="1" applyFill="1" applyAlignment="1"/>
    <xf numFmtId="0" fontId="19" fillId="0" borderId="0" xfId="1" applyFont="1" applyFill="1" applyAlignment="1"/>
    <xf numFmtId="0" fontId="31" fillId="0" borderId="3" xfId="0" applyFont="1" applyFill="1" applyBorder="1" applyAlignment="1">
      <alignment horizontal="left" vertical="center"/>
    </xf>
    <xf numFmtId="0" fontId="31" fillId="0" borderId="3" xfId="0" applyFont="1" applyFill="1" applyBorder="1" applyAlignment="1">
      <alignment horizontal="right" vertical="center"/>
    </xf>
    <xf numFmtId="49" fontId="32" fillId="0" borderId="0" xfId="0" applyNumberFormat="1" applyFont="1" applyFill="1" applyBorder="1" applyAlignment="1">
      <alignment horizontal="center"/>
    </xf>
    <xf numFmtId="0" fontId="18" fillId="0" borderId="0" xfId="1" applyFont="1" applyFill="1" applyBorder="1" applyAlignment="1">
      <alignment vertical="center"/>
    </xf>
    <xf numFmtId="0" fontId="32" fillId="0" borderId="3" xfId="0" applyFont="1" applyFill="1" applyBorder="1" applyAlignment="1">
      <alignment horizontal="left" vertical="center"/>
    </xf>
    <xf numFmtId="0" fontId="32" fillId="0" borderId="3" xfId="0" applyFont="1" applyFill="1" applyBorder="1" applyAlignment="1">
      <alignment horizontal="right" vertical="center"/>
    </xf>
    <xf numFmtId="0" fontId="82" fillId="0" borderId="0" xfId="45" applyFont="1"/>
    <xf numFmtId="3" fontId="83" fillId="0" borderId="0" xfId="45" applyNumberFormat="1" applyFont="1"/>
    <xf numFmtId="0" fontId="80" fillId="0" borderId="0" xfId="45" applyFont="1"/>
    <xf numFmtId="0" fontId="83" fillId="0" borderId="0" xfId="45" applyFont="1"/>
    <xf numFmtId="0" fontId="81" fillId="0" borderId="0" xfId="45" applyFont="1"/>
    <xf numFmtId="3" fontId="82" fillId="0" borderId="0" xfId="45" applyNumberFormat="1" applyFont="1"/>
    <xf numFmtId="0" fontId="48" fillId="0" borderId="0" xfId="45" applyFont="1"/>
    <xf numFmtId="3" fontId="48" fillId="0" borderId="0" xfId="45" applyNumberFormat="1" applyFont="1"/>
    <xf numFmtId="0" fontId="79" fillId="0" borderId="0" xfId="45" applyFont="1"/>
    <xf numFmtId="167" fontId="48" fillId="0" borderId="0" xfId="18" applyNumberFormat="1" applyFont="1"/>
    <xf numFmtId="0" fontId="48" fillId="0" borderId="1" xfId="45" applyFont="1" applyBorder="1"/>
    <xf numFmtId="169" fontId="48" fillId="0" borderId="1" xfId="45" applyNumberFormat="1" applyFont="1" applyBorder="1"/>
    <xf numFmtId="169" fontId="82" fillId="0" borderId="0" xfId="45" applyNumberFormat="1" applyFont="1"/>
    <xf numFmtId="0" fontId="55" fillId="0" borderId="0" xfId="45" applyFont="1"/>
    <xf numFmtId="0" fontId="56" fillId="0" borderId="0" xfId="45" applyFont="1"/>
    <xf numFmtId="167" fontId="65" fillId="0" borderId="0" xfId="18" applyNumberFormat="1" applyFont="1" applyBorder="1"/>
    <xf numFmtId="164" fontId="18" fillId="0" borderId="0" xfId="0" applyNumberFormat="1" applyFont="1"/>
    <xf numFmtId="0" fontId="31" fillId="0" borderId="2" xfId="7" applyFont="1" applyFill="1" applyBorder="1" applyAlignment="1">
      <alignment horizontal="right"/>
    </xf>
    <xf numFmtId="0" fontId="20" fillId="0" borderId="0" xfId="7" applyFont="1" applyFill="1" applyBorder="1" applyAlignment="1">
      <alignment horizontal="right"/>
    </xf>
    <xf numFmtId="0" fontId="31" fillId="0" borderId="0" xfId="7" applyFont="1" applyFill="1" applyBorder="1" applyAlignment="1">
      <alignment horizontal="right"/>
    </xf>
    <xf numFmtId="0" fontId="31" fillId="0" borderId="5" xfId="7" applyFont="1" applyFill="1" applyBorder="1" applyAlignment="1">
      <alignment horizontal="right" vertical="top" wrapText="1"/>
    </xf>
    <xf numFmtId="0" fontId="86" fillId="0" borderId="0" xfId="7" applyFont="1" applyFill="1" applyBorder="1"/>
    <xf numFmtId="49" fontId="40" fillId="0" borderId="0" xfId="7" applyNumberFormat="1" applyFont="1" applyFill="1" applyBorder="1" applyAlignment="1">
      <alignment horizontal="center"/>
    </xf>
    <xf numFmtId="3" fontId="40" fillId="0" borderId="0" xfId="7" applyNumberFormat="1" applyFont="1" applyFill="1" applyBorder="1"/>
    <xf numFmtId="3" fontId="31" fillId="0" borderId="0" xfId="7" applyNumberFormat="1" applyFont="1" applyFill="1" applyBorder="1" applyAlignment="1">
      <alignment horizontal="right"/>
    </xf>
    <xf numFmtId="0" fontId="44" fillId="0" borderId="1" xfId="7" applyFont="1" applyFill="1" applyBorder="1" applyAlignment="1">
      <alignment vertical="center"/>
    </xf>
    <xf numFmtId="0" fontId="20" fillId="0" borderId="1" xfId="0" applyFont="1" applyBorder="1"/>
    <xf numFmtId="3" fontId="44" fillId="0" borderId="1" xfId="7" applyNumberFormat="1" applyFont="1" applyFill="1" applyBorder="1" applyAlignment="1">
      <alignment vertical="center"/>
    </xf>
    <xf numFmtId="0" fontId="26" fillId="0" borderId="1" xfId="7" applyFont="1" applyFill="1" applyBorder="1"/>
    <xf numFmtId="174" fontId="19" fillId="0" borderId="0" xfId="7" applyNumberFormat="1" applyFill="1"/>
    <xf numFmtId="168" fontId="31" fillId="0" borderId="0" xfId="7" applyNumberFormat="1" applyFont="1" applyFill="1"/>
    <xf numFmtId="168" fontId="44" fillId="0" borderId="1" xfId="7" applyNumberFormat="1" applyFont="1" applyFill="1" applyBorder="1" applyAlignment="1">
      <alignment vertical="center"/>
    </xf>
    <xf numFmtId="164" fontId="20" fillId="0" borderId="0" xfId="7" applyNumberFormat="1" applyFont="1" applyFill="1"/>
    <xf numFmtId="0" fontId="4" fillId="0" borderId="0" xfId="50" applyFill="1" applyBorder="1"/>
    <xf numFmtId="0" fontId="19" fillId="0" borderId="0" xfId="7" applyFill="1" applyBorder="1" applyAlignment="1"/>
    <xf numFmtId="0" fontId="87" fillId="0" borderId="0" xfId="50" applyFont="1" applyFill="1" applyBorder="1" applyAlignment="1">
      <alignment vertical="center"/>
    </xf>
    <xf numFmtId="0" fontId="20" fillId="0" borderId="0" xfId="50" applyFont="1" applyFill="1" applyAlignment="1">
      <alignment horizontal="right" vertical="center"/>
    </xf>
    <xf numFmtId="0" fontId="31" fillId="0" borderId="0" xfId="50" applyFont="1" applyFill="1" applyAlignment="1">
      <alignment horizontal="right" vertical="center"/>
    </xf>
    <xf numFmtId="0" fontId="31" fillId="0" borderId="0" xfId="50" applyFont="1" applyFill="1" applyBorder="1" applyAlignment="1">
      <alignment horizontal="right" vertical="center"/>
    </xf>
    <xf numFmtId="49" fontId="31" fillId="0" borderId="0" xfId="50" applyNumberFormat="1" applyFont="1" applyFill="1" applyBorder="1" applyAlignment="1">
      <alignment horizontal="right" vertical="center" wrapText="1"/>
    </xf>
    <xf numFmtId="49" fontId="32" fillId="0" borderId="0" xfId="50" applyNumberFormat="1" applyFont="1" applyFill="1" applyBorder="1" applyAlignment="1">
      <alignment horizontal="right" vertical="center" wrapText="1"/>
    </xf>
    <xf numFmtId="49" fontId="32" fillId="0" borderId="3" xfId="7" applyNumberFormat="1" applyFont="1" applyFill="1" applyBorder="1" applyAlignment="1">
      <alignment horizontal="center" vertical="center" wrapText="1"/>
    </xf>
    <xf numFmtId="49" fontId="32" fillId="0" borderId="3" xfId="7" applyNumberFormat="1" applyFont="1" applyFill="1" applyBorder="1" applyAlignment="1">
      <alignment horizontal="right" vertical="center" wrapText="1"/>
    </xf>
    <xf numFmtId="49" fontId="32" fillId="0" borderId="3" xfId="7" applyNumberFormat="1" applyFont="1" applyFill="1" applyBorder="1" applyAlignment="1">
      <alignment horizontal="left" vertical="center"/>
    </xf>
    <xf numFmtId="0" fontId="29" fillId="0" borderId="0" xfId="7" applyFont="1" applyFill="1" applyAlignment="1"/>
    <xf numFmtId="0" fontId="31" fillId="0" borderId="0" xfId="7" applyFont="1" applyFill="1" applyAlignment="1">
      <alignment horizontal="center" vertical="center"/>
    </xf>
    <xf numFmtId="1" fontId="32" fillId="0" borderId="0" xfId="0" applyNumberFormat="1" applyFont="1" applyFill="1"/>
    <xf numFmtId="0" fontId="82" fillId="0" borderId="0" xfId="562" applyFont="1"/>
    <xf numFmtId="0" fontId="82" fillId="0" borderId="0" xfId="562" applyFont="1" applyAlignment="1">
      <alignment horizontal="center"/>
    </xf>
    <xf numFmtId="0" fontId="80" fillId="0" borderId="0" xfId="562" applyFont="1"/>
    <xf numFmtId="0" fontId="83" fillId="0" borderId="0" xfId="562" applyFont="1" applyAlignment="1">
      <alignment horizontal="left"/>
    </xf>
    <xf numFmtId="3" fontId="82" fillId="0" borderId="0" xfId="562" applyNumberFormat="1" applyFont="1" applyBorder="1"/>
    <xf numFmtId="0" fontId="48" fillId="0" borderId="0" xfId="562" applyFont="1"/>
    <xf numFmtId="0" fontId="65" fillId="0" borderId="0" xfId="562" applyFont="1"/>
    <xf numFmtId="3" fontId="48" fillId="0" borderId="0" xfId="562" applyNumberFormat="1" applyFont="1" applyBorder="1"/>
    <xf numFmtId="169" fontId="82" fillId="0" borderId="0" xfId="562" applyNumberFormat="1" applyFont="1" applyBorder="1"/>
    <xf numFmtId="169" fontId="82" fillId="0" borderId="0" xfId="562" applyNumberFormat="1" applyFont="1"/>
    <xf numFmtId="0" fontId="83" fillId="0" borderId="0" xfId="562" applyFont="1"/>
    <xf numFmtId="167" fontId="82" fillId="0" borderId="0" xfId="563" applyNumberFormat="1" applyFont="1" applyBorder="1"/>
    <xf numFmtId="167" fontId="48" fillId="0" borderId="0" xfId="563" applyNumberFormat="1" applyFont="1" applyBorder="1"/>
    <xf numFmtId="0" fontId="48" fillId="0" borderId="1" xfId="562" applyFont="1" applyBorder="1"/>
    <xf numFmtId="169" fontId="48" fillId="0" borderId="1" xfId="562" applyNumberFormat="1" applyFont="1" applyBorder="1"/>
    <xf numFmtId="0" fontId="79" fillId="0" borderId="1" xfId="562" applyFont="1" applyBorder="1"/>
    <xf numFmtId="0" fontId="79" fillId="0" borderId="0" xfId="562" applyFont="1"/>
    <xf numFmtId="0" fontId="55" fillId="0" borderId="0" xfId="562" applyFont="1"/>
    <xf numFmtId="0" fontId="2" fillId="0" borderId="0" xfId="566"/>
    <xf numFmtId="0" fontId="40" fillId="0" borderId="0" xfId="7" applyFont="1" applyAlignment="1"/>
    <xf numFmtId="3" fontId="40" fillId="0" borderId="0" xfId="7" applyNumberFormat="1" applyFont="1" applyFill="1"/>
    <xf numFmtId="3" fontId="40" fillId="0" borderId="0" xfId="7" applyNumberFormat="1" applyFont="1"/>
    <xf numFmtId="0" fontId="87" fillId="0" borderId="0" xfId="566" applyFont="1"/>
    <xf numFmtId="193" fontId="2" fillId="0" borderId="0" xfId="566" applyNumberFormat="1"/>
    <xf numFmtId="3" fontId="2" fillId="0" borderId="0" xfId="566" applyNumberFormat="1"/>
    <xf numFmtId="3" fontId="31" fillId="0" borderId="0" xfId="0" applyNumberFormat="1" applyFont="1" applyFill="1" applyBorder="1" applyAlignment="1">
      <alignment horizontal="center"/>
    </xf>
    <xf numFmtId="3" fontId="31" fillId="0" borderId="0" xfId="0" applyNumberFormat="1" applyFont="1" applyFill="1" applyAlignment="1">
      <alignment horizontal="center"/>
    </xf>
    <xf numFmtId="0" fontId="56" fillId="0" borderId="0" xfId="7" applyFont="1" applyBorder="1" applyAlignment="1">
      <alignment horizontal="left"/>
    </xf>
    <xf numFmtId="49" fontId="19" fillId="0" borderId="0" xfId="7" applyNumberFormat="1" applyFont="1" applyFill="1" applyBorder="1" applyAlignment="1">
      <alignment vertical="center" wrapText="1"/>
    </xf>
    <xf numFmtId="49" fontId="20" fillId="0" borderId="0" xfId="7" applyNumberFormat="1" applyFont="1" applyFill="1" applyBorder="1" applyAlignment="1">
      <alignment horizontal="right" vertical="center" wrapText="1"/>
    </xf>
    <xf numFmtId="49" fontId="20" fillId="0" borderId="0" xfId="7" applyNumberFormat="1" applyFont="1" applyFill="1" applyBorder="1" applyAlignment="1">
      <alignment horizontal="left" vertical="center" wrapText="1"/>
    </xf>
    <xf numFmtId="0" fontId="167" fillId="0" borderId="1" xfId="7" applyFont="1" applyFill="1" applyBorder="1" applyAlignment="1">
      <alignment horizontal="center" vertical="center"/>
    </xf>
    <xf numFmtId="0" fontId="33" fillId="0" borderId="1" xfId="7" applyFont="1" applyFill="1" applyBorder="1" applyAlignment="1">
      <alignment vertical="center"/>
    </xf>
    <xf numFmtId="0" fontId="33" fillId="0" borderId="1" xfId="7" applyFont="1" applyFill="1" applyBorder="1" applyAlignment="1">
      <alignment horizontal="center" vertical="center"/>
    </xf>
    <xf numFmtId="3" fontId="35" fillId="0" borderId="0" xfId="6" applyNumberFormat="1" applyFont="1" applyFill="1" applyBorder="1"/>
    <xf numFmtId="0" fontId="31" fillId="0" borderId="0" xfId="7" applyFont="1" applyFill="1" applyAlignment="1">
      <alignment wrapText="1"/>
    </xf>
    <xf numFmtId="0" fontId="45" fillId="0" borderId="1" xfId="7" applyFont="1" applyFill="1" applyBorder="1" applyAlignment="1">
      <alignment vertical="center"/>
    </xf>
    <xf numFmtId="0" fontId="19" fillId="0" borderId="0" xfId="7" applyFont="1" applyFill="1" applyAlignment="1">
      <alignment wrapText="1"/>
    </xf>
    <xf numFmtId="0" fontId="46" fillId="0" borderId="0" xfId="7" applyFont="1" applyFill="1" applyAlignment="1">
      <alignment vertical="center"/>
    </xf>
    <xf numFmtId="0" fontId="88" fillId="0" borderId="0" xfId="7" applyFont="1" applyFill="1"/>
    <xf numFmtId="0" fontId="20" fillId="0" borderId="0" xfId="7" applyFont="1" applyFill="1" applyAlignment="1">
      <alignment wrapText="1"/>
    </xf>
    <xf numFmtId="49" fontId="32" fillId="0" borderId="3" xfId="0" applyNumberFormat="1" applyFont="1" applyFill="1" applyBorder="1" applyAlignment="1">
      <alignment horizontal="center"/>
    </xf>
    <xf numFmtId="0" fontId="32" fillId="0" borderId="0" xfId="7" applyFont="1" applyFill="1" applyAlignment="1">
      <alignment horizontal="left" wrapText="1"/>
    </xf>
    <xf numFmtId="0" fontId="65" fillId="0" borderId="1" xfId="7" applyFont="1" applyFill="1" applyBorder="1" applyAlignment="1">
      <alignment vertical="center"/>
    </xf>
    <xf numFmtId="164" fontId="30" fillId="0" borderId="0" xfId="7" applyNumberFormat="1" applyFont="1" applyFill="1"/>
    <xf numFmtId="0" fontId="30" fillId="0" borderId="0" xfId="7" applyFont="1" applyFill="1" applyAlignment="1"/>
    <xf numFmtId="164" fontId="33" fillId="0" borderId="0" xfId="7" applyNumberFormat="1" applyFont="1" applyBorder="1" applyAlignment="1">
      <alignment horizontal="right"/>
    </xf>
    <xf numFmtId="194" fontId="29" fillId="0" borderId="0" xfId="0" applyNumberFormat="1" applyFont="1" applyFill="1"/>
    <xf numFmtId="195" fontId="29" fillId="0" borderId="0" xfId="0" applyNumberFormat="1" applyFont="1" applyFill="1"/>
    <xf numFmtId="0" fontId="19" fillId="0" borderId="0" xfId="0" applyFont="1"/>
    <xf numFmtId="0" fontId="59" fillId="0" borderId="0" xfId="7" applyFont="1" applyAlignment="1">
      <alignment vertical="center" wrapText="1"/>
    </xf>
    <xf numFmtId="0" fontId="59" fillId="0" borderId="0" xfId="7" applyFont="1" applyAlignment="1">
      <alignment vertical="center"/>
    </xf>
    <xf numFmtId="0" fontId="168" fillId="0" borderId="0" xfId="7" applyFont="1" applyAlignment="1">
      <alignment horizontal="left" vertical="center"/>
    </xf>
    <xf numFmtId="0" fontId="80" fillId="0" borderId="0" xfId="566" applyFont="1"/>
    <xf numFmtId="3" fontId="80" fillId="0" borderId="0" xfId="566" applyNumberFormat="1" applyFont="1"/>
    <xf numFmtId="0" fontId="168" fillId="0" borderId="0" xfId="7" applyFont="1" applyAlignment="1">
      <alignment vertical="center"/>
    </xf>
    <xf numFmtId="3" fontId="19" fillId="0" borderId="0" xfId="7" applyNumberFormat="1" applyFill="1"/>
    <xf numFmtId="0" fontId="35" fillId="0" borderId="0" xfId="0" applyFont="1" applyFill="1" applyAlignment="1">
      <alignment vertical="center"/>
    </xf>
    <xf numFmtId="0" fontId="31" fillId="0" borderId="0" xfId="7" applyFont="1" applyFill="1" applyAlignment="1">
      <alignment horizontal="left" vertical="center" wrapText="1"/>
    </xf>
    <xf numFmtId="49" fontId="33" fillId="2" borderId="2" xfId="7" applyNumberFormat="1" applyFont="1" applyFill="1" applyBorder="1" applyAlignment="1">
      <alignment horizontal="center" vertical="center" wrapText="1"/>
    </xf>
    <xf numFmtId="49" fontId="33" fillId="2" borderId="2" xfId="7" applyNumberFormat="1" applyFont="1" applyFill="1" applyBorder="1" applyAlignment="1">
      <alignment horizontal="center" vertical="center"/>
    </xf>
    <xf numFmtId="49" fontId="33" fillId="2" borderId="2" xfId="7" applyNumberFormat="1" applyFont="1" applyFill="1" applyBorder="1" applyAlignment="1">
      <alignment horizontal="center" wrapText="1"/>
    </xf>
    <xf numFmtId="49" fontId="33" fillId="2" borderId="2" xfId="7" applyNumberFormat="1" applyFont="1" applyFill="1" applyBorder="1" applyAlignment="1">
      <alignment horizontal="center"/>
    </xf>
    <xf numFmtId="0" fontId="31" fillId="0" borderId="5" xfId="7" applyFont="1" applyFill="1" applyBorder="1" applyAlignment="1">
      <alignment horizontal="center" vertical="top" wrapText="1"/>
    </xf>
    <xf numFmtId="0" fontId="57" fillId="0" borderId="0" xfId="7" applyFont="1" applyAlignment="1">
      <alignment horizontal="left" wrapText="1"/>
    </xf>
    <xf numFmtId="0" fontId="29" fillId="0" borderId="0" xfId="7" applyFont="1" applyFill="1" applyAlignment="1">
      <alignment horizontal="center"/>
    </xf>
    <xf numFmtId="0" fontId="56" fillId="0" borderId="0" xfId="7" applyFont="1" applyBorder="1" applyAlignment="1">
      <alignment horizontal="left" wrapText="1"/>
    </xf>
    <xf numFmtId="0" fontId="56" fillId="0" borderId="0" xfId="7" applyFont="1" applyBorder="1" applyAlignment="1">
      <alignment horizontal="left"/>
    </xf>
    <xf numFmtId="0" fontId="31" fillId="0" borderId="0" xfId="7" applyFont="1" applyFill="1" applyAlignment="1">
      <alignment horizontal="left" wrapText="1"/>
    </xf>
    <xf numFmtId="0" fontId="168" fillId="0" borderId="0" xfId="7" applyFont="1" applyAlignment="1">
      <alignment horizontal="left" vertical="center" wrapText="1"/>
    </xf>
    <xf numFmtId="0" fontId="59" fillId="0" borderId="0" xfId="0" applyFont="1" applyAlignment="1">
      <alignment horizontal="left" wrapText="1"/>
    </xf>
    <xf numFmtId="0" fontId="33" fillId="0" borderId="0" xfId="0" applyFont="1" applyFill="1" applyAlignment="1">
      <alignment horizontal="left" wrapText="1"/>
    </xf>
    <xf numFmtId="0" fontId="59" fillId="0" borderId="0" xfId="0" applyFont="1" applyAlignment="1">
      <alignment horizontal="left"/>
    </xf>
    <xf numFmtId="0" fontId="61" fillId="0" borderId="0" xfId="6" applyFont="1" applyFill="1" applyAlignment="1">
      <alignment horizontal="left" wrapText="1"/>
    </xf>
    <xf numFmtId="0" fontId="39" fillId="0" borderId="0" xfId="6" applyFont="1" applyFill="1" applyAlignment="1">
      <alignment horizontal="left" wrapText="1"/>
    </xf>
    <xf numFmtId="0" fontId="31" fillId="0" borderId="0" xfId="7" applyFont="1" applyFill="1" applyAlignment="1">
      <alignment vertical="top" wrapText="1"/>
    </xf>
    <xf numFmtId="0" fontId="30" fillId="0" borderId="0" xfId="7" applyFont="1" applyFill="1" applyAlignment="1"/>
    <xf numFmtId="0" fontId="31" fillId="0" borderId="0" xfId="7" applyFont="1" applyFill="1" applyAlignment="1">
      <alignment horizontal="left" vertical="top" wrapText="1"/>
    </xf>
    <xf numFmtId="0" fontId="32" fillId="0" borderId="0" xfId="7" applyFont="1" applyFill="1" applyBorder="1" applyAlignment="1">
      <alignment horizontal="left" wrapText="1"/>
    </xf>
  </cellXfs>
  <cellStyles count="569">
    <cellStyle name="_Vergleich_Budget_OEBB_Bedarf_Kasser_12-10-2010" xfId="51"/>
    <cellStyle name="20 % - Akzent1 2" xfId="52"/>
    <cellStyle name="20 % - Akzent2 2" xfId="53"/>
    <cellStyle name="20 % - Akzent3 2" xfId="54"/>
    <cellStyle name="20 % - Akzent4 2" xfId="55"/>
    <cellStyle name="20 % - Akzent5 2" xfId="56"/>
    <cellStyle name="20 % - Akzent6 2" xfId="57"/>
    <cellStyle name="20 % – Zvýrazn?ní1" xfId="58"/>
    <cellStyle name="20 % – Zvýrazn?ní2" xfId="59"/>
    <cellStyle name="20 % – Zvýrazn?ní3" xfId="60"/>
    <cellStyle name="20 % – Zvýrazn?ní4" xfId="61"/>
    <cellStyle name="20 % – Zvýrazn?ní5" xfId="62"/>
    <cellStyle name="20 % – Zvýrazn?ní6" xfId="63"/>
    <cellStyle name="20 % – Zvýraznění1" xfId="64"/>
    <cellStyle name="20 % – Zvýraznění2" xfId="65"/>
    <cellStyle name="20 % – Zvýraznění3" xfId="66"/>
    <cellStyle name="20 % – Zvýraznění4" xfId="67"/>
    <cellStyle name="20 % – Zvýraznění5" xfId="68"/>
    <cellStyle name="20 % – Zvýraznění6" xfId="69"/>
    <cellStyle name="20% - 1. jelöl?szín" xfId="70"/>
    <cellStyle name="20% - 1. jelölőszín" xfId="71"/>
    <cellStyle name="20% - 2. jelöl?szín" xfId="72"/>
    <cellStyle name="20% - 2. jelölőszín" xfId="73"/>
    <cellStyle name="20% - 3. jelöl?szín" xfId="74"/>
    <cellStyle name="20% - 3. jelölőszín" xfId="75"/>
    <cellStyle name="20% - 4. jelöl?szín" xfId="76"/>
    <cellStyle name="20% - 4. jelölőszín" xfId="77"/>
    <cellStyle name="20% - 5. jelöl?szín" xfId="78"/>
    <cellStyle name="20% - 5. jelölőszín" xfId="79"/>
    <cellStyle name="20% - 6. jelöl?szín" xfId="80"/>
    <cellStyle name="20% - 6. jelölőszín" xfId="81"/>
    <cellStyle name="20% - Accent1" xfId="82"/>
    <cellStyle name="20% - Accent2" xfId="83"/>
    <cellStyle name="20% - Accent3" xfId="84"/>
    <cellStyle name="20% - Accent4" xfId="85"/>
    <cellStyle name="20% - Accent5" xfId="86"/>
    <cellStyle name="20% - Accent6" xfId="87"/>
    <cellStyle name="20% - Akzent1" xfId="88"/>
    <cellStyle name="20% - Akzent2" xfId="89"/>
    <cellStyle name="20% - Akzent3" xfId="90"/>
    <cellStyle name="20% - Akzent4" xfId="91"/>
    <cellStyle name="20% - Akzent5" xfId="92"/>
    <cellStyle name="20% - Akzent6" xfId="93"/>
    <cellStyle name="20% - Colore 1" xfId="94"/>
    <cellStyle name="20% - Colore 2" xfId="95"/>
    <cellStyle name="20% - Colore 3" xfId="96"/>
    <cellStyle name="20% - Colore 4" xfId="97"/>
    <cellStyle name="20% - Colore 5" xfId="98"/>
    <cellStyle name="20% - Colore 6" xfId="99"/>
    <cellStyle name="40 % - Akzent1 2" xfId="100"/>
    <cellStyle name="40 % - Akzent2 2" xfId="101"/>
    <cellStyle name="40 % - Akzent3 2" xfId="102"/>
    <cellStyle name="40 % - Akzent4 2" xfId="103"/>
    <cellStyle name="40 % - Akzent5 2" xfId="104"/>
    <cellStyle name="40 % - Akzent6 2" xfId="105"/>
    <cellStyle name="40 % – Zvýrazn?ní1" xfId="106"/>
    <cellStyle name="40 % – Zvýrazn?ní2" xfId="107"/>
    <cellStyle name="40 % – Zvýrazn?ní3" xfId="108"/>
    <cellStyle name="40 % – Zvýrazn?ní4" xfId="109"/>
    <cellStyle name="40 % – Zvýrazn?ní5" xfId="110"/>
    <cellStyle name="40 % – Zvýrazn?ní6" xfId="111"/>
    <cellStyle name="40 % – Zvýraznění1" xfId="112"/>
    <cellStyle name="40 % – Zvýraznění2" xfId="113"/>
    <cellStyle name="40 % – Zvýraznění3" xfId="114"/>
    <cellStyle name="40 % – Zvýraznění4" xfId="115"/>
    <cellStyle name="40 % – Zvýraznění5" xfId="116"/>
    <cellStyle name="40 % – Zvýraznění6" xfId="117"/>
    <cellStyle name="40% - 1. jelöl?szín" xfId="118"/>
    <cellStyle name="40% - 1. jelölőszín" xfId="119"/>
    <cellStyle name="40% - 2. jelöl?szín" xfId="120"/>
    <cellStyle name="40% - 2. jelölőszín" xfId="121"/>
    <cellStyle name="40% - 3. jelöl?szín" xfId="122"/>
    <cellStyle name="40% - 3. jelölőszín" xfId="123"/>
    <cellStyle name="40% - 4. jelöl?szín" xfId="124"/>
    <cellStyle name="40% - 4. jelölőszín" xfId="125"/>
    <cellStyle name="40% - 5. jelöl?szín" xfId="126"/>
    <cellStyle name="40% - 5. jelölőszín" xfId="127"/>
    <cellStyle name="40% - 6. jelöl?szín" xfId="128"/>
    <cellStyle name="40% - 6. jelölőszín" xfId="129"/>
    <cellStyle name="40% - Accent1" xfId="130"/>
    <cellStyle name="40% - Accent2" xfId="131"/>
    <cellStyle name="40% - Accent3" xfId="132"/>
    <cellStyle name="40% - Accent4" xfId="133"/>
    <cellStyle name="40% - Accent5" xfId="134"/>
    <cellStyle name="40% - Accent6" xfId="135"/>
    <cellStyle name="40% - Akzent1" xfId="136"/>
    <cellStyle name="40% - Akzent2" xfId="137"/>
    <cellStyle name="40% - Akzent3" xfId="138"/>
    <cellStyle name="40% - Akzent4" xfId="139"/>
    <cellStyle name="40% - Akzent5" xfId="140"/>
    <cellStyle name="40% - Akzent6" xfId="141"/>
    <cellStyle name="40% - Colore 1" xfId="142"/>
    <cellStyle name="40% - Colore 2" xfId="143"/>
    <cellStyle name="40% - Colore 3" xfId="144"/>
    <cellStyle name="40% - Colore 4" xfId="145"/>
    <cellStyle name="40% - Colore 5" xfId="146"/>
    <cellStyle name="40% - Colore 6" xfId="147"/>
    <cellStyle name="60 % - Akzent1 2" xfId="148"/>
    <cellStyle name="60 % - Akzent2 2" xfId="149"/>
    <cellStyle name="60 % - Akzent3 2" xfId="150"/>
    <cellStyle name="60 % - Akzent4 2" xfId="151"/>
    <cellStyle name="60 % - Akzent5 2" xfId="152"/>
    <cellStyle name="60 % - Akzent6 2" xfId="153"/>
    <cellStyle name="60 % – Zvýrazn?ní1" xfId="154"/>
    <cellStyle name="60 % – Zvýrazn?ní2" xfId="155"/>
    <cellStyle name="60 % – Zvýrazn?ní3" xfId="156"/>
    <cellStyle name="60 % – Zvýrazn?ní4" xfId="157"/>
    <cellStyle name="60 % – Zvýrazn?ní5" xfId="158"/>
    <cellStyle name="60 % – Zvýrazn?ní6" xfId="159"/>
    <cellStyle name="60 % – Zvýraznění1" xfId="160"/>
    <cellStyle name="60 % – Zvýraznění2" xfId="161"/>
    <cellStyle name="60 % – Zvýraznění3" xfId="162"/>
    <cellStyle name="60 % – Zvýraznění4" xfId="163"/>
    <cellStyle name="60 % – Zvýraznění5" xfId="164"/>
    <cellStyle name="60 % – Zvýraznění6" xfId="165"/>
    <cellStyle name="60% - 1. jelöl?szín" xfId="166"/>
    <cellStyle name="60% - 1. jelölőszín" xfId="167"/>
    <cellStyle name="60% - 2. jelöl?szín" xfId="168"/>
    <cellStyle name="60% - 2. jelölőszín" xfId="169"/>
    <cellStyle name="60% - 3. jelöl?szín" xfId="170"/>
    <cellStyle name="60% - 3. jelölőszín" xfId="171"/>
    <cellStyle name="60% - 4. jelöl?szín" xfId="172"/>
    <cellStyle name="60% - 4. jelölőszín" xfId="173"/>
    <cellStyle name="60% - 5. jelöl?szín" xfId="174"/>
    <cellStyle name="60% - 5. jelölőszín" xfId="175"/>
    <cellStyle name="60% - 6. jelöl?szín" xfId="176"/>
    <cellStyle name="60% - 6. jelölőszín" xfId="177"/>
    <cellStyle name="60% - Accent1" xfId="178"/>
    <cellStyle name="60% - Accent2" xfId="179"/>
    <cellStyle name="60% - Accent3" xfId="180"/>
    <cellStyle name="60% - Accent4" xfId="181"/>
    <cellStyle name="60% - Accent5" xfId="182"/>
    <cellStyle name="60% - Accent6" xfId="183"/>
    <cellStyle name="60% - Akzent1" xfId="184"/>
    <cellStyle name="60% - Akzent2" xfId="185"/>
    <cellStyle name="60% - Akzent3" xfId="186"/>
    <cellStyle name="60% - Akzent4" xfId="187"/>
    <cellStyle name="60% - Akzent5" xfId="188"/>
    <cellStyle name="60% - Akzent6" xfId="189"/>
    <cellStyle name="60% - Colore 1" xfId="190"/>
    <cellStyle name="60% - Colore 2" xfId="191"/>
    <cellStyle name="60% - Colore 3" xfId="192"/>
    <cellStyle name="60% - Colore 4" xfId="193"/>
    <cellStyle name="60% - Colore 5" xfId="194"/>
    <cellStyle name="60% - Colore 6" xfId="195"/>
    <cellStyle name="Accent1" xfId="196"/>
    <cellStyle name="Accent2" xfId="197"/>
    <cellStyle name="Accent3" xfId="198"/>
    <cellStyle name="Accent4" xfId="199"/>
    <cellStyle name="Accent5" xfId="200"/>
    <cellStyle name="Accent6" xfId="201"/>
    <cellStyle name="annee semestre" xfId="27"/>
    <cellStyle name="Bad" xfId="202"/>
    <cellStyle name="Berechneter Wert" xfId="203"/>
    <cellStyle name="Beschriftung" xfId="204"/>
    <cellStyle name="Bevitel" xfId="205"/>
    <cellStyle name="Bps" xfId="206"/>
    <cellStyle name="Calcolo" xfId="207"/>
    <cellStyle name="Calculation" xfId="208"/>
    <cellStyle name="Celkem" xfId="209"/>
    <cellStyle name="Cella collegata" xfId="210"/>
    <cellStyle name="Cella da controllare" xfId="211"/>
    <cellStyle name="Check Cell" xfId="212"/>
    <cellStyle name="Chybn?" xfId="213"/>
    <cellStyle name="Chybně" xfId="214"/>
    <cellStyle name="Cím" xfId="215"/>
    <cellStyle name="Címsor 1" xfId="216"/>
    <cellStyle name="Címsor 2" xfId="217"/>
    <cellStyle name="Címsor 3" xfId="218"/>
    <cellStyle name="Címsor 3 2" xfId="219"/>
    <cellStyle name="Címsor 3 2 2" xfId="220"/>
    <cellStyle name="Címsor 3 2 2 2" xfId="221"/>
    <cellStyle name="Címsor 3 2 3" xfId="222"/>
    <cellStyle name="Címsor 3 3" xfId="223"/>
    <cellStyle name="Címsor 3 3 2" xfId="224"/>
    <cellStyle name="Címsor 3 4" xfId="225"/>
    <cellStyle name="Címsor 4" xfId="226"/>
    <cellStyle name="Colore 1" xfId="227"/>
    <cellStyle name="Colore 2" xfId="228"/>
    <cellStyle name="Colore 3" xfId="229"/>
    <cellStyle name="Colore 4" xfId="230"/>
    <cellStyle name="Colore 5" xfId="231"/>
    <cellStyle name="Colore 6" xfId="232"/>
    <cellStyle name="Currency_1.1" xfId="10"/>
    <cellStyle name="Data" xfId="233"/>
    <cellStyle name="Dateneingabe" xfId="234"/>
    <cellStyle name="Dezimal [0] 2" xfId="235"/>
    <cellStyle name="données" xfId="28"/>
    <cellStyle name="donnéesbord" xfId="29"/>
    <cellStyle name="Eigenschaft" xfId="236"/>
    <cellStyle name="Ellen?rz?cella" xfId="237"/>
    <cellStyle name="Ellenőrzőcella" xfId="238"/>
    <cellStyle name="Euro" xfId="2"/>
    <cellStyle name="Euro 2" xfId="239"/>
    <cellStyle name="Euro 3" xfId="240"/>
    <cellStyle name="Exp" xfId="241"/>
    <cellStyle name="Explanatory Text" xfId="242"/>
    <cellStyle name="External" xfId="243"/>
    <cellStyle name="Figyelmeztetés" xfId="244"/>
    <cellStyle name="GenC" xfId="245"/>
    <cellStyle name="GenR" xfId="246"/>
    <cellStyle name="Good" xfId="247"/>
    <cellStyle name="heading" xfId="248"/>
    <cellStyle name="Heading 1" xfId="249"/>
    <cellStyle name="Heading 2" xfId="250"/>
    <cellStyle name="Heading 3" xfId="251"/>
    <cellStyle name="Heading 3 2" xfId="252"/>
    <cellStyle name="Heading 3 2 2" xfId="253"/>
    <cellStyle name="Heading 3 2 2 2" xfId="254"/>
    <cellStyle name="Heading 3 2 3" xfId="255"/>
    <cellStyle name="Heading 3 3" xfId="256"/>
    <cellStyle name="Heading 3 3 2" xfId="257"/>
    <cellStyle name="Heading 3 4" xfId="258"/>
    <cellStyle name="Heading 4" xfId="259"/>
    <cellStyle name="Hivatkozott cella" xfId="260"/>
    <cellStyle name="Input" xfId="261"/>
    <cellStyle name="itmln" xfId="262"/>
    <cellStyle name="Jegyzet" xfId="263"/>
    <cellStyle name="Jelöl?szín (1)" xfId="264"/>
    <cellStyle name="Jelöl?szín (2)" xfId="265"/>
    <cellStyle name="Jelöl?szín (3)" xfId="266"/>
    <cellStyle name="Jelöl?szín (4)" xfId="267"/>
    <cellStyle name="Jelöl?szín (5)" xfId="268"/>
    <cellStyle name="Jelöl?szín (6)" xfId="269"/>
    <cellStyle name="Jelölőszín (1)" xfId="270"/>
    <cellStyle name="Jelölőszín (2)" xfId="271"/>
    <cellStyle name="Jelölőszín (3)" xfId="272"/>
    <cellStyle name="Jelölőszín (4)" xfId="273"/>
    <cellStyle name="Jelölőszín (5)" xfId="274"/>
    <cellStyle name="Jelölőszín (6)" xfId="275"/>
    <cellStyle name="Jó" xfId="276"/>
    <cellStyle name="Kimenet" xfId="277"/>
    <cellStyle name="Komma 10" xfId="278"/>
    <cellStyle name="Komma 11" xfId="279"/>
    <cellStyle name="Komma 2" xfId="3"/>
    <cellStyle name="Komma 2 2" xfId="280"/>
    <cellStyle name="Komma 3" xfId="12"/>
    <cellStyle name="Komma 3 2" xfId="281"/>
    <cellStyle name="Komma 4" xfId="282"/>
    <cellStyle name="Komma 5" xfId="283"/>
    <cellStyle name="Komma 6" xfId="284"/>
    <cellStyle name="Komma 6 2" xfId="285"/>
    <cellStyle name="Komma 6 3" xfId="286"/>
    <cellStyle name="Komma 7" xfId="287"/>
    <cellStyle name="Komma 7 2" xfId="288"/>
    <cellStyle name="Komma 7 3" xfId="289"/>
    <cellStyle name="Komma 8" xfId="290"/>
    <cellStyle name="Komma 8 2" xfId="291"/>
    <cellStyle name="Komma 8 2 2" xfId="292"/>
    <cellStyle name="Komma 8 2 2 2" xfId="293"/>
    <cellStyle name="Komma 8 2 2 3" xfId="294"/>
    <cellStyle name="Komma 8 2 2 3 2" xfId="295"/>
    <cellStyle name="Komma 8 2 2 3 3" xfId="296"/>
    <cellStyle name="Komma 8 2 2 3 3 2" xfId="297"/>
    <cellStyle name="Komma 8 2 2 3 3 2 2" xfId="298"/>
    <cellStyle name="Komma 8 2 2 3 3 2 2 2" xfId="299"/>
    <cellStyle name="Komma 8 2 2 3 3 2 2 2 2" xfId="300"/>
    <cellStyle name="Komma 8 2 2 3 3 2 2 2 2 2" xfId="301"/>
    <cellStyle name="Komma 8 2 2 3 3 2 2 2 2 2 2" xfId="302"/>
    <cellStyle name="Komma 8 2 2 3 3 2 2 2 2 2 2 2" xfId="303"/>
    <cellStyle name="Komma 8 2 2 3 3 2 2 2 2 2 2 2 2" xfId="304"/>
    <cellStyle name="Komma 8 2 2 3 3 2 2 2 2 2 2 2 2 2" xfId="305"/>
    <cellStyle name="Komma 8 2 2 3 3 2 2 2 2 2 2 2 2 2 2" xfId="306"/>
    <cellStyle name="Komma 8 2 2 3 3 2 2 2 2 2 2 2 2 2 2 2" xfId="307"/>
    <cellStyle name="Komma 8 2 2 3 3 2 2 2 2 2 2 2 2 2 2 2 2" xfId="308"/>
    <cellStyle name="Komma 8 2 2 3 3 2 2 2 2 2 2 2 2 2 2 2 2 2" xfId="309"/>
    <cellStyle name="Komma 8 2 2 3 3 2 2 2 2 2 2 2 2 2 2 2 2 2 2" xfId="310"/>
    <cellStyle name="Komma 8 2 2 3 3 2 2 2 2 2 2 2 2 2 2 2 2 2 2 2" xfId="311"/>
    <cellStyle name="Komma 8 2 2 3 3 2 2 2 2 2 2 2 2 2 2 2 2 2 2 2 2" xfId="312"/>
    <cellStyle name="Komma 8 2 2 3 3 2 2 2 2 2 2 2 2 2 2 2 2 2 2 2 2 2" xfId="313"/>
    <cellStyle name="Komma 8 2 2 3 3 2 2 2 2 2 2 2 2 2 2 2 2 2 2 2 2 2 2" xfId="314"/>
    <cellStyle name="Komma 8 2 2 3 3 2 2 2 2 2 2 2 2 2 2 2 2 2 2 2 2 2 2 2" xfId="315"/>
    <cellStyle name="Komma 8 2 2 3 3 2 2 2 2 2 2 2 2 2 2 2 2 2 2 2 2 2 2 2 2" xfId="316"/>
    <cellStyle name="Komma 8 2 2 3 3 2 2 2 2 2 2 2 2 2 2 2 2 2 2 2 2 2 2 2 2 2" xfId="317"/>
    <cellStyle name="Komma 8 2 2 3 3 2 2 2 2 2 2 2 2 2 2 2 2 2 2 2 2 2 2 2 2 2 2" xfId="318"/>
    <cellStyle name="Komma 8 2 2 3 3 2 2 2 2 2 2 2 2 2 2 2 2 2 2 2 2 2 2 2 2 2 2 2" xfId="319"/>
    <cellStyle name="Komma 8 3" xfId="320"/>
    <cellStyle name="Komma 9" xfId="321"/>
    <cellStyle name="Komma 9 2" xfId="322"/>
    <cellStyle name="Kontrolní bu?ka" xfId="323"/>
    <cellStyle name="Kontrolní buňka" xfId="324"/>
    <cellStyle name="KPMG Heading 1" xfId="325"/>
    <cellStyle name="KPMG Heading 2" xfId="326"/>
    <cellStyle name="KPMG Heading 3" xfId="327"/>
    <cellStyle name="KPMG Heading 4" xfId="328"/>
    <cellStyle name="KPMG Normal" xfId="329"/>
    <cellStyle name="KPMG Normal Text" xfId="330"/>
    <cellStyle name="KPMG Normal_Überschlägige Impairmentrechnung MFP 13012011" xfId="331"/>
    <cellStyle name="Linked Cell" xfId="332"/>
    <cellStyle name="Magyarázó szöveg" xfId="333"/>
    <cellStyle name="Mesi" xfId="334"/>
    <cellStyle name="Migliaia (,0)" xfId="335"/>
    <cellStyle name="Migliaia (+0)" xfId="336"/>
    <cellStyle name="Migliaia (0)_Amm.to Cespiti esistenti" xfId="337"/>
    <cellStyle name="Money" xfId="338"/>
    <cellStyle name="Money0" xfId="339"/>
    <cellStyle name="Nadpis 1" xfId="340"/>
    <cellStyle name="Nadpis 2" xfId="341"/>
    <cellStyle name="Nadpis 3" xfId="342"/>
    <cellStyle name="Nadpis 3 2" xfId="343"/>
    <cellStyle name="Nadpis 3 2 2" xfId="344"/>
    <cellStyle name="Nadpis 3 2 2 2" xfId="345"/>
    <cellStyle name="Nadpis 3 2 3" xfId="346"/>
    <cellStyle name="Nadpis 3 3" xfId="347"/>
    <cellStyle name="Nadpis 3 3 2" xfId="348"/>
    <cellStyle name="Nadpis 3 4" xfId="349"/>
    <cellStyle name="Nadpis 4" xfId="350"/>
    <cellStyle name="Název" xfId="351"/>
    <cellStyle name="Neutrale" xfId="352"/>
    <cellStyle name="Neutrální" xfId="353"/>
    <cellStyle name="Non_definito" xfId="354"/>
    <cellStyle name="Normal - Style1" xfId="355"/>
    <cellStyle name="Normal 2" xfId="30"/>
    <cellStyle name="Normal 3" xfId="31"/>
    <cellStyle name="Normal_010308 BPlan e valutazione" xfId="356"/>
    <cellStyle name="Normale_Bp_Last2000" xfId="357"/>
    <cellStyle name="normální_List1" xfId="358"/>
    <cellStyle name="Nota" xfId="359"/>
    <cellStyle name="Note" xfId="360"/>
    <cellStyle name="notes" xfId="32"/>
    <cellStyle name="Notiz 2" xfId="13"/>
    <cellStyle name="Notiz 2 2" xfId="19"/>
    <cellStyle name="Notiz 2 3" xfId="23"/>
    <cellStyle name="Num2" xfId="361"/>
    <cellStyle name="Num3" xfId="362"/>
    <cellStyle name="Num4" xfId="363"/>
    <cellStyle name="NumC" xfId="364"/>
    <cellStyle name="Objektname" xfId="365"/>
    <cellStyle name="Összesen" xfId="366"/>
    <cellStyle name="Output" xfId="367"/>
    <cellStyle name="Pct" xfId="368"/>
    <cellStyle name="Pct2" xfId="369"/>
    <cellStyle name="Pct3" xfId="370"/>
    <cellStyle name="Percent (,0)" xfId="371"/>
    <cellStyle name="Percent (,00)" xfId="372"/>
    <cellStyle name="Percent (,0000)" xfId="373"/>
    <cellStyle name="Percentuale (0,00%)" xfId="374"/>
    <cellStyle name="Poznámka" xfId="375"/>
    <cellStyle name="Propojená bu?ka" xfId="376"/>
    <cellStyle name="Propojená buňka" xfId="377"/>
    <cellStyle name="Prozent" xfId="16" builtinId="5"/>
    <cellStyle name="Prozent 2" xfId="18"/>
    <cellStyle name="Prozent 2 2" xfId="378"/>
    <cellStyle name="Prozent 3" xfId="38"/>
    <cellStyle name="Prozent 3 2" xfId="379"/>
    <cellStyle name="Prozent 4" xfId="40"/>
    <cellStyle name="Prozent 5" xfId="42"/>
    <cellStyle name="Prozent 5 2" xfId="47"/>
    <cellStyle name="Prozent 5 2 2" xfId="563"/>
    <cellStyle name="Prozent 6" xfId="44"/>
    <cellStyle name="Prozent 6 2" xfId="49"/>
    <cellStyle name="Prozent 6 2 2" xfId="565"/>
    <cellStyle name="Rossz" xfId="380"/>
    <cellStyle name="SAPBEXaggData" xfId="381"/>
    <cellStyle name="SAPBEXaggData 2" xfId="382"/>
    <cellStyle name="SAPBEXaggDataEmph" xfId="383"/>
    <cellStyle name="SAPBEXaggDataEmph 2" xfId="384"/>
    <cellStyle name="SAPBEXaggItem" xfId="385"/>
    <cellStyle name="SAPBEXaggItem 2" xfId="386"/>
    <cellStyle name="SAPBEXaggItemX" xfId="387"/>
    <cellStyle name="SAPBEXchaText" xfId="388"/>
    <cellStyle name="SAPBEXchaText 2" xfId="389"/>
    <cellStyle name="SAPBEXexcBad7" xfId="390"/>
    <cellStyle name="SAPBEXexcBad7 2" xfId="391"/>
    <cellStyle name="SAPBEXexcBad8" xfId="392"/>
    <cellStyle name="SAPBEXexcBad8 2" xfId="393"/>
    <cellStyle name="SAPBEXexcBad9" xfId="394"/>
    <cellStyle name="SAPBEXexcBad9 2" xfId="395"/>
    <cellStyle name="SAPBEXexcCritical4" xfId="396"/>
    <cellStyle name="SAPBEXexcCritical4 2" xfId="397"/>
    <cellStyle name="SAPBEXexcCritical5" xfId="398"/>
    <cellStyle name="SAPBEXexcCritical5 2" xfId="399"/>
    <cellStyle name="SAPBEXexcCritical6" xfId="400"/>
    <cellStyle name="SAPBEXexcCritical6 2" xfId="401"/>
    <cellStyle name="SAPBEXexcGood1" xfId="402"/>
    <cellStyle name="SAPBEXexcGood1 2" xfId="403"/>
    <cellStyle name="SAPBEXexcGood2" xfId="404"/>
    <cellStyle name="SAPBEXexcGood2 2" xfId="405"/>
    <cellStyle name="SAPBEXexcGood3" xfId="406"/>
    <cellStyle name="SAPBEXexcGood3 2" xfId="407"/>
    <cellStyle name="SAPBEXfilterDrill" xfId="408"/>
    <cellStyle name="SAPBEXfilterDrill 2" xfId="409"/>
    <cellStyle name="SAPBEXfilterItem" xfId="410"/>
    <cellStyle name="SAPBEXfilterItem 2" xfId="411"/>
    <cellStyle name="SAPBEXfilterText" xfId="412"/>
    <cellStyle name="SAPBEXfilterText 2" xfId="413"/>
    <cellStyle name="SAPBEXformats" xfId="414"/>
    <cellStyle name="SAPBEXformats 2" xfId="415"/>
    <cellStyle name="SAPBEXheaderItem" xfId="416"/>
    <cellStyle name="SAPBEXheaderItem 2" xfId="417"/>
    <cellStyle name="SAPBEXheaderText" xfId="418"/>
    <cellStyle name="SAPBEXheaderText 2" xfId="419"/>
    <cellStyle name="SAPBEXHLevel0" xfId="420"/>
    <cellStyle name="SAPBEXHLevel0X" xfId="421"/>
    <cellStyle name="SAPBEXHLevel1" xfId="422"/>
    <cellStyle name="SAPBEXHLevel1X" xfId="423"/>
    <cellStyle name="SAPBEXHLevel2" xfId="424"/>
    <cellStyle name="SAPBEXHLevel2X" xfId="425"/>
    <cellStyle name="SAPBEXHLevel3" xfId="426"/>
    <cellStyle name="SAPBEXHLevel3X" xfId="427"/>
    <cellStyle name="SAPBEXresData" xfId="428"/>
    <cellStyle name="SAPBEXresData 2" xfId="429"/>
    <cellStyle name="SAPBEXresDataEmph" xfId="430"/>
    <cellStyle name="SAPBEXresDataEmph 2" xfId="431"/>
    <cellStyle name="SAPBEXresItem" xfId="432"/>
    <cellStyle name="SAPBEXresItem 2" xfId="433"/>
    <cellStyle name="SAPBEXresItemX" xfId="434"/>
    <cellStyle name="SAPBEXstdData" xfId="435"/>
    <cellStyle name="SAPBEXstdData 2" xfId="436"/>
    <cellStyle name="SAPBEXstdDataEmph" xfId="437"/>
    <cellStyle name="SAPBEXstdDataEmph 2" xfId="438"/>
    <cellStyle name="SAPBEXstdItem" xfId="439"/>
    <cellStyle name="SAPBEXstdItem 2" xfId="440"/>
    <cellStyle name="SAPBEXstdItemX" xfId="441"/>
    <cellStyle name="SAPBEXtitle" xfId="442"/>
    <cellStyle name="SAPBEXtitle 2" xfId="443"/>
    <cellStyle name="SAPBEXundefined" xfId="444"/>
    <cellStyle name="SAPBEXundefined 2" xfId="445"/>
    <cellStyle name="SEM-BPS-data" xfId="446"/>
    <cellStyle name="SEM-BPS-head" xfId="447"/>
    <cellStyle name="SEM-BPS-headdata" xfId="448"/>
    <cellStyle name="SEM-BPS-headkey" xfId="449"/>
    <cellStyle name="SEM-BPS-input-on" xfId="450"/>
    <cellStyle name="SEM-BPS-key" xfId="451"/>
    <cellStyle name="SEM-BPS-sub1" xfId="452"/>
    <cellStyle name="SEM-BPS-sub2" xfId="453"/>
    <cellStyle name="SEM-BPS-total" xfId="454"/>
    <cellStyle name="semestre" xfId="33"/>
    <cellStyle name="Semleges" xfId="455"/>
    <cellStyle name="Správn?" xfId="456"/>
    <cellStyle name="Správně" xfId="457"/>
    <cellStyle name="Standard" xfId="0" builtinId="0"/>
    <cellStyle name="Standard 10" xfId="39"/>
    <cellStyle name="Standard 10 2" xfId="458"/>
    <cellStyle name="Standard 10 3" xfId="459"/>
    <cellStyle name="Standard 11" xfId="41"/>
    <cellStyle name="Standard 11 2" xfId="45"/>
    <cellStyle name="Standard 11 2 2" xfId="568"/>
    <cellStyle name="Standard 11 3" xfId="46"/>
    <cellStyle name="Standard 11 3 2" xfId="562"/>
    <cellStyle name="Standard 12" xfId="43"/>
    <cellStyle name="Standard 12 2" xfId="48"/>
    <cellStyle name="Standard 12 2 2" xfId="460"/>
    <cellStyle name="Standard 12 2 3" xfId="564"/>
    <cellStyle name="Standard 12 3" xfId="461"/>
    <cellStyle name="Standard 12 4" xfId="462"/>
    <cellStyle name="Standard 13" xfId="463"/>
    <cellStyle name="Standard 13 2" xfId="464"/>
    <cellStyle name="Standard 13 3" xfId="465"/>
    <cellStyle name="Standard 14" xfId="466"/>
    <cellStyle name="Standard 14 2" xfId="467"/>
    <cellStyle name="Standard 14 3" xfId="468"/>
    <cellStyle name="Standard 15" xfId="469"/>
    <cellStyle name="Standard 15 2" xfId="470"/>
    <cellStyle name="Standard 16" xfId="471"/>
    <cellStyle name="Standard 17" xfId="472"/>
    <cellStyle name="Standard 18" xfId="473"/>
    <cellStyle name="Standard 19" xfId="474"/>
    <cellStyle name="Standard 2" xfId="7"/>
    <cellStyle name="Standard 2 2" xfId="8"/>
    <cellStyle name="Standard 2 2 2" xfId="475"/>
    <cellStyle name="Standard 2 2 3" xfId="476"/>
    <cellStyle name="Standard 2 3" xfId="477"/>
    <cellStyle name="Standard 2 3 2" xfId="478"/>
    <cellStyle name="Standard 2 4" xfId="479"/>
    <cellStyle name="Standard 2 5" xfId="480"/>
    <cellStyle name="Standard 2 6" xfId="481"/>
    <cellStyle name="Standard 20" xfId="482"/>
    <cellStyle name="Standard 20 2" xfId="483"/>
    <cellStyle name="Standard 21" xfId="484"/>
    <cellStyle name="Standard 21 2" xfId="485"/>
    <cellStyle name="Standard 22" xfId="486"/>
    <cellStyle name="Standard 23" xfId="487"/>
    <cellStyle name="Standard 24" xfId="488"/>
    <cellStyle name="Standard 24 2" xfId="50"/>
    <cellStyle name="Standard 25" xfId="489"/>
    <cellStyle name="Standard 26" xfId="490"/>
    <cellStyle name="Standard 27" xfId="491"/>
    <cellStyle name="Standard 28" xfId="492"/>
    <cellStyle name="Standard 29" xfId="493"/>
    <cellStyle name="Standard 3" xfId="9"/>
    <cellStyle name="Standard 3 2" xfId="15"/>
    <cellStyle name="Standard 3 2 2" xfId="21"/>
    <cellStyle name="Standard 3 2 3" xfId="25"/>
    <cellStyle name="Standard 3 3" xfId="20"/>
    <cellStyle name="Standard 3 4" xfId="24"/>
    <cellStyle name="Standard 30" xfId="494"/>
    <cellStyle name="Standard 30 2" xfId="495"/>
    <cellStyle name="Standard 31" xfId="496"/>
    <cellStyle name="Standard 32" xfId="566"/>
    <cellStyle name="Standard 33" xfId="567"/>
    <cellStyle name="Standard 4" xfId="11"/>
    <cellStyle name="Standard 4 2" xfId="497"/>
    <cellStyle name="Standard 4 3" xfId="498"/>
    <cellStyle name="Standard 4 3 2" xfId="499"/>
    <cellStyle name="Standard 4 4" xfId="500"/>
    <cellStyle name="Standard 4 5" xfId="501"/>
    <cellStyle name="Standard 4 6" xfId="502"/>
    <cellStyle name="Standard 4 6 2" xfId="503"/>
    <cellStyle name="Standard 5" xfId="14"/>
    <cellStyle name="Standard 6" xfId="17"/>
    <cellStyle name="Standard 6 2" xfId="26"/>
    <cellStyle name="Standard 7" xfId="22"/>
    <cellStyle name="Standard 7 2" xfId="504"/>
    <cellStyle name="Standard 8" xfId="36"/>
    <cellStyle name="Standard 8 2" xfId="505"/>
    <cellStyle name="Standard 9" xfId="37"/>
    <cellStyle name="Standard 9 2" xfId="506"/>
    <cellStyle name="Standard_Übersicht 24" xfId="6"/>
    <cellStyle name="Standard_UE-01-02" xfId="1"/>
    <cellStyle name="Standard_UE-03-04" xfId="4"/>
    <cellStyle name="Standard_UE-06" xfId="5"/>
    <cellStyle name="Stil 1" xfId="507"/>
    <cellStyle name="Stil 2" xfId="508"/>
    <cellStyle name="Style 21" xfId="509"/>
    <cellStyle name="Style 22" xfId="510"/>
    <cellStyle name="Style 23" xfId="511"/>
    <cellStyle name="Style 24" xfId="512"/>
    <cellStyle name="Style 25" xfId="513"/>
    <cellStyle name="Style 26" xfId="514"/>
    <cellStyle name="SubTotal" xfId="515"/>
    <cellStyle name="Számítás" xfId="516"/>
    <cellStyle name="Tab_kopf" xfId="517"/>
    <cellStyle name="Testo avviso" xfId="518"/>
    <cellStyle name="Testo descrittivo" xfId="519"/>
    <cellStyle name="tête chapitre" xfId="34"/>
    <cellStyle name="Text upozorn?ní" xfId="520"/>
    <cellStyle name="Text upozornění" xfId="521"/>
    <cellStyle name="Title" xfId="522"/>
    <cellStyle name="Titolo" xfId="523"/>
    <cellStyle name="Titolo 1" xfId="524"/>
    <cellStyle name="Titolo 2" xfId="525"/>
    <cellStyle name="Titolo 3" xfId="526"/>
    <cellStyle name="Titolo 3 2" xfId="527"/>
    <cellStyle name="Titolo 3 2 2" xfId="528"/>
    <cellStyle name="Titolo 3 2 2 2" xfId="529"/>
    <cellStyle name="Titolo 3 2 3" xfId="530"/>
    <cellStyle name="Titolo 3 3" xfId="531"/>
    <cellStyle name="Titolo 3 3 2" xfId="532"/>
    <cellStyle name="Titolo 3 4" xfId="533"/>
    <cellStyle name="Titolo 4" xfId="534"/>
    <cellStyle name="titre" xfId="35"/>
    <cellStyle name="Total" xfId="535"/>
    <cellStyle name="Totale" xfId="536"/>
    <cellStyle name="Ueberschrift Haupt" xfId="537"/>
    <cellStyle name="Ueberschrift Unterk" xfId="538"/>
    <cellStyle name="Valore non valido" xfId="539"/>
    <cellStyle name="Valore valido" xfId="540"/>
    <cellStyle name="Valuta (0)_Amm.to Cespiti esistenti" xfId="541"/>
    <cellStyle name="Vstup" xfId="542"/>
    <cellStyle name="Výpo?et" xfId="543"/>
    <cellStyle name="Výpočet" xfId="544"/>
    <cellStyle name="Výstup" xfId="545"/>
    <cellStyle name="Vysv?tlující text" xfId="546"/>
    <cellStyle name="Vysvětlující text" xfId="547"/>
    <cellStyle name="Warning Text" xfId="548"/>
    <cellStyle name="Weiss" xfId="549"/>
    <cellStyle name="Zvýrazn?ní 1" xfId="550"/>
    <cellStyle name="Zvýrazn?ní 2" xfId="551"/>
    <cellStyle name="Zvýrazn?ní 3" xfId="552"/>
    <cellStyle name="Zvýrazn?ní 4" xfId="553"/>
    <cellStyle name="Zvýrazn?ní 5" xfId="554"/>
    <cellStyle name="Zvýrazn?ní 6" xfId="555"/>
    <cellStyle name="Zvýraznění 1" xfId="556"/>
    <cellStyle name="Zvýraznění 2" xfId="557"/>
    <cellStyle name="Zvýraznění 3" xfId="558"/>
    <cellStyle name="Zvýraznění 4" xfId="559"/>
    <cellStyle name="Zvýraznění 5" xfId="560"/>
    <cellStyle name="Zvýraznění 6" xfId="5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externalLink" Target="externalLinks/externalLink9.xml"/><Relationship Id="rId50" Type="http://schemas.openxmlformats.org/officeDocument/2006/relationships/externalLink" Target="externalLinks/externalLink12.xml"/><Relationship Id="rId55" Type="http://schemas.openxmlformats.org/officeDocument/2006/relationships/externalLink" Target="externalLinks/externalLink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8.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3.xml"/><Relationship Id="rId54"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externalLink" Target="externalLinks/externalLink7.xml"/><Relationship Id="rId53" Type="http://schemas.openxmlformats.org/officeDocument/2006/relationships/externalLink" Target="externalLinks/externalLink15.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1.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6.xml"/><Relationship Id="rId52" Type="http://schemas.openxmlformats.org/officeDocument/2006/relationships/externalLink" Target="externalLinks/externalLink14.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5.xml"/><Relationship Id="rId48" Type="http://schemas.openxmlformats.org/officeDocument/2006/relationships/externalLink" Target="externalLinks/externalLink10.xml"/><Relationship Id="rId56" Type="http://schemas.openxmlformats.org/officeDocument/2006/relationships/externalLink" Target="externalLinks/externalLink18.xml"/><Relationship Id="rId8" Type="http://schemas.openxmlformats.org/officeDocument/2006/relationships/worksheet" Target="worksheets/sheet8.xml"/><Relationship Id="rId51" Type="http://schemas.openxmlformats.org/officeDocument/2006/relationships/externalLink" Target="externalLinks/externalLink13.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Eigene%20Dateien/Rahmenplan/RP%202007-2012/2007-01-24/2007-01-24-Fortschreibung%20R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Dokumente%20und%20Einstellungen/z418553.BAUAG/Lokale%20Einstellungen/Temporary%20Internet%20Files/OLK40/Plan%20IFRS%20Konjunkturbelebung%2004_11_08%20Impairmen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176%20E&amp;Y%20Ragusa/analisi%20finanziaria%20%20Italia/GENNAIO%20FEBBRAIO%202008%20-%20(DRAFT)/ESTRAPOLAZIONE%20PER%20BERGMEISTER%2011.02.2008/BBT%20-%20Piano%20dei%20Flussi%2016-01-200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1999/Aufarbeitung/1999/&#220;VO-GES-HL-AG(aktu99).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2010-05-lfd-Fortschreibung%20R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KUME~1/z259494/LOKALE~1/Temp/xSAPtemp547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TEMP/LANGZEI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EN/EXCEL/CONTROL/PERSONAL/BASISZAH/AKTIVIT&#196;/LANGZEIT.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Controlling/Kendler/INFRA/Zuschussvertrag/BDOWIEN-%23491808-v2-pb311220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Controlling/Kendler/INFRA/2010/MoU/Szenario%203e%2013092010%20Einsparungsvorgabe_Bun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kumente%20und%20Einstellungen/z259482.BAUAG/Lokale%20Einstellungen/Temporary%20Internet%20Files/OLK389/CF%20Plan%202006_Ist_bis_0706inkl%20BE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Dokumente%20und%20Einstellungen/z259482.BAUAG/Lokale%20Einstellungen/Temporary%20Internet%20Files/OLK389/CF%20Plan%202006_Ist_bis_0706inkl%20BE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kumente%20und%20Einstellungen/z211481/Lokale%20Einstellungen/Temporary%20Internet%20Files/OLK1A/Bewertung%20TB%20NT_BB%2031122006_FINAL%2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ontrolling/Neuhofer/2.%20Finanzplanung/Aktuell/Zinsrisiko-ohneIntern_3103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s399el9\matthae$\1999\Aufarbeitung\1999\&#220;VO-GES-HL-AG(aktu9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s399el9\matthae$\Eigene%20Dateien\Rahmenplan\RP%202007-2012\2007-01-24\2007-01-24-Fortschreibung%20R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dolf_Dietl/Reporting/Profitcenter_Ergebnis_8900_04-2009_Konzern.I1XL_Expor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sheetName val="MoU2008"/>
      <sheetName val="AfA"/>
      <sheetName val="Investitionen"/>
      <sheetName val="ALV_KB"/>
      <sheetName val="TabelleMoU"/>
      <sheetName val="DG_Ergebnis"/>
      <sheetName val="DG_ NEG_§43_AfA_Zinsen"/>
      <sheetName val="DG_LFVermögen_Finanzvbdlk"/>
      <sheetName val="DG_Rahmenplan"/>
      <sheetName val="DG_EK"/>
      <sheetName val="DatenDG"/>
      <sheetName val="Finanzerfolg (2)"/>
      <sheetName val="Finanzerfolg"/>
      <sheetName val="Plan (2)"/>
      <sheetName val="RFBILA"/>
      <sheetName val="RFBilaIFRS"/>
      <sheetName val="PosPlanBilanzI1"/>
      <sheetName val="PosPlanGuVI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2">
          <cell r="A2">
            <v>1101110</v>
          </cell>
          <cell r="B2" t="str">
            <v/>
          </cell>
          <cell r="C2" t="str">
            <v>5,1</v>
          </cell>
          <cell r="D2">
            <v>9088589569.6700001</v>
          </cell>
          <cell r="E2">
            <v>8645188228.1000004</v>
          </cell>
          <cell r="F2">
            <v>443401341.56999999</v>
          </cell>
          <cell r="G2">
            <v>9088.5895696700009</v>
          </cell>
        </row>
        <row r="3">
          <cell r="A3">
            <v>1101120</v>
          </cell>
          <cell r="B3" t="str">
            <v/>
          </cell>
          <cell r="C3" t="str">
            <v>0,6-</v>
          </cell>
          <cell r="D3">
            <v>-3663477570.9499998</v>
          </cell>
          <cell r="E3">
            <v>-3641477196.3699999</v>
          </cell>
          <cell r="F3">
            <v>-22000374.579999998</v>
          </cell>
          <cell r="G3">
            <v>-3663.47757095</v>
          </cell>
        </row>
        <row r="4">
          <cell r="A4">
            <v>1101130</v>
          </cell>
          <cell r="B4" t="str">
            <v/>
          </cell>
          <cell r="C4" t="str">
            <v>83,3-</v>
          </cell>
          <cell r="D4">
            <v>3818952.32</v>
          </cell>
          <cell r="E4">
            <v>22856012.370000001</v>
          </cell>
          <cell r="F4">
            <v>-19037060.050000001</v>
          </cell>
          <cell r="G4">
            <v>3.8189523199999997</v>
          </cell>
        </row>
        <row r="5">
          <cell r="A5">
            <v>1101211</v>
          </cell>
          <cell r="B5" t="str">
            <v/>
          </cell>
          <cell r="C5" t="str">
            <v>22,7-</v>
          </cell>
          <cell r="D5">
            <v>2579348.41</v>
          </cell>
          <cell r="E5">
            <v>3335895.56</v>
          </cell>
          <cell r="F5">
            <v>-756547.15</v>
          </cell>
          <cell r="G5">
            <v>2.5793484100000001</v>
          </cell>
        </row>
        <row r="6">
          <cell r="A6">
            <v>1101212</v>
          </cell>
          <cell r="B6" t="str">
            <v/>
          </cell>
          <cell r="C6" t="str">
            <v>21,8</v>
          </cell>
          <cell r="D6">
            <v>-2092688.8</v>
          </cell>
          <cell r="E6">
            <v>-2676508.7599999998</v>
          </cell>
          <cell r="F6">
            <v>583819.96</v>
          </cell>
          <cell r="G6">
            <v>-2.0926887999999999</v>
          </cell>
        </row>
        <row r="7">
          <cell r="A7">
            <v>1101210</v>
          </cell>
          <cell r="B7" t="str">
            <v/>
          </cell>
          <cell r="C7" t="str">
            <v>26,2-</v>
          </cell>
          <cell r="D7">
            <v>486659.61</v>
          </cell>
          <cell r="E7">
            <v>659386.80000000005</v>
          </cell>
          <cell r="F7">
            <v>-172727.19</v>
          </cell>
          <cell r="G7">
            <v>0.48665960999999996</v>
          </cell>
        </row>
        <row r="8">
          <cell r="A8">
            <v>1101221</v>
          </cell>
          <cell r="B8" t="str">
            <v/>
          </cell>
          <cell r="C8" t="str">
            <v>6,7</v>
          </cell>
          <cell r="D8">
            <v>2710583210.7600002</v>
          </cell>
          <cell r="E8">
            <v>2541184691.96</v>
          </cell>
          <cell r="F8">
            <v>169398518.80000001</v>
          </cell>
          <cell r="G8">
            <v>2710.5832107600004</v>
          </cell>
        </row>
        <row r="9">
          <cell r="A9">
            <v>1101222</v>
          </cell>
          <cell r="B9" t="str">
            <v/>
          </cell>
          <cell r="C9" t="str">
            <v>0,9</v>
          </cell>
          <cell r="D9">
            <v>-825903932.13999999</v>
          </cell>
          <cell r="E9">
            <v>-833727999.25999999</v>
          </cell>
          <cell r="F9">
            <v>7824067.1200000001</v>
          </cell>
          <cell r="G9">
            <v>-825.90393213999994</v>
          </cell>
        </row>
        <row r="10">
          <cell r="A10">
            <v>1101223</v>
          </cell>
          <cell r="B10" t="str">
            <v/>
          </cell>
          <cell r="C10" t="str">
            <v>202,7</v>
          </cell>
          <cell r="D10">
            <v>8871159.9600000009</v>
          </cell>
          <cell r="E10">
            <v>-8634659.3399999999</v>
          </cell>
          <cell r="F10">
            <v>17505819.300000001</v>
          </cell>
          <cell r="G10">
            <v>8.8711599600000017</v>
          </cell>
        </row>
        <row r="11">
          <cell r="A11">
            <v>1101220</v>
          </cell>
          <cell r="B11" t="str">
            <v/>
          </cell>
          <cell r="C11" t="str">
            <v>11,5</v>
          </cell>
          <cell r="D11">
            <v>1893550438.5799999</v>
          </cell>
          <cell r="E11">
            <v>1698822033.3599999</v>
          </cell>
          <cell r="F11">
            <v>194728405.22</v>
          </cell>
          <cell r="G11">
            <v>1893.55043858</v>
          </cell>
        </row>
        <row r="12">
          <cell r="A12">
            <v>1101310</v>
          </cell>
          <cell r="B12" t="str">
            <v/>
          </cell>
          <cell r="C12" t="str">
            <v>110,0</v>
          </cell>
          <cell r="D12">
            <v>14980385.23</v>
          </cell>
          <cell r="E12">
            <v>7132554.3600000003</v>
          </cell>
          <cell r="F12">
            <v>7847830.8700000001</v>
          </cell>
          <cell r="G12">
            <v>14.980385230000001</v>
          </cell>
        </row>
        <row r="13">
          <cell r="A13">
            <v>1101320</v>
          </cell>
          <cell r="B13" t="str">
            <v/>
          </cell>
          <cell r="C13" t="str">
            <v>29,4-</v>
          </cell>
          <cell r="D13">
            <v>-1927925.07</v>
          </cell>
          <cell r="E13">
            <v>-1490368.74</v>
          </cell>
          <cell r="F13">
            <v>-437556.33</v>
          </cell>
          <cell r="G13">
            <v>-1.9279250700000001</v>
          </cell>
        </row>
        <row r="14">
          <cell r="A14">
            <v>1101411</v>
          </cell>
          <cell r="B14" t="str">
            <v/>
          </cell>
          <cell r="C14" t="str">
            <v>17,1</v>
          </cell>
          <cell r="D14">
            <v>2726154805.4200001</v>
          </cell>
          <cell r="E14">
            <v>2327543001.5599999</v>
          </cell>
          <cell r="F14">
            <v>398611803.86000001</v>
          </cell>
          <cell r="G14">
            <v>2726.1548054200002</v>
          </cell>
        </row>
        <row r="15">
          <cell r="A15">
            <v>1101412</v>
          </cell>
          <cell r="B15" t="str">
            <v/>
          </cell>
          <cell r="C15" t="str">
            <v>9,7</v>
          </cell>
          <cell r="D15">
            <v>-688378628.66999996</v>
          </cell>
          <cell r="E15">
            <v>-762045872.49000001</v>
          </cell>
          <cell r="F15">
            <v>73667243.819999993</v>
          </cell>
          <cell r="G15">
            <v>-688.37862867000001</v>
          </cell>
        </row>
        <row r="16">
          <cell r="A16">
            <v>1101410</v>
          </cell>
          <cell r="B16" t="str">
            <v/>
          </cell>
          <cell r="C16" t="str">
            <v>30,2</v>
          </cell>
          <cell r="D16">
            <v>2037776176.75</v>
          </cell>
          <cell r="E16">
            <v>1565497129.0699999</v>
          </cell>
          <cell r="F16">
            <v>472279047.68000001</v>
          </cell>
          <cell r="G16">
            <v>2037.7761767500001</v>
          </cell>
        </row>
        <row r="17">
          <cell r="A17">
            <v>1101420</v>
          </cell>
          <cell r="B17" t="str">
            <v/>
          </cell>
          <cell r="C17" t="str">
            <v>54,9-</v>
          </cell>
          <cell r="D17">
            <v>523095.27</v>
          </cell>
          <cell r="E17">
            <v>1160563.1399999999</v>
          </cell>
          <cell r="F17">
            <v>-637467.87</v>
          </cell>
          <cell r="G17">
            <v>0.52309527</v>
          </cell>
        </row>
        <row r="18">
          <cell r="A18">
            <v>1102110</v>
          </cell>
          <cell r="B18" t="str">
            <v/>
          </cell>
          <cell r="C18" t="str">
            <v>17,8</v>
          </cell>
          <cell r="D18">
            <v>40878633.009999998</v>
          </cell>
          <cell r="E18">
            <v>34696166.399999999</v>
          </cell>
          <cell r="F18">
            <v>6182466.6100000003</v>
          </cell>
          <cell r="G18">
            <v>40.878633009999994</v>
          </cell>
        </row>
        <row r="19">
          <cell r="A19">
            <v>1102120</v>
          </cell>
          <cell r="B19" t="str">
            <v/>
          </cell>
          <cell r="C19" t="str">
            <v>5,3</v>
          </cell>
          <cell r="D19">
            <v>-26627233.449999999</v>
          </cell>
          <cell r="E19">
            <v>-28117329.739999998</v>
          </cell>
          <cell r="F19">
            <v>1490096.29</v>
          </cell>
          <cell r="G19">
            <v>-26.627233449999999</v>
          </cell>
        </row>
        <row r="20">
          <cell r="A20">
            <v>1102210</v>
          </cell>
          <cell r="B20" t="str">
            <v/>
          </cell>
          <cell r="C20" t="str">
            <v>41,2</v>
          </cell>
          <cell r="D20">
            <v>793362125.20000005</v>
          </cell>
          <cell r="E20">
            <v>562056036.76999998</v>
          </cell>
          <cell r="F20">
            <v>231306088.43000001</v>
          </cell>
          <cell r="G20">
            <v>793.36212520000004</v>
          </cell>
        </row>
        <row r="21">
          <cell r="A21">
            <v>1102220</v>
          </cell>
          <cell r="B21" t="str">
            <v/>
          </cell>
          <cell r="C21" t="str">
            <v>9,9</v>
          </cell>
          <cell r="D21">
            <v>-71245835.260000005</v>
          </cell>
          <cell r="E21">
            <v>-79112531</v>
          </cell>
          <cell r="F21">
            <v>7866695.7400000002</v>
          </cell>
          <cell r="G21">
            <v>-71.245835260000007</v>
          </cell>
        </row>
        <row r="22">
          <cell r="A22">
            <v>1106310</v>
          </cell>
          <cell r="B22" t="str">
            <v/>
          </cell>
          <cell r="C22" t="str">
            <v>20,0-</v>
          </cell>
          <cell r="D22">
            <v>888178933.53999996</v>
          </cell>
          <cell r="E22">
            <v>1110086920.9400001</v>
          </cell>
          <cell r="F22">
            <v>-221907987.40000001</v>
          </cell>
          <cell r="G22">
            <v>888.17893354</v>
          </cell>
        </row>
        <row r="23">
          <cell r="A23">
            <v>1106330</v>
          </cell>
          <cell r="B23" t="str">
            <v/>
          </cell>
          <cell r="C23" t="str">
            <v>6,0</v>
          </cell>
          <cell r="D23">
            <v>128696280.61</v>
          </cell>
          <cell r="E23">
            <v>121449383.53</v>
          </cell>
          <cell r="F23">
            <v>7246897.0800000001</v>
          </cell>
          <cell r="G23">
            <v>128.69628061</v>
          </cell>
        </row>
        <row r="24">
          <cell r="A24">
            <v>1106410</v>
          </cell>
          <cell r="B24" t="str">
            <v/>
          </cell>
          <cell r="C24" t="str">
            <v>73,6-</v>
          </cell>
          <cell r="D24">
            <v>38353850.659999996</v>
          </cell>
          <cell r="E24">
            <v>145193927.44999999</v>
          </cell>
          <cell r="F24">
            <v>-106840076.79000001</v>
          </cell>
          <cell r="G24">
            <v>38.353850659999999</v>
          </cell>
        </row>
        <row r="25">
          <cell r="A25">
            <v>1106430</v>
          </cell>
          <cell r="B25" t="str">
            <v/>
          </cell>
          <cell r="C25" t="str">
            <v>328,8</v>
          </cell>
          <cell r="D25">
            <v>10531258.189999999</v>
          </cell>
          <cell r="E25">
            <v>2456096.71</v>
          </cell>
          <cell r="F25">
            <v>8075161.4800000004</v>
          </cell>
          <cell r="G25">
            <v>10.531258189999999</v>
          </cell>
        </row>
        <row r="26">
          <cell r="A26">
            <v>1205310</v>
          </cell>
          <cell r="B26" t="str">
            <v/>
          </cell>
          <cell r="C26" t="str">
            <v>4,6</v>
          </cell>
          <cell r="D26">
            <v>59227332.759999998</v>
          </cell>
          <cell r="E26">
            <v>56620523.560000002</v>
          </cell>
          <cell r="F26">
            <v>2606809.2000000002</v>
          </cell>
          <cell r="G26">
            <v>59.227332759999996</v>
          </cell>
        </row>
        <row r="27">
          <cell r="A27">
            <v>1205330</v>
          </cell>
          <cell r="B27" t="str">
            <v/>
          </cell>
          <cell r="C27" t="str">
            <v>100,0-</v>
          </cell>
          <cell r="D27">
            <v>0</v>
          </cell>
          <cell r="E27">
            <v>5042735.6500000004</v>
          </cell>
          <cell r="F27">
            <v>-5042735.6500000004</v>
          </cell>
          <cell r="G27">
            <v>0</v>
          </cell>
        </row>
        <row r="28">
          <cell r="A28">
            <v>1205410</v>
          </cell>
          <cell r="B28" t="str">
            <v/>
          </cell>
          <cell r="C28" t="str">
            <v>2,8-</v>
          </cell>
          <cell r="D28">
            <v>18701835.84</v>
          </cell>
          <cell r="E28">
            <v>19247520.059999999</v>
          </cell>
          <cell r="F28">
            <v>-545684.22</v>
          </cell>
          <cell r="G28">
            <v>18.701835840000001</v>
          </cell>
        </row>
        <row r="29">
          <cell r="A29">
            <v>1205430</v>
          </cell>
          <cell r="B29" t="str">
            <v/>
          </cell>
          <cell r="C29" t="str">
            <v>1,2-</v>
          </cell>
          <cell r="D29">
            <v>49809153.130000003</v>
          </cell>
          <cell r="E29">
            <v>50407611.149999999</v>
          </cell>
          <cell r="F29">
            <v>-598458.02</v>
          </cell>
          <cell r="G29">
            <v>49.809153130000006</v>
          </cell>
        </row>
        <row r="30">
          <cell r="A30">
            <v>2102120</v>
          </cell>
          <cell r="B30" t="str">
            <v/>
          </cell>
          <cell r="C30" t="str">
            <v>0,0</v>
          </cell>
          <cell r="D30">
            <v>293254319.06</v>
          </cell>
          <cell r="E30">
            <v>293254319.06</v>
          </cell>
          <cell r="F30">
            <v>0</v>
          </cell>
          <cell r="G30">
            <v>293.25431906</v>
          </cell>
        </row>
        <row r="31">
          <cell r="A31">
            <v>2102210</v>
          </cell>
          <cell r="B31" t="str">
            <v/>
          </cell>
          <cell r="C31" t="str">
            <v>69,6-</v>
          </cell>
          <cell r="D31">
            <v>3090000</v>
          </cell>
          <cell r="E31">
            <v>1821646</v>
          </cell>
          <cell r="F31">
            <v>-1268354</v>
          </cell>
          <cell r="G31">
            <v>3.09</v>
          </cell>
        </row>
        <row r="32">
          <cell r="A32">
            <v>2102250</v>
          </cell>
          <cell r="B32" t="str">
            <v/>
          </cell>
          <cell r="C32" t="str">
            <v>0,0</v>
          </cell>
          <cell r="D32">
            <v>-43058627.670000002</v>
          </cell>
          <cell r="E32">
            <v>-43058627.670000002</v>
          </cell>
          <cell r="F32">
            <v>0</v>
          </cell>
          <cell r="G32">
            <v>-43.05862767</v>
          </cell>
        </row>
        <row r="33">
          <cell r="A33">
            <v>2102260</v>
          </cell>
          <cell r="B33" t="str">
            <v/>
          </cell>
          <cell r="C33" t="str">
            <v>136,7-</v>
          </cell>
          <cell r="D33">
            <v>12171045.84</v>
          </cell>
          <cell r="E33">
            <v>-33201467.579999998</v>
          </cell>
          <cell r="F33">
            <v>-45372513.420000002</v>
          </cell>
          <cell r="G33">
            <v>12.17104584</v>
          </cell>
        </row>
        <row r="34">
          <cell r="A34">
            <v>2102310</v>
          </cell>
          <cell r="B34" t="str">
            <v/>
          </cell>
          <cell r="C34" t="str">
            <v>9,1</v>
          </cell>
          <cell r="D34">
            <v>2279842.91</v>
          </cell>
          <cell r="E34">
            <v>2506930.59</v>
          </cell>
          <cell r="F34">
            <v>227087.68</v>
          </cell>
          <cell r="G34">
            <v>2.2798429100000002</v>
          </cell>
        </row>
        <row r="35">
          <cell r="A35">
            <v>2104100</v>
          </cell>
          <cell r="B35" t="str">
            <v/>
          </cell>
          <cell r="C35" t="str">
            <v>248,2-</v>
          </cell>
          <cell r="D35">
            <v>227087.68</v>
          </cell>
          <cell r="E35">
            <v>65210.26</v>
          </cell>
          <cell r="F35">
            <v>-161877.42000000001</v>
          </cell>
          <cell r="G35">
            <v>0.22708767999999999</v>
          </cell>
        </row>
        <row r="36">
          <cell r="A36">
            <v>2104500</v>
          </cell>
          <cell r="B36" t="str">
            <v/>
          </cell>
          <cell r="C36" t="str">
            <v/>
          </cell>
          <cell r="D36">
            <v>-1268354</v>
          </cell>
          <cell r="E36">
            <v>0</v>
          </cell>
          <cell r="F36">
            <v>1268354</v>
          </cell>
          <cell r="G36">
            <v>-1.268354</v>
          </cell>
        </row>
        <row r="37">
          <cell r="A37">
            <v>2104710</v>
          </cell>
          <cell r="B37" t="str">
            <v/>
          </cell>
          <cell r="C37" t="str">
            <v>141,1-</v>
          </cell>
          <cell r="D37">
            <v>83440248.989999995</v>
          </cell>
          <cell r="E37">
            <v>34611282.829999998</v>
          </cell>
          <cell r="F37">
            <v>-48828966.159999996</v>
          </cell>
          <cell r="G37">
            <v>83.440248990000001</v>
          </cell>
        </row>
        <row r="38">
          <cell r="A38">
            <v>2104700</v>
          </cell>
          <cell r="B38" t="str">
            <v/>
          </cell>
          <cell r="C38" t="str">
            <v>141,1-</v>
          </cell>
          <cell r="D38">
            <v>83440248.989999995</v>
          </cell>
          <cell r="E38">
            <v>34611282.829999998</v>
          </cell>
          <cell r="F38">
            <v>-48828966.159999996</v>
          </cell>
          <cell r="G38">
            <v>83.440248990000001</v>
          </cell>
        </row>
        <row r="39">
          <cell r="A39">
            <v>2104910</v>
          </cell>
          <cell r="B39" t="str">
            <v/>
          </cell>
          <cell r="C39" t="str">
            <v>33,6-</v>
          </cell>
          <cell r="D39">
            <v>65130383.079999998</v>
          </cell>
          <cell r="E39">
            <v>48763755.899999999</v>
          </cell>
          <cell r="F39">
            <v>-16366627.18</v>
          </cell>
          <cell r="G39">
            <v>65.130383080000001</v>
          </cell>
        </row>
        <row r="40">
          <cell r="A40">
            <v>2302410</v>
          </cell>
          <cell r="B40" t="str">
            <v/>
          </cell>
          <cell r="C40" t="str">
            <v>6,4</v>
          </cell>
          <cell r="D40">
            <v>885113034.60000002</v>
          </cell>
          <cell r="E40">
            <v>945240055.59000003</v>
          </cell>
          <cell r="F40">
            <v>60127020.990000002</v>
          </cell>
          <cell r="G40">
            <v>885.11303459999999</v>
          </cell>
        </row>
        <row r="41">
          <cell r="A41">
            <v>2302430</v>
          </cell>
          <cell r="B41" t="str">
            <v/>
          </cell>
          <cell r="C41" t="str">
            <v>0,7-</v>
          </cell>
          <cell r="D41">
            <v>137729798.86000001</v>
          </cell>
          <cell r="E41">
            <v>136718441.49000001</v>
          </cell>
          <cell r="F41">
            <v>-1011357.37</v>
          </cell>
          <cell r="G41">
            <v>137.72979886000002</v>
          </cell>
        </row>
        <row r="42">
          <cell r="A42">
            <v>2302510</v>
          </cell>
          <cell r="B42" t="str">
            <v/>
          </cell>
          <cell r="C42" t="str">
            <v>54,3</v>
          </cell>
          <cell r="D42">
            <v>362256030.73000002</v>
          </cell>
          <cell r="E42">
            <v>791852995.40999997</v>
          </cell>
          <cell r="F42">
            <v>429596964.68000001</v>
          </cell>
          <cell r="G42">
            <v>362.25603073000002</v>
          </cell>
        </row>
        <row r="43">
          <cell r="A43">
            <v>2302530</v>
          </cell>
          <cell r="B43" t="str">
            <v/>
          </cell>
          <cell r="C43" t="str">
            <v>14,5-</v>
          </cell>
          <cell r="D43">
            <v>950634478.76999998</v>
          </cell>
          <cell r="E43">
            <v>830498572.66999996</v>
          </cell>
          <cell r="F43">
            <v>-120135906.09999999</v>
          </cell>
          <cell r="G43">
            <v>950.63447876999999</v>
          </cell>
        </row>
        <row r="44">
          <cell r="A44">
            <v>2305420</v>
          </cell>
          <cell r="B44" t="str">
            <v/>
          </cell>
          <cell r="C44" t="str">
            <v>9,3</v>
          </cell>
          <cell r="D44">
            <v>54047605.100000001</v>
          </cell>
          <cell r="E44">
            <v>59580491.490000002</v>
          </cell>
          <cell r="F44">
            <v>5532886.3899999997</v>
          </cell>
          <cell r="G44">
            <v>54.047605099999998</v>
          </cell>
        </row>
        <row r="45">
          <cell r="A45">
            <v>2401410</v>
          </cell>
          <cell r="B45" t="str">
            <v/>
          </cell>
          <cell r="C45" t="str">
            <v>4,6-</v>
          </cell>
          <cell r="D45">
            <v>59227332.759999998</v>
          </cell>
          <cell r="E45">
            <v>56620523.560000002</v>
          </cell>
          <cell r="F45">
            <v>-2606809.2000000002</v>
          </cell>
          <cell r="G45">
            <v>59.227332759999996</v>
          </cell>
        </row>
        <row r="46">
          <cell r="A46">
            <v>2401510</v>
          </cell>
          <cell r="B46" t="str">
            <v/>
          </cell>
          <cell r="C46" t="str">
            <v>3,9</v>
          </cell>
          <cell r="D46">
            <v>296099540.31999999</v>
          </cell>
          <cell r="E46">
            <v>308205457.75</v>
          </cell>
          <cell r="F46">
            <v>12105917.43</v>
          </cell>
          <cell r="G46">
            <v>296.09954032000002</v>
          </cell>
        </row>
        <row r="47">
          <cell r="A47">
            <v>2401530</v>
          </cell>
          <cell r="B47" t="str">
            <v/>
          </cell>
          <cell r="C47" t="str">
            <v>0,3-</v>
          </cell>
          <cell r="D47">
            <v>107774850.31999999</v>
          </cell>
          <cell r="E47">
            <v>107501329.8</v>
          </cell>
          <cell r="F47">
            <v>-273520.52</v>
          </cell>
          <cell r="G47">
            <v>107.77485032</v>
          </cell>
        </row>
        <row r="48">
          <cell r="A48">
            <v>2404410</v>
          </cell>
          <cell r="B48" t="str">
            <v/>
          </cell>
          <cell r="C48" t="str">
            <v>145,4-</v>
          </cell>
          <cell r="D48">
            <v>18914380.760000002</v>
          </cell>
          <cell r="E48">
            <v>7708782.3300000001</v>
          </cell>
          <cell r="F48">
            <v>-11205598.43</v>
          </cell>
          <cell r="G48">
            <v>18.91438076</v>
          </cell>
        </row>
        <row r="49">
          <cell r="A49">
            <v>2404420</v>
          </cell>
          <cell r="B49" t="str">
            <v/>
          </cell>
          <cell r="C49" t="str">
            <v>2,6</v>
          </cell>
          <cell r="D49">
            <v>5722616.7699999996</v>
          </cell>
          <cell r="E49">
            <v>5874618.5599999996</v>
          </cell>
          <cell r="F49">
            <v>152001.79</v>
          </cell>
          <cell r="G49">
            <v>5.7226167699999992</v>
          </cell>
        </row>
        <row r="50">
          <cell r="A50">
            <v>3110600</v>
          </cell>
          <cell r="B50" t="str">
            <v/>
          </cell>
          <cell r="C50" t="str">
            <v>9,8-</v>
          </cell>
          <cell r="D50">
            <v>-451359430.94999999</v>
          </cell>
          <cell r="E50">
            <v>-411157859.93000001</v>
          </cell>
          <cell r="F50">
            <v>-40201571.020000003</v>
          </cell>
          <cell r="G50">
            <v>-451.35943094999999</v>
          </cell>
        </row>
        <row r="51">
          <cell r="A51">
            <v>3120100</v>
          </cell>
          <cell r="B51" t="str">
            <v/>
          </cell>
          <cell r="C51" t="str">
            <v>589.564,2-</v>
          </cell>
          <cell r="D51">
            <v>-1061035.6399999999</v>
          </cell>
          <cell r="E51">
            <v>180</v>
          </cell>
          <cell r="F51">
            <v>-1061215.6399999999</v>
          </cell>
          <cell r="G51">
            <v>-1.0610356399999998</v>
          </cell>
        </row>
        <row r="52">
          <cell r="A52">
            <v>3120000</v>
          </cell>
          <cell r="B52" t="str">
            <v/>
          </cell>
          <cell r="C52" t="str">
            <v>589.564,2-</v>
          </cell>
          <cell r="D52">
            <v>-1061035.6399999999</v>
          </cell>
          <cell r="E52">
            <v>180</v>
          </cell>
          <cell r="F52">
            <v>-1061215.6399999999</v>
          </cell>
          <cell r="G52">
            <v>-1.0610356399999998</v>
          </cell>
        </row>
        <row r="53">
          <cell r="A53">
            <v>3130000</v>
          </cell>
          <cell r="B53" t="str">
            <v/>
          </cell>
          <cell r="C53" t="str">
            <v>252,5-</v>
          </cell>
          <cell r="D53">
            <v>-215081286</v>
          </cell>
          <cell r="E53">
            <v>-61013487.299999997</v>
          </cell>
          <cell r="F53">
            <v>-154067798.69999999</v>
          </cell>
          <cell r="G53">
            <v>-215.08128600000001</v>
          </cell>
        </row>
        <row r="54">
          <cell r="A54">
            <v>3141100</v>
          </cell>
          <cell r="B54" t="str">
            <v/>
          </cell>
          <cell r="C54" t="str">
            <v>436,6-</v>
          </cell>
          <cell r="D54">
            <v>-258323579.24000001</v>
          </cell>
          <cell r="E54">
            <v>-48143174.75</v>
          </cell>
          <cell r="F54">
            <v>-210180404.49000001</v>
          </cell>
          <cell r="G54">
            <v>-258.32357924000002</v>
          </cell>
        </row>
        <row r="55">
          <cell r="A55">
            <v>3141200</v>
          </cell>
          <cell r="B55" t="str">
            <v/>
          </cell>
          <cell r="C55" t="str">
            <v>3.795,5</v>
          </cell>
          <cell r="D55">
            <v>181104522.36000001</v>
          </cell>
          <cell r="E55">
            <v>4649057.51</v>
          </cell>
          <cell r="F55">
            <v>176455464.84999999</v>
          </cell>
          <cell r="G55">
            <v>181.10452236</v>
          </cell>
        </row>
        <row r="56">
          <cell r="A56">
            <v>3141000</v>
          </cell>
          <cell r="B56" t="str">
            <v/>
          </cell>
          <cell r="C56" t="str">
            <v>77,5-</v>
          </cell>
          <cell r="D56">
            <v>-77219056.879999995</v>
          </cell>
          <cell r="E56">
            <v>-43494117.240000002</v>
          </cell>
          <cell r="F56">
            <v>-33724939.640000001</v>
          </cell>
          <cell r="G56">
            <v>-77.219056879999997</v>
          </cell>
        </row>
        <row r="57">
          <cell r="A57">
            <v>3143010</v>
          </cell>
          <cell r="B57" t="str">
            <v/>
          </cell>
          <cell r="C57" t="str">
            <v>457,0-</v>
          </cell>
          <cell r="D57">
            <v>-4233735.8600000003</v>
          </cell>
          <cell r="E57">
            <v>-760073.65</v>
          </cell>
          <cell r="F57">
            <v>-3473662.21</v>
          </cell>
          <cell r="G57">
            <v>-4.2337358600000004</v>
          </cell>
        </row>
        <row r="58">
          <cell r="A58">
            <v>3143020</v>
          </cell>
          <cell r="B58" t="str">
            <v/>
          </cell>
          <cell r="C58" t="str">
            <v>3.536,0-</v>
          </cell>
          <cell r="D58">
            <v>-13772986.300000001</v>
          </cell>
          <cell r="E58">
            <v>-378797.98</v>
          </cell>
          <cell r="F58">
            <v>-13394188.32</v>
          </cell>
          <cell r="G58">
            <v>-13.772986300000001</v>
          </cell>
        </row>
        <row r="59">
          <cell r="A59">
            <v>3143040</v>
          </cell>
          <cell r="B59" t="str">
            <v/>
          </cell>
          <cell r="C59" t="str">
            <v>104,3-</v>
          </cell>
          <cell r="D59">
            <v>-3221679.04</v>
          </cell>
          <cell r="E59">
            <v>-1576673</v>
          </cell>
          <cell r="F59">
            <v>-1645006.04</v>
          </cell>
          <cell r="G59">
            <v>-3.2216790400000002</v>
          </cell>
        </row>
        <row r="60">
          <cell r="A60">
            <v>3143050</v>
          </cell>
          <cell r="B60" t="str">
            <v/>
          </cell>
          <cell r="C60" t="str">
            <v>76,8-</v>
          </cell>
          <cell r="D60">
            <v>-1776289.53</v>
          </cell>
          <cell r="E60">
            <v>-1004866.11</v>
          </cell>
          <cell r="F60">
            <v>-771423.42</v>
          </cell>
          <cell r="G60">
            <v>-1.7762895300000001</v>
          </cell>
        </row>
        <row r="61">
          <cell r="A61">
            <v>3143060</v>
          </cell>
          <cell r="B61" t="str">
            <v/>
          </cell>
          <cell r="C61" t="str">
            <v/>
          </cell>
          <cell r="D61">
            <v>-1392375.75</v>
          </cell>
          <cell r="E61">
            <v>0</v>
          </cell>
          <cell r="F61">
            <v>-1392375.75</v>
          </cell>
          <cell r="G61">
            <v>-1.39237575</v>
          </cell>
        </row>
        <row r="62">
          <cell r="A62">
            <v>3143110</v>
          </cell>
          <cell r="B62" t="str">
            <v/>
          </cell>
          <cell r="C62" t="str">
            <v>48,9</v>
          </cell>
          <cell r="D62">
            <v>-193098.07</v>
          </cell>
          <cell r="E62">
            <v>-377586.38</v>
          </cell>
          <cell r="F62">
            <v>184488.31</v>
          </cell>
          <cell r="G62">
            <v>-0.19309807000000001</v>
          </cell>
        </row>
        <row r="63">
          <cell r="A63">
            <v>3143120</v>
          </cell>
          <cell r="B63" t="str">
            <v/>
          </cell>
          <cell r="C63" t="str">
            <v/>
          </cell>
          <cell r="D63">
            <v>-65000000</v>
          </cell>
          <cell r="E63">
            <v>0</v>
          </cell>
          <cell r="F63">
            <v>-65000000</v>
          </cell>
          <cell r="G63">
            <v>-65</v>
          </cell>
        </row>
        <row r="64">
          <cell r="A64">
            <v>3143900</v>
          </cell>
          <cell r="B64" t="str">
            <v/>
          </cell>
          <cell r="C64" t="str">
            <v>2,8-</v>
          </cell>
          <cell r="D64">
            <v>-11158001.93</v>
          </cell>
          <cell r="E64">
            <v>-10850039.92</v>
          </cell>
          <cell r="F64">
            <v>-307962.01</v>
          </cell>
          <cell r="G64">
            <v>-11.158001929999999</v>
          </cell>
        </row>
        <row r="65">
          <cell r="A65">
            <v>3210100</v>
          </cell>
          <cell r="B65" t="str">
            <v/>
          </cell>
          <cell r="C65" t="str">
            <v>26,5</v>
          </cell>
          <cell r="D65">
            <v>277839554.56</v>
          </cell>
          <cell r="E65">
            <v>219550783.66</v>
          </cell>
          <cell r="F65">
            <v>58288770.899999999</v>
          </cell>
          <cell r="G65">
            <v>277.83955456000001</v>
          </cell>
        </row>
        <row r="66">
          <cell r="A66">
            <v>3210200</v>
          </cell>
          <cell r="B66" t="str">
            <v/>
          </cell>
          <cell r="C66" t="str">
            <v/>
          </cell>
          <cell r="D66">
            <v>71144.210000000006</v>
          </cell>
          <cell r="E66">
            <v>0</v>
          </cell>
          <cell r="F66">
            <v>71144.210000000006</v>
          </cell>
          <cell r="G66">
            <v>7.1144210000000013E-2</v>
          </cell>
        </row>
        <row r="67">
          <cell r="A67">
            <v>3210400</v>
          </cell>
          <cell r="B67" t="str">
            <v/>
          </cell>
          <cell r="C67" t="str">
            <v>6.493,5</v>
          </cell>
          <cell r="D67">
            <v>15176036.73</v>
          </cell>
          <cell r="E67">
            <v>230167.69</v>
          </cell>
          <cell r="F67">
            <v>14945869.039999999</v>
          </cell>
          <cell r="G67">
            <v>15.17603673</v>
          </cell>
        </row>
        <row r="68">
          <cell r="A68">
            <v>3210900</v>
          </cell>
          <cell r="B68" t="str">
            <v/>
          </cell>
          <cell r="C68" t="str">
            <v>2.390,2-</v>
          </cell>
          <cell r="D68">
            <v>-9265927.4299999997</v>
          </cell>
          <cell r="E68">
            <v>-372102.28</v>
          </cell>
          <cell r="F68">
            <v>-8893825.1500000004</v>
          </cell>
          <cell r="G68">
            <v>-9.2659274299999996</v>
          </cell>
        </row>
        <row r="69">
          <cell r="A69">
            <v>3220100</v>
          </cell>
          <cell r="B69" t="str">
            <v/>
          </cell>
          <cell r="C69" t="str">
            <v>6.442,4</v>
          </cell>
          <cell r="D69">
            <v>16819208.260000002</v>
          </cell>
          <cell r="E69">
            <v>257079.97</v>
          </cell>
          <cell r="F69">
            <v>16562128.289999999</v>
          </cell>
          <cell r="G69">
            <v>16.81920826</v>
          </cell>
        </row>
        <row r="70">
          <cell r="A70">
            <v>3220200</v>
          </cell>
          <cell r="B70" t="str">
            <v/>
          </cell>
          <cell r="C70" t="str">
            <v>2.310,6</v>
          </cell>
          <cell r="D70">
            <v>26864488.91</v>
          </cell>
          <cell r="E70">
            <v>1114451.1599999999</v>
          </cell>
          <cell r="F70">
            <v>25750037.75</v>
          </cell>
          <cell r="G70">
            <v>26.864488909999999</v>
          </cell>
        </row>
        <row r="71">
          <cell r="A71">
            <v>3220300</v>
          </cell>
          <cell r="B71" t="str">
            <v/>
          </cell>
          <cell r="C71" t="str">
            <v>72,1-</v>
          </cell>
          <cell r="D71">
            <v>311329.8</v>
          </cell>
          <cell r="E71">
            <v>1115666.1599999999</v>
          </cell>
          <cell r="F71">
            <v>-804336.36</v>
          </cell>
          <cell r="G71">
            <v>0.31132979999999999</v>
          </cell>
        </row>
        <row r="72">
          <cell r="A72">
            <v>3220400</v>
          </cell>
          <cell r="B72" t="str">
            <v/>
          </cell>
          <cell r="C72" t="str">
            <v>1.718,2</v>
          </cell>
          <cell r="D72">
            <v>200</v>
          </cell>
          <cell r="E72">
            <v>11</v>
          </cell>
          <cell r="F72">
            <v>189</v>
          </cell>
          <cell r="G72">
            <v>2.0000000000000001E-4</v>
          </cell>
        </row>
        <row r="73">
          <cell r="A73">
            <v>3220900</v>
          </cell>
          <cell r="B73" t="str">
            <v/>
          </cell>
          <cell r="C73" t="str">
            <v>62,7</v>
          </cell>
          <cell r="D73">
            <v>87986483.659999996</v>
          </cell>
          <cell r="E73">
            <v>54082419.109999999</v>
          </cell>
          <cell r="F73">
            <v>33904064.549999997</v>
          </cell>
          <cell r="G73">
            <v>87.98648365999999</v>
          </cell>
        </row>
        <row r="74">
          <cell r="A74">
            <v>3330000</v>
          </cell>
          <cell r="B74" t="str">
            <v/>
          </cell>
          <cell r="C74" t="str">
            <v>96,7</v>
          </cell>
          <cell r="D74">
            <v>1501097.14</v>
          </cell>
          <cell r="E74">
            <v>763006.19</v>
          </cell>
          <cell r="F74">
            <v>738090.95</v>
          </cell>
          <cell r="G74">
            <v>1.5010971399999999</v>
          </cell>
        </row>
        <row r="75">
          <cell r="A75">
            <v>3340000</v>
          </cell>
          <cell r="B75" t="str">
            <v/>
          </cell>
          <cell r="C75" t="str">
            <v>177,8</v>
          </cell>
          <cell r="D75">
            <v>1563171.58</v>
          </cell>
          <cell r="E75">
            <v>562684.97</v>
          </cell>
          <cell r="F75">
            <v>1000486.61</v>
          </cell>
          <cell r="G75">
            <v>1.5631715800000001</v>
          </cell>
        </row>
        <row r="76">
          <cell r="A76">
            <v>3420000</v>
          </cell>
          <cell r="B76" t="str">
            <v/>
          </cell>
          <cell r="C76" t="str">
            <v>8,6</v>
          </cell>
          <cell r="D76">
            <v>501066661.24000001</v>
          </cell>
          <cell r="E76">
            <v>461511677.83999997</v>
          </cell>
          <cell r="F76">
            <v>39554983.399999999</v>
          </cell>
          <cell r="G76">
            <v>501.06666124000003</v>
          </cell>
        </row>
        <row r="77">
          <cell r="A77">
            <v>3430000</v>
          </cell>
          <cell r="B77" t="str">
            <v/>
          </cell>
          <cell r="C77" t="str">
            <v>3,5-</v>
          </cell>
          <cell r="D77">
            <v>-207213941.15000001</v>
          </cell>
          <cell r="E77">
            <v>-200254672.80000001</v>
          </cell>
          <cell r="F77">
            <v>-6959268.3499999996</v>
          </cell>
          <cell r="G77">
            <v>-207.21394115000001</v>
          </cell>
        </row>
        <row r="78">
          <cell r="A78">
            <v>3440000</v>
          </cell>
          <cell r="B78" t="str">
            <v/>
          </cell>
          <cell r="C78" t="str">
            <v>155,7</v>
          </cell>
          <cell r="D78">
            <v>1053873.3999999999</v>
          </cell>
          <cell r="E78">
            <v>412094.53</v>
          </cell>
          <cell r="F78">
            <v>641778.87</v>
          </cell>
          <cell r="G78">
            <v>1.0538733999999998</v>
          </cell>
        </row>
        <row r="79">
          <cell r="A79">
            <v>3510000</v>
          </cell>
          <cell r="B79" t="str">
            <v/>
          </cell>
          <cell r="C79" t="str">
            <v>12,3-</v>
          </cell>
          <cell r="D79">
            <v>34892940.270000003</v>
          </cell>
          <cell r="E79">
            <v>39781873.200000003</v>
          </cell>
          <cell r="F79">
            <v>-4888932.93</v>
          </cell>
          <cell r="G79">
            <v>34.892940270000004</v>
          </cell>
        </row>
        <row r="80">
          <cell r="A80">
            <v>3520010</v>
          </cell>
          <cell r="B80" t="str">
            <v/>
          </cell>
          <cell r="C80" t="str">
            <v>76,1</v>
          </cell>
          <cell r="D80">
            <v>17002231.760000002</v>
          </cell>
          <cell r="E80">
            <v>9653216.9199999999</v>
          </cell>
          <cell r="F80">
            <v>7349014.8399999999</v>
          </cell>
          <cell r="G80">
            <v>17.002231760000001</v>
          </cell>
        </row>
        <row r="81">
          <cell r="A81">
            <v>3520020</v>
          </cell>
          <cell r="B81" t="str">
            <v/>
          </cell>
          <cell r="C81" t="str">
            <v>26,2</v>
          </cell>
          <cell r="D81">
            <v>73039248.709999993</v>
          </cell>
          <cell r="E81">
            <v>57863127.950000003</v>
          </cell>
          <cell r="F81">
            <v>15176120.76</v>
          </cell>
          <cell r="G81">
            <v>73.039248709999995</v>
          </cell>
        </row>
        <row r="82">
          <cell r="A82">
            <v>3520030</v>
          </cell>
          <cell r="B82" t="str">
            <v/>
          </cell>
          <cell r="C82" t="str">
            <v>291,0</v>
          </cell>
          <cell r="D82">
            <v>7223637.0700000003</v>
          </cell>
          <cell r="E82">
            <v>1847685.27</v>
          </cell>
          <cell r="F82">
            <v>5375951.7999999998</v>
          </cell>
          <cell r="G82">
            <v>7.2236370700000005</v>
          </cell>
        </row>
        <row r="83">
          <cell r="A83">
            <v>3520040</v>
          </cell>
          <cell r="B83" t="str">
            <v/>
          </cell>
          <cell r="C83" t="str">
            <v>216,4</v>
          </cell>
          <cell r="D83">
            <v>10515202.060000001</v>
          </cell>
          <cell r="E83">
            <v>3323145.1</v>
          </cell>
          <cell r="F83">
            <v>7192056.96</v>
          </cell>
          <cell r="G83">
            <v>10.51520206</v>
          </cell>
        </row>
        <row r="84">
          <cell r="A84">
            <v>3520050</v>
          </cell>
          <cell r="B84" t="str">
            <v/>
          </cell>
          <cell r="C84" t="str">
            <v>106,3</v>
          </cell>
          <cell r="D84">
            <v>3121668.72</v>
          </cell>
          <cell r="E84">
            <v>1513351.2</v>
          </cell>
          <cell r="F84">
            <v>1608317.52</v>
          </cell>
          <cell r="G84">
            <v>3.1216687200000002</v>
          </cell>
        </row>
        <row r="85">
          <cell r="A85">
            <v>3520060</v>
          </cell>
          <cell r="B85" t="str">
            <v/>
          </cell>
          <cell r="C85" t="str">
            <v>30,4-</v>
          </cell>
          <cell r="D85">
            <v>2651247.02</v>
          </cell>
          <cell r="E85">
            <v>3811137.37</v>
          </cell>
          <cell r="F85">
            <v>-1159890.3500000001</v>
          </cell>
          <cell r="G85">
            <v>2.65124702</v>
          </cell>
        </row>
        <row r="86">
          <cell r="A86">
            <v>3520070</v>
          </cell>
          <cell r="B86" t="str">
            <v/>
          </cell>
          <cell r="C86" t="str">
            <v>21,4</v>
          </cell>
          <cell r="D86">
            <v>9203395.0800000001</v>
          </cell>
          <cell r="E86">
            <v>7581750.0599999996</v>
          </cell>
          <cell r="F86">
            <v>1621645.02</v>
          </cell>
          <cell r="G86">
            <v>9.20339508</v>
          </cell>
        </row>
        <row r="87">
          <cell r="A87">
            <v>3520080</v>
          </cell>
          <cell r="B87" t="str">
            <v/>
          </cell>
          <cell r="C87" t="str">
            <v/>
          </cell>
          <cell r="D87">
            <v>8946.4</v>
          </cell>
          <cell r="E87">
            <v>0</v>
          </cell>
          <cell r="F87">
            <v>8946.4</v>
          </cell>
          <cell r="G87">
            <v>8.9464000000000002E-3</v>
          </cell>
        </row>
        <row r="88">
          <cell r="A88">
            <v>3520090</v>
          </cell>
          <cell r="B88" t="str">
            <v/>
          </cell>
          <cell r="C88" t="str">
            <v>81,0</v>
          </cell>
          <cell r="D88">
            <v>682423.41</v>
          </cell>
          <cell r="E88">
            <v>377103.79</v>
          </cell>
          <cell r="F88">
            <v>305319.62</v>
          </cell>
          <cell r="G88">
            <v>0.68242341000000006</v>
          </cell>
        </row>
        <row r="89">
          <cell r="A89">
            <v>3520100</v>
          </cell>
          <cell r="B89" t="str">
            <v/>
          </cell>
          <cell r="C89" t="str">
            <v>90,7</v>
          </cell>
          <cell r="D89">
            <v>1816495.29</v>
          </cell>
          <cell r="E89">
            <v>952632.74</v>
          </cell>
          <cell r="F89">
            <v>863862.55</v>
          </cell>
          <cell r="G89">
            <v>1.81649529</v>
          </cell>
        </row>
        <row r="90">
          <cell r="A90">
            <v>3520110</v>
          </cell>
          <cell r="B90" t="str">
            <v/>
          </cell>
          <cell r="C90" t="str">
            <v>85,0</v>
          </cell>
          <cell r="D90">
            <v>1820102.66</v>
          </cell>
          <cell r="E90">
            <v>983819.46</v>
          </cell>
          <cell r="F90">
            <v>836283.2</v>
          </cell>
          <cell r="G90">
            <v>1.8201026599999999</v>
          </cell>
        </row>
        <row r="91">
          <cell r="A91">
            <v>3520120</v>
          </cell>
          <cell r="B91" t="str">
            <v/>
          </cell>
          <cell r="C91" t="str">
            <v>37,7-</v>
          </cell>
          <cell r="D91">
            <v>7352463.6699999999</v>
          </cell>
          <cell r="E91">
            <v>11804817.300000001</v>
          </cell>
          <cell r="F91">
            <v>-4452353.63</v>
          </cell>
          <cell r="G91">
            <v>7.3524636699999997</v>
          </cell>
        </row>
        <row r="92">
          <cell r="A92">
            <v>3520130</v>
          </cell>
          <cell r="B92" t="str">
            <v/>
          </cell>
          <cell r="C92" t="str">
            <v>15,2</v>
          </cell>
          <cell r="D92">
            <v>1291226.79</v>
          </cell>
          <cell r="E92">
            <v>1120608.8</v>
          </cell>
          <cell r="F92">
            <v>170617.99</v>
          </cell>
          <cell r="G92">
            <v>1.2912267900000001</v>
          </cell>
        </row>
        <row r="93">
          <cell r="A93">
            <v>3520140</v>
          </cell>
          <cell r="B93" t="str">
            <v/>
          </cell>
          <cell r="C93" t="str">
            <v>127,6-</v>
          </cell>
          <cell r="D93">
            <v>-1784066.21</v>
          </cell>
          <cell r="E93">
            <v>6453131.2300000004</v>
          </cell>
          <cell r="F93">
            <v>-8237197.4400000004</v>
          </cell>
          <cell r="G93">
            <v>-1.78406621</v>
          </cell>
        </row>
        <row r="94">
          <cell r="A94">
            <v>3520160</v>
          </cell>
          <cell r="B94" t="str">
            <v/>
          </cell>
          <cell r="C94" t="str">
            <v>155,9</v>
          </cell>
          <cell r="D94">
            <v>3268373.42</v>
          </cell>
          <cell r="E94">
            <v>1277412.28</v>
          </cell>
          <cell r="F94">
            <v>1990961.14</v>
          </cell>
          <cell r="G94">
            <v>3.2683734200000001</v>
          </cell>
        </row>
        <row r="95">
          <cell r="A95">
            <v>3520170</v>
          </cell>
          <cell r="B95" t="str">
            <v/>
          </cell>
          <cell r="C95" t="str">
            <v>17,4</v>
          </cell>
          <cell r="D95">
            <v>20073561.469999999</v>
          </cell>
          <cell r="E95">
            <v>17104211.829999998</v>
          </cell>
          <cell r="F95">
            <v>2969349.64</v>
          </cell>
          <cell r="G95">
            <v>20.073561469999998</v>
          </cell>
        </row>
        <row r="96">
          <cell r="A96">
            <v>3520190</v>
          </cell>
          <cell r="B96" t="str">
            <v/>
          </cell>
          <cell r="C96" t="str">
            <v>97,3-</v>
          </cell>
          <cell r="D96">
            <v>320</v>
          </cell>
          <cell r="E96">
            <v>11691.4</v>
          </cell>
          <cell r="F96">
            <v>-11371.4</v>
          </cell>
          <cell r="G96">
            <v>3.2000000000000003E-4</v>
          </cell>
        </row>
        <row r="97">
          <cell r="A97">
            <v>3520200</v>
          </cell>
          <cell r="B97" t="str">
            <v/>
          </cell>
          <cell r="C97" t="str">
            <v>32,1-</v>
          </cell>
          <cell r="D97">
            <v>172399.73</v>
          </cell>
          <cell r="E97">
            <v>253923.42</v>
          </cell>
          <cell r="F97">
            <v>-81523.69</v>
          </cell>
          <cell r="G97">
            <v>0.17239973</v>
          </cell>
        </row>
        <row r="98">
          <cell r="A98">
            <v>3520220</v>
          </cell>
          <cell r="B98" t="str">
            <v/>
          </cell>
          <cell r="C98" t="str">
            <v>352,3</v>
          </cell>
          <cell r="D98">
            <v>721970.69</v>
          </cell>
          <cell r="E98">
            <v>159620.57999999999</v>
          </cell>
          <cell r="F98">
            <v>562350.11</v>
          </cell>
          <cell r="G98">
            <v>0.72197068999999992</v>
          </cell>
        </row>
        <row r="99">
          <cell r="A99">
            <v>3520230</v>
          </cell>
          <cell r="B99" t="str">
            <v/>
          </cell>
          <cell r="C99" t="str">
            <v>23,2</v>
          </cell>
          <cell r="D99">
            <v>856910.52</v>
          </cell>
          <cell r="E99">
            <v>695485.61</v>
          </cell>
          <cell r="F99">
            <v>161424.91</v>
          </cell>
          <cell r="G99">
            <v>0.85691052000000001</v>
          </cell>
        </row>
        <row r="100">
          <cell r="A100">
            <v>3520240</v>
          </cell>
          <cell r="B100" t="str">
            <v/>
          </cell>
          <cell r="C100" t="str">
            <v>317,6</v>
          </cell>
          <cell r="D100">
            <v>184860.24</v>
          </cell>
          <cell r="E100">
            <v>44265.120000000003</v>
          </cell>
          <cell r="F100">
            <v>140595.12</v>
          </cell>
          <cell r="G100">
            <v>0.18486023999999998</v>
          </cell>
        </row>
        <row r="101">
          <cell r="A101">
            <v>3520280</v>
          </cell>
          <cell r="B101" t="str">
            <v/>
          </cell>
          <cell r="C101" t="str">
            <v>90,6</v>
          </cell>
          <cell r="D101">
            <v>195618.98</v>
          </cell>
          <cell r="E101">
            <v>102618.24000000001</v>
          </cell>
          <cell r="F101">
            <v>93000.74</v>
          </cell>
          <cell r="G101">
            <v>0.19561898</v>
          </cell>
        </row>
        <row r="102">
          <cell r="A102">
            <v>3520900</v>
          </cell>
          <cell r="B102" t="str">
            <v/>
          </cell>
          <cell r="C102" t="str">
            <v>232,1</v>
          </cell>
          <cell r="D102">
            <v>11973351.24</v>
          </cell>
          <cell r="E102">
            <v>3605549.1</v>
          </cell>
          <cell r="F102">
            <v>8367802.1399999997</v>
          </cell>
          <cell r="G102">
            <v>11.97335124</v>
          </cell>
        </row>
        <row r="103">
          <cell r="A103">
            <v>3520000</v>
          </cell>
          <cell r="B103" t="str">
            <v/>
          </cell>
          <cell r="C103" t="str">
            <v>31,3</v>
          </cell>
          <cell r="D103">
            <v>171391588.72</v>
          </cell>
          <cell r="E103">
            <v>130540304.77</v>
          </cell>
          <cell r="F103">
            <v>40851283.950000003</v>
          </cell>
          <cell r="G103">
            <v>171.39158871999999</v>
          </cell>
        </row>
        <row r="104">
          <cell r="A104">
            <v>4211000</v>
          </cell>
          <cell r="B104" t="str">
            <v/>
          </cell>
          <cell r="C104" t="str">
            <v>47,6</v>
          </cell>
          <cell r="D104">
            <v>-89206491.530000001</v>
          </cell>
          <cell r="E104">
            <v>-170152809.86000001</v>
          </cell>
          <cell r="F104">
            <v>80946318.329999998</v>
          </cell>
          <cell r="G104">
            <v>-89.206491530000008</v>
          </cell>
        </row>
        <row r="105">
          <cell r="A105">
            <v>4212000</v>
          </cell>
          <cell r="B105" t="str">
            <v/>
          </cell>
          <cell r="C105" t="str">
            <v>5,1-</v>
          </cell>
          <cell r="D105">
            <v>-62962542.5</v>
          </cell>
          <cell r="E105">
            <v>-59916837.009999998</v>
          </cell>
          <cell r="F105">
            <v>-3045705.49</v>
          </cell>
          <cell r="G105">
            <v>-62.962542499999998</v>
          </cell>
        </row>
        <row r="106">
          <cell r="A106">
            <v>4221000</v>
          </cell>
          <cell r="B106" t="str">
            <v/>
          </cell>
          <cell r="C106" t="str">
            <v>6,5-</v>
          </cell>
          <cell r="D106">
            <v>406386467.12</v>
          </cell>
          <cell r="E106">
            <v>434445648.50999999</v>
          </cell>
          <cell r="F106">
            <v>-28059181.390000001</v>
          </cell>
          <cell r="G106">
            <v>406.38646712000002</v>
          </cell>
        </row>
        <row r="107">
          <cell r="A107">
            <v>4222000</v>
          </cell>
          <cell r="B107" t="str">
            <v/>
          </cell>
          <cell r="C107" t="str">
            <v>0,7</v>
          </cell>
          <cell r="D107">
            <v>79809928.079999998</v>
          </cell>
          <cell r="E107">
            <v>79289308.950000003</v>
          </cell>
          <cell r="F107">
            <v>520619.13</v>
          </cell>
          <cell r="G107">
            <v>79.809928079999992</v>
          </cell>
        </row>
        <row r="108">
          <cell r="A108">
            <v>4200000</v>
          </cell>
          <cell r="B108" t="str">
            <v/>
          </cell>
          <cell r="C108" t="str">
            <v>17,8</v>
          </cell>
          <cell r="D108">
            <v>334027361.17000002</v>
          </cell>
          <cell r="E108">
            <v>283665310.58999997</v>
          </cell>
          <cell r="F108">
            <v>50362050.579999998</v>
          </cell>
          <cell r="G108">
            <v>334.02736117000001</v>
          </cell>
        </row>
        <row r="109">
          <cell r="A109">
            <v>4311000</v>
          </cell>
          <cell r="B109" t="str">
            <v/>
          </cell>
          <cell r="C109" t="str">
            <v>57,5-</v>
          </cell>
          <cell r="D109">
            <v>-20255.099999999999</v>
          </cell>
          <cell r="E109">
            <v>-12863.1</v>
          </cell>
          <cell r="F109">
            <v>-7392</v>
          </cell>
          <cell r="G109">
            <v>-2.0255099999999998E-2</v>
          </cell>
        </row>
        <row r="110">
          <cell r="A110">
            <v>4312000</v>
          </cell>
          <cell r="B110" t="str">
            <v/>
          </cell>
          <cell r="C110" t="str">
            <v>5.371,4-</v>
          </cell>
          <cell r="D110">
            <v>-325689</v>
          </cell>
          <cell r="E110">
            <v>-5952.53</v>
          </cell>
          <cell r="F110">
            <v>-319736.46999999997</v>
          </cell>
          <cell r="G110">
            <v>-0.32568900000000001</v>
          </cell>
        </row>
        <row r="111">
          <cell r="A111">
            <v>4331000</v>
          </cell>
          <cell r="B111" t="str">
            <v/>
          </cell>
          <cell r="C111" t="str">
            <v>11,0-</v>
          </cell>
          <cell r="D111">
            <v>-78637098.239999995</v>
          </cell>
          <cell r="E111">
            <v>-70825424.640000001</v>
          </cell>
          <cell r="F111">
            <v>-7811673.5999999996</v>
          </cell>
          <cell r="G111">
            <v>-78.63709824</v>
          </cell>
        </row>
        <row r="112">
          <cell r="A112">
            <v>4332000</v>
          </cell>
          <cell r="B112" t="str">
            <v/>
          </cell>
          <cell r="C112" t="str">
            <v>11,0</v>
          </cell>
          <cell r="D112">
            <v>78637098.239999995</v>
          </cell>
          <cell r="E112">
            <v>70825424.640000001</v>
          </cell>
          <cell r="F112">
            <v>7811673.5999999996</v>
          </cell>
          <cell r="G112">
            <v>78.63709824</v>
          </cell>
        </row>
        <row r="113">
          <cell r="A113">
            <v>4330000</v>
          </cell>
          <cell r="B113" t="str">
            <v/>
          </cell>
          <cell r="C113" t="str">
            <v/>
          </cell>
          <cell r="D113">
            <v>0</v>
          </cell>
          <cell r="E113">
            <v>0</v>
          </cell>
          <cell r="F113">
            <v>0</v>
          </cell>
          <cell r="G113">
            <v>0</v>
          </cell>
        </row>
        <row r="114">
          <cell r="A114">
            <v>4341010</v>
          </cell>
          <cell r="B114" t="str">
            <v/>
          </cell>
          <cell r="C114" t="str">
            <v>14,8</v>
          </cell>
          <cell r="D114">
            <v>-96076701.709999993</v>
          </cell>
          <cell r="E114">
            <v>-112787688.09</v>
          </cell>
          <cell r="F114">
            <v>16710986.380000001</v>
          </cell>
          <cell r="G114">
            <v>-96.076701709999995</v>
          </cell>
        </row>
        <row r="115">
          <cell r="A115">
            <v>4341020</v>
          </cell>
          <cell r="B115" t="str">
            <v/>
          </cell>
          <cell r="C115" t="str">
            <v>19,8</v>
          </cell>
          <cell r="D115">
            <v>-30678211.73</v>
          </cell>
          <cell r="E115">
            <v>-38234877.390000001</v>
          </cell>
          <cell r="F115">
            <v>7556665.6600000001</v>
          </cell>
          <cell r="G115">
            <v>-30.678211730000001</v>
          </cell>
        </row>
        <row r="116">
          <cell r="A116">
            <v>4341000</v>
          </cell>
          <cell r="B116" t="str">
            <v/>
          </cell>
          <cell r="C116" t="str">
            <v>16,1</v>
          </cell>
          <cell r="D116">
            <v>-126754913.44</v>
          </cell>
          <cell r="E116">
            <v>-151022565.47999999</v>
          </cell>
          <cell r="F116">
            <v>24267652.039999999</v>
          </cell>
          <cell r="G116">
            <v>-126.75491344</v>
          </cell>
        </row>
        <row r="117">
          <cell r="A117">
            <v>4351010</v>
          </cell>
          <cell r="B117" t="str">
            <v/>
          </cell>
          <cell r="C117" t="str">
            <v>431,2</v>
          </cell>
          <cell r="D117">
            <v>9159783.1799999997</v>
          </cell>
          <cell r="E117">
            <v>1724394.38</v>
          </cell>
          <cell r="F117">
            <v>7435388.7999999998</v>
          </cell>
          <cell r="G117">
            <v>9.1597831799999998</v>
          </cell>
        </row>
        <row r="118">
          <cell r="A118">
            <v>4351020</v>
          </cell>
          <cell r="B118" t="str">
            <v/>
          </cell>
          <cell r="C118" t="str">
            <v>16,0</v>
          </cell>
          <cell r="D118">
            <v>153127423.88999999</v>
          </cell>
          <cell r="E118">
            <v>132033934.93000001</v>
          </cell>
          <cell r="F118">
            <v>21093488.960000001</v>
          </cell>
          <cell r="G118">
            <v>153.12742388999999</v>
          </cell>
        </row>
        <row r="119">
          <cell r="A119">
            <v>4351000</v>
          </cell>
          <cell r="B119" t="str">
            <v/>
          </cell>
          <cell r="C119" t="str">
            <v>21,3</v>
          </cell>
          <cell r="D119">
            <v>162287207.06999999</v>
          </cell>
          <cell r="E119">
            <v>133758329.31</v>
          </cell>
          <cell r="F119">
            <v>28528877.760000002</v>
          </cell>
          <cell r="G119">
            <v>162.28720706999999</v>
          </cell>
        </row>
        <row r="120">
          <cell r="A120">
            <v>6200000</v>
          </cell>
          <cell r="B120" t="str">
            <v/>
          </cell>
          <cell r="C120" t="str">
            <v>60,0-</v>
          </cell>
          <cell r="D120">
            <v>3500</v>
          </cell>
          <cell r="E120">
            <v>8750</v>
          </cell>
          <cell r="F120">
            <v>-5250</v>
          </cell>
          <cell r="G120">
            <v>3.5000000000000001E-3</v>
          </cell>
        </row>
        <row r="121">
          <cell r="A121">
            <v>6000000</v>
          </cell>
          <cell r="B121" t="str">
            <v/>
          </cell>
          <cell r="C121" t="str">
            <v>60,0-</v>
          </cell>
          <cell r="D121">
            <v>3500</v>
          </cell>
          <cell r="E121">
            <v>8750</v>
          </cell>
          <cell r="F121">
            <v>-5250</v>
          </cell>
          <cell r="G121">
            <v>3.5000000000000001E-3</v>
          </cell>
        </row>
        <row r="122">
          <cell r="A122">
            <v>7100000</v>
          </cell>
          <cell r="B122" t="str">
            <v/>
          </cell>
          <cell r="C122" t="str">
            <v>33,6</v>
          </cell>
          <cell r="D122">
            <v>65130383.079999998</v>
          </cell>
          <cell r="E122">
            <v>48763755.899999999</v>
          </cell>
          <cell r="F122">
            <v>16366627.18</v>
          </cell>
          <cell r="G122">
            <v>65.130383080000001</v>
          </cell>
        </row>
        <row r="123">
          <cell r="A123">
            <v>7000000</v>
          </cell>
          <cell r="B123" t="str">
            <v/>
          </cell>
          <cell r="C123" t="str">
            <v>33,6</v>
          </cell>
          <cell r="D123">
            <v>65130383.079999998</v>
          </cell>
          <cell r="E123">
            <v>48763755.899999999</v>
          </cell>
          <cell r="F123">
            <v>16366627.18</v>
          </cell>
          <cell r="G123">
            <v>65.130383080000001</v>
          </cell>
        </row>
        <row r="124">
          <cell r="A124">
            <v>9410750</v>
          </cell>
          <cell r="B124" t="str">
            <v/>
          </cell>
          <cell r="C124" t="str">
            <v/>
          </cell>
          <cell r="D124">
            <v>-401982978.38</v>
          </cell>
          <cell r="E124">
            <v>0</v>
          </cell>
          <cell r="F124">
            <v>-401982978.38</v>
          </cell>
          <cell r="G124">
            <v>-401.98297838000002</v>
          </cell>
        </row>
        <row r="125">
          <cell r="A125">
            <v>9400000</v>
          </cell>
          <cell r="B125" t="str">
            <v/>
          </cell>
          <cell r="C125" t="str">
            <v/>
          </cell>
          <cell r="D125">
            <v>0</v>
          </cell>
          <cell r="E125">
            <v>0</v>
          </cell>
          <cell r="F125">
            <v>0</v>
          </cell>
          <cell r="G125">
            <v>0</v>
          </cell>
        </row>
        <row r="126">
          <cell r="A126">
            <v>9500000</v>
          </cell>
          <cell r="B126" t="str">
            <v/>
          </cell>
          <cell r="C126" t="str">
            <v/>
          </cell>
          <cell r="D126">
            <v>0</v>
          </cell>
          <cell r="E126">
            <v>0</v>
          </cell>
          <cell r="F126">
            <v>0</v>
          </cell>
          <cell r="G126">
            <v>0</v>
          </cell>
        </row>
      </sheetData>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FM-Italia"/>
      <sheetName val="Input costi construzione"/>
      <sheetName val="Input tariffe"/>
      <sheetName val="Inflation"/>
      <sheetName val="Sheet1"/>
      <sheetName val="Inputs"/>
    </sheetNames>
    <sheetDataSet>
      <sheetData sheetId="0">
        <row r="150">
          <cell r="G150">
            <v>43.425104536940196</v>
          </cell>
        </row>
        <row r="186">
          <cell r="G186">
            <v>3.4561656431983279E-2</v>
          </cell>
        </row>
      </sheetData>
      <sheetData sheetId="1"/>
      <sheetData sheetId="2"/>
      <sheetData sheetId="3"/>
      <sheetData sheetId="4" refreshError="1"/>
      <sheetData sheetId="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sheetData sheetId="2"/>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P akt"/>
      <sheetName val="Erhebung"/>
      <sheetName val="Übersicht"/>
      <sheetName val="Übersicht fertig"/>
      <sheetName val="Übersicht Stabilität"/>
      <sheetName val="Detailliste"/>
      <sheetName val="Einsp neu"/>
      <sheetName val="KB neu"/>
      <sheetName val="BMVITEB-Erhebung "/>
      <sheetName val="Doku Auswah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BEXqueries"/>
      <sheetName val="SAPBEXfilters"/>
      <sheetName val="zentrEing"/>
      <sheetName val="ICV_GesErtr"/>
      <sheetName val="ICV_MatA"/>
      <sheetName val="ICV_SBA"/>
      <sheetName val="Bau_AG"/>
      <sheetName val="Gesamterträge"/>
      <sheetName val="EBIT"/>
      <sheetName val="EGT"/>
      <sheetName val="Mitarbeiter"/>
      <sheetName val="PV_AG"/>
      <sheetName val="TR_GmbH"/>
      <sheetName val="Postbus_GmbH"/>
      <sheetName val="RCA_AG"/>
      <sheetName val="TS_GmbH"/>
      <sheetName val="AgroFreight"/>
      <sheetName val="BRNO_Trans"/>
      <sheetName val="Express_Interfracht"/>
      <sheetName val="IWAG"/>
      <sheetName val="ICA"/>
      <sheetName val="OEKOMBI_GmbH"/>
      <sheetName val="OEKOMBI_Waggon"/>
      <sheetName val="ProRail"/>
      <sheetName val="RaaberSped_GmbH"/>
      <sheetName val="RaaberSped_Kft"/>
      <sheetName val="Schier_Otten"/>
      <sheetName val="Schwarzinger"/>
      <sheetName val="Betrieb_AG"/>
      <sheetName val="Rail_Equipment_GmbH"/>
      <sheetName val="Rail_Equipment_COKG"/>
      <sheetName val="Mungos_GmbH_CO_KEG"/>
      <sheetName val="Bau_AG_EGT_op"/>
      <sheetName val="IMMO_GmbH"/>
      <sheetName val="DLG"/>
      <sheetName val="Holding_AG"/>
      <sheetName val="restl_Gesellschaften"/>
      <sheetName val="TU_Postbus_AG"/>
      <sheetName val="TU_CSAD"/>
      <sheetName val="TU_KOEBB"/>
      <sheetName val="TU_BALCON"/>
      <sheetName val="TU_CSK_Intrans"/>
      <sheetName val="TU_Dolphin"/>
      <sheetName val="TU_EC_L"/>
      <sheetName val="TU_EuroCargo_Gdansk"/>
      <sheetName val="TU_EuroCarg_Szczecin"/>
      <sheetName val="TU_ELA"/>
      <sheetName val="TU_Epsylon_GmbH"/>
      <sheetName val="TU_EuroCargo_Katowice"/>
      <sheetName val="TU_LIECHT"/>
      <sheetName val="TU_ExprItalia_Milano"/>
      <sheetName val="TU_ExprPolska"/>
      <sheetName val="TU_ExprRomania"/>
      <sheetName val="TU_Expr_Scandinavia"/>
      <sheetName val="TU_ExprInterf_Schwergut_DE"/>
      <sheetName val="TU_Pannocont_Kft"/>
      <sheetName val="TU_PapLog"/>
      <sheetName val="TU_SpedHold_GmbH"/>
      <sheetName val="TU_STEEL_L"/>
      <sheetName val="TU_TranSped_SOC"/>
      <sheetName val="TU_ARCC"/>
      <sheetName val="TU_ARCC_COKG"/>
      <sheetName val="TU_Mungos_GmbH"/>
      <sheetName val="TU_BEG"/>
      <sheetName val="TU_OEBB_Telekom_GmbH"/>
      <sheetName val="TU_OEBB_Netting"/>
      <sheetName val="TU_OEBB_Fin"/>
      <sheetName val="TU_OEBB_Versich"/>
      <sheetName val="TU_OEBB_Werbecenter"/>
      <sheetName val="TU_CIM"/>
      <sheetName val="TK_RCA_GuV"/>
      <sheetName val="TK_RCA_Bilanz"/>
      <sheetName val="TK_RCA_Bilanzpos"/>
      <sheetName val="TK_PV_GuV"/>
      <sheetName val="TK_PV_Bilanz"/>
      <sheetName val="TK_PV_Bilanzpos"/>
      <sheetName val="TK_BET_GuV"/>
      <sheetName val="TK_BET_Bilanz"/>
      <sheetName val="TK_BET_Bilanzpos"/>
      <sheetName val="TK_BAU_GuV"/>
      <sheetName val="TK_BAU_Bilanz"/>
      <sheetName val="TK_BAU_Bilanzpos"/>
      <sheetName val="Rest_ÖBB_GuV"/>
      <sheetName val="Rest_ÖBB_Bilanz"/>
      <sheetName val="Rest_ÖBB_Bilanzpos"/>
      <sheetName val="TK_DLG_GuV"/>
      <sheetName val="TK_DLG_Bilanz"/>
      <sheetName val="TK_DLG_Bilanzpos"/>
      <sheetName val="TK_Net_GuV"/>
      <sheetName val="TK_Net_Bilanz"/>
      <sheetName val="TK_Net_Bilanzpos"/>
      <sheetName val="Vorlage3"/>
    </sheetNames>
    <sheetDataSet>
      <sheetData sheetId="0"/>
      <sheetData sheetId="1"/>
      <sheetData sheetId="2">
        <row r="22">
          <cell r="B22">
            <v>1.3333333333333333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ow r="23">
          <cell r="D23">
            <v>0.32664689710231809</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efreshError="1">
        <row r="23">
          <cell r="D23">
            <v>0.32664689710231809</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z und Erläuterungen"/>
      <sheetName val="Gewinn- und Verlustrechnung"/>
      <sheetName val="Anlagenspiegel"/>
      <sheetName val="Wirtschaftliche Verhältnisse"/>
      <sheetName val="WirtVerh - Kennzahlen"/>
      <sheetName val="CashFlow"/>
      <sheetName val="Forderungsspiegel"/>
      <sheetName val="Verbindlichkeitenspiegel"/>
      <sheetName val="Salden"/>
      <sheetName val="UBU"/>
      <sheetName val="Anhang"/>
    </sheetNames>
    <sheetDataSet>
      <sheetData sheetId="0">
        <row r="2346">
          <cell r="H2346">
            <v>0</v>
          </cell>
        </row>
        <row r="2372">
          <cell r="H2372">
            <v>18522105</v>
          </cell>
          <cell r="L2372">
            <v>1</v>
          </cell>
        </row>
        <row r="2374">
          <cell r="H2374">
            <v>3659490.37</v>
          </cell>
        </row>
        <row r="2376">
          <cell r="H2376">
            <v>22181595.370000001</v>
          </cell>
          <cell r="L2376">
            <v>2</v>
          </cell>
        </row>
        <row r="2377">
          <cell r="L2377">
            <v>2</v>
          </cell>
        </row>
        <row r="2378">
          <cell r="H2378" t="str">
            <v xml:space="preserve">Stand am  </v>
          </cell>
        </row>
        <row r="2379">
          <cell r="H2379" t="str">
            <v>31.12.2008</v>
          </cell>
        </row>
        <row r="2382">
          <cell r="H2382" t="str">
            <v>EUR</v>
          </cell>
        </row>
        <row r="2383">
          <cell r="H2383">
            <v>22181595.370000001</v>
          </cell>
          <cell r="L2383">
            <v>2</v>
          </cell>
        </row>
        <row r="2384">
          <cell r="L2384">
            <v>2</v>
          </cell>
        </row>
        <row r="2385">
          <cell r="H2385">
            <v>13920897.58</v>
          </cell>
        </row>
        <row r="2387">
          <cell r="H2387">
            <v>3275885.14</v>
          </cell>
        </row>
        <row r="2389">
          <cell r="H2389">
            <v>39378378.090000004</v>
          </cell>
          <cell r="L2389">
            <v>2</v>
          </cell>
        </row>
        <row r="2390">
          <cell r="L2390">
            <v>2</v>
          </cell>
        </row>
        <row r="2391">
          <cell r="H2391" t="str">
            <v xml:space="preserve">Stand am  </v>
          </cell>
          <cell r="L2391">
            <v>2</v>
          </cell>
        </row>
        <row r="2392">
          <cell r="H2392" t="str">
            <v>31.12.2008</v>
          </cell>
          <cell r="L2392">
            <v>2</v>
          </cell>
        </row>
        <row r="2395">
          <cell r="H2395" t="str">
            <v>EUR</v>
          </cell>
          <cell r="L2395">
            <v>2</v>
          </cell>
        </row>
        <row r="2397">
          <cell r="H2397">
            <v>79673411.870000005</v>
          </cell>
        </row>
        <row r="2399">
          <cell r="H2399">
            <v>0</v>
          </cell>
        </row>
        <row r="2401">
          <cell r="H2401">
            <v>3655303</v>
          </cell>
        </row>
        <row r="2403">
          <cell r="H2403">
            <v>10413012.970000001</v>
          </cell>
        </row>
        <row r="2405">
          <cell r="H2405">
            <v>7580860.2199999997</v>
          </cell>
          <cell r="L2405">
            <v>1</v>
          </cell>
        </row>
        <row r="2407">
          <cell r="H2407">
            <v>14221829.26</v>
          </cell>
        </row>
        <row r="2409">
          <cell r="H2409">
            <v>217263343</v>
          </cell>
        </row>
        <row r="2411">
          <cell r="H2411">
            <v>16986487.140000001</v>
          </cell>
        </row>
        <row r="2413">
          <cell r="H2413">
            <v>349794247.45999998</v>
          </cell>
          <cell r="L2413">
            <v>2</v>
          </cell>
        </row>
        <row r="2414">
          <cell r="L2414">
            <v>2</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vest RP"/>
      <sheetName val="GuV"/>
      <sheetName val="Bilanz"/>
      <sheetName val="Infra"/>
      <sheetName val="§43"/>
      <sheetName val="Invest"/>
      <sheetName val="EBIT"/>
      <sheetName val="EBT"/>
      <sheetName val="Eigenkapital"/>
      <sheetName val="Verbindlichkeiten"/>
      <sheetName val="Verbindlichkeiten (2)"/>
      <sheetName val="Übersicht"/>
    </sheetNames>
    <sheetDataSet>
      <sheetData sheetId="0" refreshError="1">
        <row r="21">
          <cell r="H21">
            <v>4.02E-2</v>
          </cell>
        </row>
      </sheetData>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ditätsbericht Juli 2006"/>
      <sheetName val="Cash Flow bis Juli 2006"/>
      <sheetName val="Diagramm Entw.CF u.Verschuldung"/>
      <sheetName val="2006_Ist bis Juli"/>
      <sheetName val="2006_Plan_Istvergleich bis Juli"/>
    </sheetNames>
    <sheetDataSet>
      <sheetData sheetId="0" refreshError="1"/>
      <sheetData sheetId="1" refreshError="1"/>
      <sheetData sheetId="2" refreshError="1"/>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ditätsbericht Juli 2006"/>
      <sheetName val="Cash Flow bis Juli 2006"/>
      <sheetName val="Diagramm Entw.CF u.Verschuldung"/>
      <sheetName val="2006_Ist bis Juli"/>
      <sheetName val="2006_Plan_Istvergleich bis Juli"/>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Bilanzen"/>
      <sheetName val="ALV, KB"/>
      <sheetName val="Roh-,Hilfs-,Betriebsstoffe"/>
      <sheetName val="NAL BB"/>
      <sheetName val="NAL NT"/>
      <sheetName val="Erh.Anz.auf Bestellungen"/>
      <sheetName val="unf. Erzeugnisse"/>
      <sheetName val="ÜT Personal"/>
      <sheetName val="Haftpflicht"/>
      <sheetName val="RST§36 STOK-BB"/>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insrisiko"/>
      <sheetName val="_Hidden2"/>
      <sheetName val="_Hidden3"/>
      <sheetName val="Zinsrisiko-Detail"/>
    </sheetNames>
    <sheetDataSet>
      <sheetData sheetId="0"/>
      <sheetData sheetId="1"/>
      <sheetData sheetId="2"/>
      <sheetData sheetId="3">
        <row r="1">
          <cell r="A1" t="str">
            <v>Zinsrisiko Detail ohne Intercompany per</v>
          </cell>
          <cell r="D1" t="str">
            <v>31.03.2009</v>
          </cell>
        </row>
        <row r="3">
          <cell r="A3" t="str">
            <v>Datum</v>
          </cell>
          <cell r="C3" t="str">
            <v>31.03.2009</v>
          </cell>
          <cell r="L3" t="str">
            <v xml:space="preserve"> </v>
          </cell>
        </row>
        <row r="4">
          <cell r="A4" t="str">
            <v>Firmengruppe</v>
          </cell>
          <cell r="C4" t="str">
            <v>TK INFRA.bau</v>
          </cell>
        </row>
        <row r="5">
          <cell r="A5" t="str">
            <v>Firma</v>
          </cell>
          <cell r="C5" t="str">
            <v>Alle</v>
          </cell>
        </row>
        <row r="6">
          <cell r="A6" t="str">
            <v>Berichtswährung</v>
          </cell>
          <cell r="C6" t="str">
            <v>in .000 EUR</v>
          </cell>
        </row>
        <row r="8">
          <cell r="A8" t="str">
            <v>Aktiva-Passiva</v>
          </cell>
          <cell r="B8" t="str">
            <v>fix-var</v>
          </cell>
          <cell r="C8" t="str">
            <v>Firmenname</v>
          </cell>
          <cell r="D8" t="str">
            <v>Kontonnummer</v>
          </cell>
          <cell r="E8" t="str">
            <v>Zinssatz</v>
          </cell>
          <cell r="F8" t="str">
            <v>Saldo Grundposition (Stichtag)</v>
          </cell>
          <cell r="G8" t="str">
            <v>Saldo Swap (Stichtag)</v>
          </cell>
          <cell r="H8" t="str">
            <v>Saldo Derivate (Stichtag)</v>
          </cell>
          <cell r="I8" t="str">
            <v>Summe Saldo (Stichtag)</v>
          </cell>
          <cell r="J8" t="str">
            <v>Summe Saldo (+1 Jahr)</v>
          </cell>
          <cell r="K8" t="str">
            <v>Summe Saldo (+5 Jahre)</v>
          </cell>
          <cell r="L8" t="str">
            <v>Zinsrisiko Restlaufzeit 
&lt; 1Jahr</v>
          </cell>
          <cell r="M8" t="str">
            <v>Zinsrisiko Restlaufzeit
1 - 5 Jahre</v>
          </cell>
          <cell r="O8" t="str">
            <v>Zinsrisiko Restlaufzeit
&gt; 5 Jahre</v>
          </cell>
        </row>
        <row r="9">
          <cell r="A9" t="str">
            <v>Veranlagungen</v>
          </cell>
          <cell r="B9" t="str">
            <v>var</v>
          </cell>
          <cell r="C9" t="str">
            <v xml:space="preserve">ÖBB-Infrastruktur Bau AG </v>
          </cell>
          <cell r="D9" t="str">
            <v>AT0000857008</v>
          </cell>
          <cell r="E9">
            <v>1.9499948034261548E-2</v>
          </cell>
          <cell r="F9">
            <v>111.61199999999999</v>
          </cell>
          <cell r="I9">
            <v>111.61199999999999</v>
          </cell>
          <cell r="L9">
            <v>111.61199999999999</v>
          </cell>
        </row>
        <row r="10">
          <cell r="B10" t="str">
            <v>var</v>
          </cell>
          <cell r="E10">
            <v>1.9499948034261548E-2</v>
          </cell>
          <cell r="F10">
            <v>111.61199999999999</v>
          </cell>
          <cell r="I10">
            <v>111.61199999999999</v>
          </cell>
          <cell r="L10">
            <v>111.61199999999999</v>
          </cell>
        </row>
        <row r="11">
          <cell r="A11" t="str">
            <v>Veranlagungen</v>
          </cell>
          <cell r="E11">
            <v>1.9499948034261548E-2</v>
          </cell>
          <cell r="F11">
            <v>111.61199999999999</v>
          </cell>
          <cell r="I11">
            <v>111.61199999999999</v>
          </cell>
          <cell r="L11">
            <v>111.61199999999999</v>
          </cell>
        </row>
        <row r="13">
          <cell r="A13" t="str">
            <v>Verbindlichkeiten</v>
          </cell>
          <cell r="B13" t="str">
            <v>fix</v>
          </cell>
          <cell r="C13" t="str">
            <v xml:space="preserve">ÖBB-Infrastruktur Bau AG </v>
          </cell>
          <cell r="D13" t="str">
            <v>8300100000</v>
          </cell>
          <cell r="E13">
            <v>4.7899999999999998E-2</v>
          </cell>
          <cell r="F13">
            <v>-9296.2160000000003</v>
          </cell>
          <cell r="I13">
            <v>-9296.2160000000003</v>
          </cell>
          <cell r="J13">
            <v>-4648.1080000000002</v>
          </cell>
          <cell r="L13">
            <v>-4648.1080000000002</v>
          </cell>
          <cell r="M13">
            <v>-4648.1080000000002</v>
          </cell>
        </row>
        <row r="14">
          <cell r="C14" t="str">
            <v xml:space="preserve">ÖBB-Infrastruktur Bau AG </v>
          </cell>
          <cell r="D14" t="str">
            <v>8300100005</v>
          </cell>
          <cell r="E14">
            <v>6.0100000165123596E-2</v>
          </cell>
          <cell r="F14">
            <v>-72672.834000000003</v>
          </cell>
          <cell r="I14">
            <v>-72672.834000000003</v>
          </cell>
          <cell r="L14">
            <v>-72672.834000000003</v>
          </cell>
        </row>
        <row r="15">
          <cell r="C15" t="str">
            <v xml:space="preserve">ÖBB-Infrastruktur Bau AG </v>
          </cell>
          <cell r="D15" t="str">
            <v>8300100020</v>
          </cell>
          <cell r="E15">
            <v>4.7499999978244306E-2</v>
          </cell>
          <cell r="F15">
            <v>-432070.935</v>
          </cell>
          <cell r="I15">
            <v>-432070.935</v>
          </cell>
          <cell r="J15">
            <v>-406820.43300000002</v>
          </cell>
          <cell r="L15">
            <v>-25250.501999999979</v>
          </cell>
          <cell r="M15">
            <v>-406820.43300000002</v>
          </cell>
        </row>
        <row r="16">
          <cell r="C16" t="str">
            <v xml:space="preserve">ÖBB-Infrastruktur Bau AG </v>
          </cell>
          <cell r="D16" t="str">
            <v>8300100032</v>
          </cell>
          <cell r="E16">
            <v>3.06099998780264E-2</v>
          </cell>
          <cell r="F16">
            <v>-79197.466</v>
          </cell>
          <cell r="I16">
            <v>-79197.466</v>
          </cell>
          <cell r="J16">
            <v>-78611.202000000005</v>
          </cell>
          <cell r="L16">
            <v>-586.26399999999558</v>
          </cell>
          <cell r="M16">
            <v>-78611.202000000005</v>
          </cell>
        </row>
        <row r="17">
          <cell r="C17" t="str">
            <v xml:space="preserve">ÖBB-Infrastruktur Bau AG </v>
          </cell>
          <cell r="D17" t="str">
            <v>8300100036</v>
          </cell>
          <cell r="E17">
            <v>6.0800000167875658E-2</v>
          </cell>
          <cell r="F17">
            <v>-72672.834000000003</v>
          </cell>
          <cell r="I17">
            <v>-72672.834000000003</v>
          </cell>
          <cell r="L17">
            <v>-72672.834000000003</v>
          </cell>
        </row>
        <row r="18">
          <cell r="C18" t="str">
            <v xml:space="preserve">ÖBB-Infrastruktur Bau AG </v>
          </cell>
          <cell r="D18" t="str">
            <v>8300100040</v>
          </cell>
          <cell r="E18">
            <v>6.050000055958555E-2</v>
          </cell>
          <cell r="F18">
            <v>-10900.924999999999</v>
          </cell>
          <cell r="I18">
            <v>-10900.924999999999</v>
          </cell>
          <cell r="L18">
            <v>-10900.924999999999</v>
          </cell>
        </row>
        <row r="19">
          <cell r="C19" t="str">
            <v xml:space="preserve">ÖBB-Infrastruktur Bau AG </v>
          </cell>
          <cell r="D19" t="str">
            <v>8300100043</v>
          </cell>
          <cell r="E19">
            <v>7.3750005412385217E-2</v>
          </cell>
          <cell r="F19">
            <v>-2725.2310000000002</v>
          </cell>
          <cell r="I19">
            <v>-2725.2310000000002</v>
          </cell>
          <cell r="L19">
            <v>-2725.2310000000002</v>
          </cell>
        </row>
        <row r="20">
          <cell r="C20" t="str">
            <v xml:space="preserve">ÖBB-Infrastruktur Bau AG </v>
          </cell>
          <cell r="D20" t="str">
            <v>8300100045</v>
          </cell>
          <cell r="E20">
            <v>7.7999959751145112E-2</v>
          </cell>
          <cell r="F20">
            <v>-581.38300000000004</v>
          </cell>
          <cell r="I20">
            <v>-581.38300000000004</v>
          </cell>
          <cell r="L20">
            <v>-581.38300000000004</v>
          </cell>
        </row>
        <row r="21">
          <cell r="C21" t="str">
            <v xml:space="preserve">ÖBB-Infrastruktur Bau AG </v>
          </cell>
          <cell r="D21" t="str">
            <v>8300100046</v>
          </cell>
          <cell r="E21">
            <v>7.8000080497848234E-2</v>
          </cell>
          <cell r="F21">
            <v>-290.69099999999997</v>
          </cell>
          <cell r="I21">
            <v>-290.69099999999997</v>
          </cell>
          <cell r="L21">
            <v>-290.69099999999997</v>
          </cell>
        </row>
        <row r="22">
          <cell r="C22" t="str">
            <v xml:space="preserve">ÖBB-Infrastruktur Bau AG </v>
          </cell>
          <cell r="D22" t="str">
            <v>8300100047</v>
          </cell>
          <cell r="E22">
            <v>7.8000042932156191E-2</v>
          </cell>
          <cell r="F22">
            <v>-726.72799999999995</v>
          </cell>
          <cell r="I22">
            <v>-726.72799999999995</v>
          </cell>
          <cell r="L22">
            <v>-726.72799999999995</v>
          </cell>
        </row>
        <row r="23">
          <cell r="C23" t="str">
            <v xml:space="preserve">ÖBB-Infrastruktur Bau AG </v>
          </cell>
          <cell r="D23" t="str">
            <v>8300100048</v>
          </cell>
          <cell r="E23">
            <v>7.7999821116508189E-2</v>
          </cell>
          <cell r="F23">
            <v>-218.01900000000001</v>
          </cell>
          <cell r="I23">
            <v>-218.01900000000001</v>
          </cell>
          <cell r="L23">
            <v>-218.01900000000001</v>
          </cell>
        </row>
        <row r="24">
          <cell r="C24" t="str">
            <v xml:space="preserve">ÖBB-Infrastruktur Bau AG </v>
          </cell>
          <cell r="D24" t="str">
            <v>8300100049</v>
          </cell>
          <cell r="E24">
            <v>7.8000042932156191E-2</v>
          </cell>
          <cell r="F24">
            <v>-363.36399999999998</v>
          </cell>
          <cell r="I24">
            <v>-363.36399999999998</v>
          </cell>
          <cell r="L24">
            <v>-363.36399999999998</v>
          </cell>
        </row>
        <row r="25">
          <cell r="C25" t="str">
            <v xml:space="preserve">ÖBB-Infrastruktur Bau AG </v>
          </cell>
          <cell r="D25" t="str">
            <v>8300100068</v>
          </cell>
          <cell r="E25">
            <v>5.1250000038607746E-2</v>
          </cell>
          <cell r="F25">
            <v>-266785.78000000003</v>
          </cell>
          <cell r="I25">
            <v>-266785.78000000003</v>
          </cell>
          <cell r="J25">
            <v>-266785.78000000003</v>
          </cell>
          <cell r="L25">
            <v>0</v>
          </cell>
          <cell r="M25">
            <v>-266785.78000000003</v>
          </cell>
        </row>
        <row r="26">
          <cell r="C26" t="str">
            <v xml:space="preserve">ÖBB-Infrastruktur Bau AG </v>
          </cell>
          <cell r="D26" t="str">
            <v>8300100069</v>
          </cell>
          <cell r="E26">
            <v>3.6249999999999998E-2</v>
          </cell>
          <cell r="F26">
            <v>-500000</v>
          </cell>
          <cell r="I26">
            <v>-500000</v>
          </cell>
          <cell r="L26">
            <v>-500000</v>
          </cell>
        </row>
        <row r="27">
          <cell r="C27" t="str">
            <v xml:space="preserve">ÖBB-Infrastruktur Bau AG </v>
          </cell>
          <cell r="D27" t="str">
            <v>8300100073</v>
          </cell>
          <cell r="E27">
            <v>4.6249999960963198E-2</v>
          </cell>
          <cell r="F27">
            <v>-450856.62800000003</v>
          </cell>
          <cell r="I27">
            <v>-450856.62800000003</v>
          </cell>
          <cell r="J27">
            <v>-424508.27799999999</v>
          </cell>
          <cell r="L27">
            <v>-26348.35</v>
          </cell>
          <cell r="M27">
            <v>-424508.27799999999</v>
          </cell>
        </row>
        <row r="28">
          <cell r="C28" t="str">
            <v xml:space="preserve">ÖBB-Infrastruktur Bau AG </v>
          </cell>
          <cell r="D28" t="str">
            <v>8300100074</v>
          </cell>
          <cell r="E28">
            <v>3.875E-2</v>
          </cell>
          <cell r="F28">
            <v>-650000</v>
          </cell>
          <cell r="I28">
            <v>-650000</v>
          </cell>
          <cell r="J28">
            <v>-650000</v>
          </cell>
          <cell r="K28">
            <v>-650000</v>
          </cell>
          <cell r="L28">
            <v>0</v>
          </cell>
          <cell r="M28">
            <v>0</v>
          </cell>
          <cell r="O28">
            <v>-650000</v>
          </cell>
        </row>
        <row r="29">
          <cell r="C29" t="str">
            <v xml:space="preserve">ÖBB-Infrastruktur Bau AG </v>
          </cell>
          <cell r="D29" t="str">
            <v>8300100078</v>
          </cell>
          <cell r="E29">
            <v>5.1562999999999998E-2</v>
          </cell>
          <cell r="F29">
            <v>-75000</v>
          </cell>
          <cell r="I29">
            <v>-75000</v>
          </cell>
          <cell r="J29">
            <v>-75000</v>
          </cell>
          <cell r="K29">
            <v>-75000</v>
          </cell>
          <cell r="L29">
            <v>0</v>
          </cell>
          <cell r="M29">
            <v>0</v>
          </cell>
          <cell r="O29">
            <v>-75000</v>
          </cell>
        </row>
        <row r="30">
          <cell r="C30" t="str">
            <v xml:space="preserve">ÖBB-Infrastruktur Bau AG </v>
          </cell>
          <cell r="D30" t="str">
            <v>8300100079</v>
          </cell>
          <cell r="E30">
            <v>4.1799999999999997E-2</v>
          </cell>
          <cell r="F30">
            <v>-21400</v>
          </cell>
          <cell r="I30">
            <v>-21400</v>
          </cell>
          <cell r="J30">
            <v>-21400</v>
          </cell>
          <cell r="K30">
            <v>-21400</v>
          </cell>
          <cell r="L30">
            <v>0</v>
          </cell>
          <cell r="M30">
            <v>0</v>
          </cell>
          <cell r="O30">
            <v>-21400</v>
          </cell>
        </row>
        <row r="31">
          <cell r="C31" t="str">
            <v xml:space="preserve">ÖBB-Infrastruktur Bau AG </v>
          </cell>
          <cell r="D31" t="str">
            <v>8300100080</v>
          </cell>
          <cell r="E31">
            <v>3.9399999999999998E-2</v>
          </cell>
          <cell r="F31">
            <v>-48950</v>
          </cell>
          <cell r="I31">
            <v>-48950</v>
          </cell>
          <cell r="J31">
            <v>-48950</v>
          </cell>
          <cell r="K31">
            <v>-48950</v>
          </cell>
          <cell r="L31">
            <v>0</v>
          </cell>
          <cell r="M31">
            <v>0</v>
          </cell>
          <cell r="O31">
            <v>-48950</v>
          </cell>
        </row>
        <row r="32">
          <cell r="C32" t="str">
            <v xml:space="preserve">ÖBB-Infrastruktur Bau AG </v>
          </cell>
          <cell r="D32" t="str">
            <v>8300100081</v>
          </cell>
          <cell r="E32">
            <v>3.5000000000000003E-2</v>
          </cell>
          <cell r="F32">
            <v>-1000000</v>
          </cell>
          <cell r="I32">
            <v>-1000000</v>
          </cell>
          <cell r="J32">
            <v>-1000000</v>
          </cell>
          <cell r="K32">
            <v>-1000000</v>
          </cell>
          <cell r="L32">
            <v>0</v>
          </cell>
          <cell r="M32">
            <v>0</v>
          </cell>
          <cell r="O32">
            <v>-1000000</v>
          </cell>
        </row>
        <row r="33">
          <cell r="C33" t="str">
            <v xml:space="preserve">ÖBB-Infrastruktur Bau AG </v>
          </cell>
          <cell r="D33" t="str">
            <v>8300100083</v>
          </cell>
          <cell r="E33">
            <v>3.4200000000000001E-2</v>
          </cell>
          <cell r="F33">
            <v>-100000</v>
          </cell>
          <cell r="I33">
            <v>-100000</v>
          </cell>
          <cell r="J33">
            <v>-100000</v>
          </cell>
          <cell r="K33">
            <v>-100000</v>
          </cell>
          <cell r="L33">
            <v>0</v>
          </cell>
          <cell r="M33">
            <v>0</v>
          </cell>
          <cell r="O33">
            <v>-100000</v>
          </cell>
        </row>
        <row r="34">
          <cell r="C34" t="str">
            <v xml:space="preserve">ÖBB-Infrastruktur Bau AG </v>
          </cell>
          <cell r="D34" t="str">
            <v>8300100084</v>
          </cell>
          <cell r="E34">
            <v>3.4799999999999998E-2</v>
          </cell>
          <cell r="F34">
            <v>-100000</v>
          </cell>
          <cell r="I34">
            <v>-100000</v>
          </cell>
          <cell r="J34">
            <v>-100000</v>
          </cell>
          <cell r="K34">
            <v>-100000</v>
          </cell>
          <cell r="L34">
            <v>0</v>
          </cell>
          <cell r="M34">
            <v>0</v>
          </cell>
          <cell r="O34">
            <v>-100000</v>
          </cell>
        </row>
        <row r="35">
          <cell r="C35" t="str">
            <v xml:space="preserve">ÖBB-Infrastruktur Bau AG </v>
          </cell>
          <cell r="D35" t="str">
            <v>8300100086</v>
          </cell>
          <cell r="E35">
            <v>3.4089999999999995E-2</v>
          </cell>
          <cell r="F35">
            <v>-50000</v>
          </cell>
          <cell r="I35">
            <v>-50000</v>
          </cell>
          <cell r="J35">
            <v>-50000</v>
          </cell>
          <cell r="K35">
            <v>-50000</v>
          </cell>
          <cell r="L35">
            <v>0</v>
          </cell>
          <cell r="M35">
            <v>0</v>
          </cell>
          <cell r="O35">
            <v>-50000</v>
          </cell>
        </row>
        <row r="36">
          <cell r="C36" t="str">
            <v xml:space="preserve">ÖBB-Infrastruktur Bau AG </v>
          </cell>
          <cell r="D36" t="str">
            <v>8300100087</v>
          </cell>
          <cell r="E36">
            <v>3.4089999999999995E-2</v>
          </cell>
          <cell r="F36">
            <v>-100000</v>
          </cell>
          <cell r="I36">
            <v>-100000</v>
          </cell>
          <cell r="J36">
            <v>-100000</v>
          </cell>
          <cell r="K36">
            <v>-100000</v>
          </cell>
          <cell r="L36">
            <v>0</v>
          </cell>
          <cell r="M36">
            <v>0</v>
          </cell>
          <cell r="O36">
            <v>-100000</v>
          </cell>
        </row>
        <row r="37">
          <cell r="C37" t="str">
            <v xml:space="preserve">ÖBB-Infrastruktur Bau AG </v>
          </cell>
          <cell r="D37" t="str">
            <v>8300100088</v>
          </cell>
          <cell r="E37">
            <v>4.2470000000000001E-2</v>
          </cell>
          <cell r="F37">
            <v>-140000</v>
          </cell>
          <cell r="I37">
            <v>-140000</v>
          </cell>
          <cell r="J37">
            <v>-140000</v>
          </cell>
          <cell r="K37">
            <v>-140000</v>
          </cell>
          <cell r="L37">
            <v>0</v>
          </cell>
          <cell r="M37">
            <v>0</v>
          </cell>
          <cell r="O37">
            <v>-140000</v>
          </cell>
        </row>
        <row r="38">
          <cell r="C38" t="str">
            <v xml:space="preserve">ÖBB-Infrastruktur Bau AG </v>
          </cell>
          <cell r="D38" t="str">
            <v>8300100089</v>
          </cell>
          <cell r="E38">
            <v>3.875E-2</v>
          </cell>
          <cell r="F38">
            <v>-1000000</v>
          </cell>
          <cell r="I38">
            <v>-1000000</v>
          </cell>
          <cell r="J38">
            <v>-1000000</v>
          </cell>
          <cell r="K38">
            <v>-1000000</v>
          </cell>
          <cell r="L38">
            <v>0</v>
          </cell>
          <cell r="M38">
            <v>0</v>
          </cell>
          <cell r="O38">
            <v>-1000000</v>
          </cell>
        </row>
        <row r="39">
          <cell r="C39" t="str">
            <v xml:space="preserve">ÖBB-Infrastruktur Bau AG </v>
          </cell>
          <cell r="D39" t="str">
            <v>8300100090</v>
          </cell>
          <cell r="E39">
            <v>3.49E-2</v>
          </cell>
          <cell r="F39">
            <v>-100000</v>
          </cell>
          <cell r="I39">
            <v>-100000</v>
          </cell>
          <cell r="J39">
            <v>-100000</v>
          </cell>
          <cell r="K39">
            <v>-100000</v>
          </cell>
          <cell r="L39">
            <v>0</v>
          </cell>
          <cell r="M39">
            <v>0</v>
          </cell>
          <cell r="O39">
            <v>-100000</v>
          </cell>
        </row>
        <row r="40">
          <cell r="C40" t="str">
            <v xml:space="preserve">ÖBB-Infrastruktur Bau AG </v>
          </cell>
          <cell r="D40" t="str">
            <v>8300100091</v>
          </cell>
          <cell r="E40">
            <v>3.49E-2</v>
          </cell>
          <cell r="F40">
            <v>-80000</v>
          </cell>
          <cell r="I40">
            <v>-80000</v>
          </cell>
          <cell r="J40">
            <v>-80000</v>
          </cell>
          <cell r="K40">
            <v>-80000</v>
          </cell>
          <cell r="L40">
            <v>0</v>
          </cell>
          <cell r="M40">
            <v>0</v>
          </cell>
          <cell r="O40">
            <v>-80000</v>
          </cell>
        </row>
        <row r="41">
          <cell r="C41" t="str">
            <v xml:space="preserve">ÖBB-Infrastruktur Bau AG </v>
          </cell>
          <cell r="D41" t="str">
            <v>8300100094</v>
          </cell>
          <cell r="E41">
            <v>4.8750000000000002E-2</v>
          </cell>
          <cell r="F41">
            <v>-1300000</v>
          </cell>
          <cell r="I41">
            <v>-1300000</v>
          </cell>
          <cell r="J41">
            <v>-1300000</v>
          </cell>
          <cell r="K41">
            <v>-1300000</v>
          </cell>
          <cell r="L41">
            <v>0</v>
          </cell>
          <cell r="M41">
            <v>0</v>
          </cell>
          <cell r="O41">
            <v>-1300000</v>
          </cell>
        </row>
        <row r="42">
          <cell r="C42" t="str">
            <v xml:space="preserve">ÖBB-Infrastruktur Bau AG </v>
          </cell>
          <cell r="D42" t="str">
            <v>8300100095</v>
          </cell>
          <cell r="E42">
            <v>4.172E-2</v>
          </cell>
          <cell r="F42">
            <v>-100000</v>
          </cell>
          <cell r="I42">
            <v>-100000</v>
          </cell>
          <cell r="J42">
            <v>-100000</v>
          </cell>
          <cell r="K42">
            <v>-100000</v>
          </cell>
          <cell r="L42">
            <v>0</v>
          </cell>
          <cell r="M42">
            <v>0</v>
          </cell>
          <cell r="O42">
            <v>-100000</v>
          </cell>
        </row>
        <row r="43">
          <cell r="C43" t="str">
            <v xml:space="preserve">ÖBB-Infrastruktur Bau AG </v>
          </cell>
          <cell r="D43" t="str">
            <v>8300100096</v>
          </cell>
          <cell r="E43">
            <v>4.3979999999999998E-2</v>
          </cell>
          <cell r="F43">
            <v>-100000</v>
          </cell>
          <cell r="I43">
            <v>-100000</v>
          </cell>
          <cell r="J43">
            <v>-100000</v>
          </cell>
          <cell r="K43">
            <v>-100000</v>
          </cell>
          <cell r="L43">
            <v>0</v>
          </cell>
          <cell r="M43">
            <v>0</v>
          </cell>
          <cell r="O43">
            <v>-100000</v>
          </cell>
        </row>
        <row r="44">
          <cell r="C44" t="str">
            <v xml:space="preserve">ÖBB-Infrastruktur Bau AG </v>
          </cell>
          <cell r="D44" t="str">
            <v>8300100097</v>
          </cell>
          <cell r="E44">
            <v>4.3979999999999998E-2</v>
          </cell>
          <cell r="F44">
            <v>-50000</v>
          </cell>
          <cell r="I44">
            <v>-50000</v>
          </cell>
          <cell r="J44">
            <v>-50000</v>
          </cell>
          <cell r="K44">
            <v>-50000</v>
          </cell>
          <cell r="L44">
            <v>0</v>
          </cell>
          <cell r="M44">
            <v>0</v>
          </cell>
          <cell r="O44">
            <v>-50000</v>
          </cell>
        </row>
        <row r="45">
          <cell r="C45" t="str">
            <v xml:space="preserve">ÖBB-Infrastruktur Bau AG </v>
          </cell>
          <cell r="D45" t="str">
            <v>8300100098</v>
          </cell>
          <cell r="E45">
            <v>4.2270000000000002E-2</v>
          </cell>
          <cell r="F45">
            <v>-100000</v>
          </cell>
          <cell r="I45">
            <v>-100000</v>
          </cell>
          <cell r="J45">
            <v>-100000</v>
          </cell>
          <cell r="K45">
            <v>-100000</v>
          </cell>
          <cell r="L45">
            <v>0</v>
          </cell>
          <cell r="M45">
            <v>0</v>
          </cell>
          <cell r="O45">
            <v>-100000</v>
          </cell>
        </row>
        <row r="46">
          <cell r="C46" t="str">
            <v xml:space="preserve">ÖBB-Infrastruktur Bau AG </v>
          </cell>
          <cell r="D46" t="str">
            <v>8300100099</v>
          </cell>
          <cell r="E46">
            <v>0</v>
          </cell>
          <cell r="F46">
            <v>-50000</v>
          </cell>
          <cell r="I46">
            <v>-50000</v>
          </cell>
          <cell r="J46">
            <v>-50000</v>
          </cell>
          <cell r="K46">
            <v>-50000</v>
          </cell>
          <cell r="L46">
            <v>0</v>
          </cell>
          <cell r="M46">
            <v>0</v>
          </cell>
          <cell r="O46">
            <v>-50000</v>
          </cell>
        </row>
        <row r="47">
          <cell r="C47" t="str">
            <v xml:space="preserve">ÖBB-Infrastruktur Bau AG </v>
          </cell>
          <cell r="D47" t="str">
            <v>8300100100</v>
          </cell>
          <cell r="E47">
            <v>4.8129999999999999E-2</v>
          </cell>
          <cell r="F47">
            <v>-200000</v>
          </cell>
          <cell r="I47">
            <v>-200000</v>
          </cell>
          <cell r="J47">
            <v>-200000</v>
          </cell>
          <cell r="K47">
            <v>-200000</v>
          </cell>
          <cell r="L47">
            <v>0</v>
          </cell>
          <cell r="M47">
            <v>0</v>
          </cell>
          <cell r="O47">
            <v>-200000</v>
          </cell>
        </row>
        <row r="48">
          <cell r="C48" t="str">
            <v xml:space="preserve">ÖBB-Infrastruktur Bau AG </v>
          </cell>
          <cell r="D48" t="str">
            <v>8300100101</v>
          </cell>
          <cell r="E48">
            <v>3.9849999999999997E-2</v>
          </cell>
          <cell r="F48">
            <v>-50000</v>
          </cell>
          <cell r="I48">
            <v>-50000</v>
          </cell>
          <cell r="J48">
            <v>-50000</v>
          </cell>
          <cell r="K48">
            <v>-50000</v>
          </cell>
          <cell r="L48">
            <v>0</v>
          </cell>
          <cell r="M48">
            <v>0</v>
          </cell>
          <cell r="O48">
            <v>-50000</v>
          </cell>
        </row>
        <row r="49">
          <cell r="C49" t="str">
            <v xml:space="preserve">ÖBB-Infrastruktur Bau AG </v>
          </cell>
          <cell r="D49" t="str">
            <v>8300100102</v>
          </cell>
          <cell r="E49">
            <v>4.6820000000000001E-2</v>
          </cell>
          <cell r="F49">
            <v>-200000</v>
          </cell>
          <cell r="I49">
            <v>-200000</v>
          </cell>
          <cell r="J49">
            <v>-200000</v>
          </cell>
          <cell r="K49">
            <v>-200000</v>
          </cell>
          <cell r="L49">
            <v>0</v>
          </cell>
          <cell r="M49">
            <v>0</v>
          </cell>
          <cell r="O49">
            <v>-200000</v>
          </cell>
        </row>
        <row r="50">
          <cell r="C50" t="str">
            <v xml:space="preserve">ÖBB-Infrastruktur Bau AG </v>
          </cell>
          <cell r="D50" t="str">
            <v>8300100103</v>
          </cell>
          <cell r="E50">
            <v>3.875E-2</v>
          </cell>
          <cell r="F50">
            <v>-1000000</v>
          </cell>
          <cell r="I50">
            <v>-1000000</v>
          </cell>
          <cell r="J50">
            <v>-1000000</v>
          </cell>
          <cell r="L50">
            <v>0</v>
          </cell>
          <cell r="M50">
            <v>-1000000</v>
          </cell>
        </row>
        <row r="51">
          <cell r="C51" t="str">
            <v xml:space="preserve">ÖBB-Infrastruktur Bau AG </v>
          </cell>
          <cell r="D51" t="str">
            <v>8300100104</v>
          </cell>
          <cell r="E51">
            <v>2.2500000023637119E-2</v>
          </cell>
          <cell r="F51">
            <v>-164994.72</v>
          </cell>
          <cell r="I51">
            <v>-164994.72</v>
          </cell>
          <cell r="L51">
            <v>-164994.72</v>
          </cell>
        </row>
        <row r="52">
          <cell r="C52" t="str">
            <v xml:space="preserve">ÖBB-Infrastruktur Bau AG </v>
          </cell>
          <cell r="D52" t="str">
            <v>8300100105</v>
          </cell>
          <cell r="E52">
            <v>2.7500000079892364E-2</v>
          </cell>
          <cell r="F52">
            <v>-108896.515</v>
          </cell>
          <cell r="I52">
            <v>-108896.515</v>
          </cell>
          <cell r="J52">
            <v>-108090.40300000001</v>
          </cell>
          <cell r="L52">
            <v>-806.11199999999371</v>
          </cell>
          <cell r="M52">
            <v>-108090.40300000001</v>
          </cell>
        </row>
        <row r="53">
          <cell r="C53" t="str">
            <v xml:space="preserve">ÖBB-Infrastruktur Bau AG </v>
          </cell>
          <cell r="D53" t="str">
            <v>8300100106</v>
          </cell>
          <cell r="E53">
            <v>2.1199999915401332E-2</v>
          </cell>
          <cell r="F53">
            <v>-79197.466</v>
          </cell>
          <cell r="I53">
            <v>-79197.466</v>
          </cell>
          <cell r="J53">
            <v>-78611.202000000005</v>
          </cell>
          <cell r="L53">
            <v>-586.26399999999558</v>
          </cell>
          <cell r="M53">
            <v>-78611.202000000005</v>
          </cell>
        </row>
        <row r="54">
          <cell r="C54" t="str">
            <v xml:space="preserve">ÖBB-Infrastruktur Bau AG </v>
          </cell>
          <cell r="D54" t="str">
            <v>8300100107</v>
          </cell>
          <cell r="E54">
            <v>4.8750000000000002E-2</v>
          </cell>
          <cell r="F54">
            <v>-200000</v>
          </cell>
          <cell r="I54">
            <v>-200000</v>
          </cell>
          <cell r="J54">
            <v>-200000</v>
          </cell>
          <cell r="K54">
            <v>-200000</v>
          </cell>
          <cell r="L54">
            <v>0</v>
          </cell>
          <cell r="M54">
            <v>0</v>
          </cell>
          <cell r="O54">
            <v>-200000</v>
          </cell>
        </row>
        <row r="55">
          <cell r="C55" t="str">
            <v xml:space="preserve">ÖBB-Infrastruktur Bau AG </v>
          </cell>
          <cell r="D55" t="str">
            <v>8300100108</v>
          </cell>
          <cell r="E55">
            <v>3.5799999999999998E-2</v>
          </cell>
          <cell r="F55">
            <v>-200000</v>
          </cell>
          <cell r="I55">
            <v>-200000</v>
          </cell>
          <cell r="J55">
            <v>-200000</v>
          </cell>
          <cell r="K55">
            <v>-200000</v>
          </cell>
          <cell r="L55">
            <v>0</v>
          </cell>
          <cell r="M55">
            <v>0</v>
          </cell>
          <cell r="O55">
            <v>-200000</v>
          </cell>
        </row>
        <row r="56">
          <cell r="C56" t="str">
            <v xml:space="preserve">ÖBB-Infrastruktur Bau AG </v>
          </cell>
          <cell r="D56" t="str">
            <v>8300200444</v>
          </cell>
          <cell r="E56">
            <v>2.4940000483253497E-2</v>
          </cell>
          <cell r="F56">
            <v>-5090.4960000000001</v>
          </cell>
          <cell r="I56">
            <v>-5090.4960000000001</v>
          </cell>
          <cell r="L56">
            <v>-5090.4960000000001</v>
          </cell>
        </row>
        <row r="57">
          <cell r="C57" t="str">
            <v xml:space="preserve">ÖBB-Infrastruktur Bau AG </v>
          </cell>
          <cell r="D57" t="str">
            <v>8300400000</v>
          </cell>
          <cell r="E57">
            <v>4.7499999978244306E-2</v>
          </cell>
          <cell r="G57">
            <v>432070.935</v>
          </cell>
          <cell r="I57">
            <v>432070.935</v>
          </cell>
          <cell r="J57">
            <v>406820.43300000002</v>
          </cell>
          <cell r="L57">
            <v>25250.501999999979</v>
          </cell>
          <cell r="M57">
            <v>406820.43300000002</v>
          </cell>
        </row>
        <row r="58">
          <cell r="C58" t="str">
            <v xml:space="preserve">ÖBB-Infrastruktur Bau AG </v>
          </cell>
          <cell r="D58" t="str">
            <v>8300400001</v>
          </cell>
          <cell r="E58">
            <v>4.53E-2</v>
          </cell>
          <cell r="G58">
            <v>-50000</v>
          </cell>
          <cell r="I58">
            <v>-50000</v>
          </cell>
          <cell r="J58">
            <v>-50000</v>
          </cell>
          <cell r="L58">
            <v>0</v>
          </cell>
          <cell r="M58">
            <v>-50000</v>
          </cell>
        </row>
        <row r="59">
          <cell r="C59" t="str">
            <v xml:space="preserve">ÖBB-Infrastruktur Bau AG </v>
          </cell>
          <cell r="D59" t="str">
            <v>8300400002</v>
          </cell>
          <cell r="E59">
            <v>4.53E-2</v>
          </cell>
          <cell r="G59">
            <v>-50000</v>
          </cell>
          <cell r="I59">
            <v>-50000</v>
          </cell>
          <cell r="J59">
            <v>-50000</v>
          </cell>
          <cell r="L59">
            <v>0</v>
          </cell>
          <cell r="M59">
            <v>-50000</v>
          </cell>
        </row>
        <row r="60">
          <cell r="C60" t="str">
            <v xml:space="preserve">ÖBB-Infrastruktur Bau AG </v>
          </cell>
          <cell r="D60" t="str">
            <v>8300400003</v>
          </cell>
          <cell r="E60">
            <v>4.2500000000000003E-2</v>
          </cell>
          <cell r="G60">
            <v>-50000</v>
          </cell>
          <cell r="I60">
            <v>-50000</v>
          </cell>
          <cell r="J60">
            <v>-50000</v>
          </cell>
          <cell r="L60">
            <v>0</v>
          </cell>
          <cell r="M60">
            <v>-50000</v>
          </cell>
        </row>
        <row r="61">
          <cell r="C61" t="str">
            <v xml:space="preserve">ÖBB-Infrastruktur Bau AG </v>
          </cell>
          <cell r="D61" t="str">
            <v>8300400007</v>
          </cell>
          <cell r="E61">
            <v>5.135E-2</v>
          </cell>
          <cell r="G61">
            <v>-25000</v>
          </cell>
          <cell r="I61">
            <v>-25000</v>
          </cell>
          <cell r="J61">
            <v>-25000</v>
          </cell>
          <cell r="L61">
            <v>0</v>
          </cell>
          <cell r="M61">
            <v>-25000</v>
          </cell>
        </row>
        <row r="62">
          <cell r="C62" t="str">
            <v xml:space="preserve">ÖBB-Infrastruktur Bau AG </v>
          </cell>
          <cell r="D62" t="str">
            <v>8300400009</v>
          </cell>
          <cell r="E62">
            <v>3.9399999999999998E-2</v>
          </cell>
          <cell r="G62">
            <v>-10000</v>
          </cell>
          <cell r="I62">
            <v>-10000</v>
          </cell>
          <cell r="J62">
            <v>-10000</v>
          </cell>
          <cell r="L62">
            <v>0</v>
          </cell>
          <cell r="M62">
            <v>-10000</v>
          </cell>
        </row>
        <row r="63">
          <cell r="C63" t="str">
            <v xml:space="preserve">ÖBB-Infrastruktur Bau AG </v>
          </cell>
          <cell r="D63" t="str">
            <v>8300400010</v>
          </cell>
          <cell r="E63">
            <v>5.21E-2</v>
          </cell>
          <cell r="G63">
            <v>-20000</v>
          </cell>
          <cell r="I63">
            <v>-20000</v>
          </cell>
          <cell r="J63">
            <v>-20000</v>
          </cell>
          <cell r="L63">
            <v>0</v>
          </cell>
          <cell r="M63">
            <v>-20000</v>
          </cell>
        </row>
        <row r="64">
          <cell r="C64" t="str">
            <v xml:space="preserve">ÖBB-Infrastruktur Bau AG </v>
          </cell>
          <cell r="D64" t="str">
            <v>8300400011</v>
          </cell>
          <cell r="E64">
            <v>4.9249999999999995E-2</v>
          </cell>
          <cell r="G64">
            <v>-15000</v>
          </cell>
          <cell r="I64">
            <v>-15000</v>
          </cell>
          <cell r="J64">
            <v>-15000</v>
          </cell>
          <cell r="L64">
            <v>0</v>
          </cell>
          <cell r="M64">
            <v>-15000</v>
          </cell>
        </row>
        <row r="65">
          <cell r="C65" t="str">
            <v xml:space="preserve">ÖBB-Infrastruktur Bau AG </v>
          </cell>
          <cell r="D65" t="str">
            <v>8300400013</v>
          </cell>
          <cell r="E65">
            <v>4.4500000000000005E-2</v>
          </cell>
          <cell r="G65">
            <v>-35000</v>
          </cell>
          <cell r="I65">
            <v>-35000</v>
          </cell>
          <cell r="J65">
            <v>-35000</v>
          </cell>
          <cell r="L65">
            <v>0</v>
          </cell>
          <cell r="M65">
            <v>-35000</v>
          </cell>
        </row>
        <row r="66">
          <cell r="C66" t="str">
            <v xml:space="preserve">ÖBB-Infrastruktur Bau AG </v>
          </cell>
          <cell r="D66" t="str">
            <v>8300400014</v>
          </cell>
          <cell r="E66">
            <v>4.2050000000000004E-2</v>
          </cell>
          <cell r="G66">
            <v>-30000</v>
          </cell>
          <cell r="I66">
            <v>-30000</v>
          </cell>
          <cell r="J66">
            <v>-30000</v>
          </cell>
          <cell r="L66">
            <v>0</v>
          </cell>
          <cell r="M66">
            <v>-30000</v>
          </cell>
        </row>
        <row r="67">
          <cell r="C67" t="str">
            <v xml:space="preserve">ÖBB-Infrastruktur Bau AG </v>
          </cell>
          <cell r="D67" t="str">
            <v>8300400019</v>
          </cell>
          <cell r="E67">
            <v>0.04</v>
          </cell>
          <cell r="G67">
            <v>-15000</v>
          </cell>
          <cell r="I67">
            <v>-15000</v>
          </cell>
          <cell r="J67">
            <v>-15000</v>
          </cell>
          <cell r="L67">
            <v>0</v>
          </cell>
          <cell r="M67">
            <v>-15000</v>
          </cell>
        </row>
        <row r="68">
          <cell r="C68" t="str">
            <v xml:space="preserve">ÖBB-Infrastruktur Bau AG </v>
          </cell>
          <cell r="D68" t="str">
            <v>8300400020</v>
          </cell>
          <cell r="E68">
            <v>3.9E-2</v>
          </cell>
          <cell r="G68">
            <v>-15000</v>
          </cell>
          <cell r="I68">
            <v>-15000</v>
          </cell>
          <cell r="J68">
            <v>-15000</v>
          </cell>
          <cell r="L68">
            <v>0</v>
          </cell>
          <cell r="M68">
            <v>-15000</v>
          </cell>
        </row>
        <row r="69">
          <cell r="C69" t="str">
            <v xml:space="preserve">ÖBB-Infrastruktur Bau AG </v>
          </cell>
          <cell r="D69" t="str">
            <v>8300400023</v>
          </cell>
          <cell r="E69">
            <v>4.1299999999999996E-2</v>
          </cell>
          <cell r="G69">
            <v>-6500</v>
          </cell>
          <cell r="I69">
            <v>-6500</v>
          </cell>
          <cell r="J69">
            <v>-5500</v>
          </cell>
          <cell r="K69">
            <v>-1500</v>
          </cell>
          <cell r="L69">
            <v>-1000</v>
          </cell>
          <cell r="M69">
            <v>-4000</v>
          </cell>
          <cell r="O69">
            <v>-1500</v>
          </cell>
        </row>
        <row r="70">
          <cell r="C70" t="str">
            <v xml:space="preserve">ÖBB-Infrastruktur Bau AG </v>
          </cell>
          <cell r="D70" t="str">
            <v>8300400025</v>
          </cell>
          <cell r="E70">
            <v>3.95E-2</v>
          </cell>
          <cell r="G70">
            <v>-15000</v>
          </cell>
          <cell r="I70">
            <v>-15000</v>
          </cell>
          <cell r="J70">
            <v>-15000</v>
          </cell>
          <cell r="L70">
            <v>0</v>
          </cell>
          <cell r="M70">
            <v>-15000</v>
          </cell>
        </row>
        <row r="71">
          <cell r="C71" t="str">
            <v xml:space="preserve">ÖBB-Infrastruktur Bau AG </v>
          </cell>
          <cell r="D71" t="str">
            <v>8300400026</v>
          </cell>
          <cell r="E71">
            <v>4.1500000000000002E-2</v>
          </cell>
          <cell r="G71">
            <v>-15000</v>
          </cell>
          <cell r="I71">
            <v>-15000</v>
          </cell>
          <cell r="J71">
            <v>-15000</v>
          </cell>
          <cell r="L71">
            <v>0</v>
          </cell>
          <cell r="M71">
            <v>-15000</v>
          </cell>
        </row>
        <row r="72">
          <cell r="C72" t="str">
            <v xml:space="preserve">ÖBB-Infrastruktur Bau AG </v>
          </cell>
          <cell r="D72" t="str">
            <v>8300400030</v>
          </cell>
          <cell r="E72">
            <v>4.4800000000000006E-2</v>
          </cell>
          <cell r="G72">
            <v>-524000</v>
          </cell>
          <cell r="I72">
            <v>-524000</v>
          </cell>
          <cell r="J72">
            <v>-524000</v>
          </cell>
          <cell r="L72">
            <v>0</v>
          </cell>
          <cell r="M72">
            <v>-524000</v>
          </cell>
        </row>
        <row r="73">
          <cell r="C73" t="str">
            <v xml:space="preserve">ÖBB-Infrastruktur Bau AG </v>
          </cell>
          <cell r="D73" t="str">
            <v>8300400031</v>
          </cell>
          <cell r="E73">
            <v>4.6249999960963198E-2</v>
          </cell>
          <cell r="G73">
            <v>450856.62800000003</v>
          </cell>
          <cell r="I73">
            <v>450856.62800000003</v>
          </cell>
          <cell r="J73">
            <v>424508.27799999999</v>
          </cell>
          <cell r="L73">
            <v>26348.35</v>
          </cell>
          <cell r="M73">
            <v>424508.27799999999</v>
          </cell>
        </row>
        <row r="74">
          <cell r="C74" t="str">
            <v xml:space="preserve">ÖBB-Infrastruktur Bau AG </v>
          </cell>
          <cell r="D74" t="str">
            <v>8300400063</v>
          </cell>
          <cell r="E74">
            <v>3.9450000000000006E-2</v>
          </cell>
          <cell r="G74">
            <v>-5090.4960000000001</v>
          </cell>
          <cell r="I74">
            <v>-5090.4960000000001</v>
          </cell>
          <cell r="J74">
            <v>-4753.652</v>
          </cell>
          <cell r="K74">
            <v>-3262.386</v>
          </cell>
          <cell r="L74">
            <v>-336.84400000000005</v>
          </cell>
          <cell r="M74">
            <v>-1491.2660000000001</v>
          </cell>
          <cell r="O74">
            <v>-3262.386</v>
          </cell>
        </row>
        <row r="75">
          <cell r="C75" t="str">
            <v xml:space="preserve">ÖBB-Infrastruktur Bau AG </v>
          </cell>
          <cell r="D75" t="str">
            <v>8300400067</v>
          </cell>
          <cell r="E75">
            <v>0</v>
          </cell>
          <cell r="G75">
            <v>0</v>
          </cell>
          <cell r="I75">
            <v>0</v>
          </cell>
          <cell r="J75">
            <v>0</v>
          </cell>
          <cell r="K75">
            <v>0</v>
          </cell>
          <cell r="L75">
            <v>0</v>
          </cell>
          <cell r="M75">
            <v>0</v>
          </cell>
          <cell r="O75">
            <v>0</v>
          </cell>
        </row>
        <row r="76">
          <cell r="C76" t="str">
            <v xml:space="preserve">ÖBB-Infrastruktur Bau AG </v>
          </cell>
          <cell r="D76" t="str">
            <v>8300400074</v>
          </cell>
          <cell r="E76">
            <v>4.36E-2</v>
          </cell>
          <cell r="G76">
            <v>-10000</v>
          </cell>
          <cell r="I76">
            <v>-10000</v>
          </cell>
          <cell r="J76">
            <v>-10000</v>
          </cell>
          <cell r="L76">
            <v>0</v>
          </cell>
          <cell r="M76">
            <v>-10000</v>
          </cell>
        </row>
        <row r="77">
          <cell r="C77" t="str">
            <v xml:space="preserve">ÖBB-Infrastruktur Bau AG </v>
          </cell>
          <cell r="D77" t="str">
            <v>8300400075</v>
          </cell>
          <cell r="E77">
            <v>4.36E-2</v>
          </cell>
          <cell r="G77">
            <v>-10000</v>
          </cell>
          <cell r="I77">
            <v>-10000</v>
          </cell>
          <cell r="J77">
            <v>-10000</v>
          </cell>
          <cell r="L77">
            <v>0</v>
          </cell>
          <cell r="M77">
            <v>-10000</v>
          </cell>
        </row>
        <row r="78">
          <cell r="C78" t="str">
            <v xml:space="preserve">ÖBB-Infrastruktur Bau AG </v>
          </cell>
          <cell r="D78" t="str">
            <v>8300400076</v>
          </cell>
          <cell r="E78">
            <v>4.8750000000000002E-2</v>
          </cell>
          <cell r="G78">
            <v>20000</v>
          </cell>
          <cell r="I78">
            <v>20000</v>
          </cell>
          <cell r="J78">
            <v>20000</v>
          </cell>
          <cell r="K78">
            <v>20000</v>
          </cell>
          <cell r="L78">
            <v>0</v>
          </cell>
          <cell r="M78">
            <v>0</v>
          </cell>
          <cell r="O78">
            <v>20000</v>
          </cell>
        </row>
        <row r="79">
          <cell r="C79" t="str">
            <v xml:space="preserve">ÖBB-Infrastruktur Bau AG </v>
          </cell>
          <cell r="D79" t="str">
            <v>8300400077</v>
          </cell>
          <cell r="E79">
            <v>3.875E-2</v>
          </cell>
          <cell r="G79">
            <v>-15000</v>
          </cell>
          <cell r="I79">
            <v>-15000</v>
          </cell>
          <cell r="J79">
            <v>-15000</v>
          </cell>
          <cell r="L79">
            <v>0</v>
          </cell>
          <cell r="M79">
            <v>-15000</v>
          </cell>
        </row>
        <row r="80">
          <cell r="C80" t="str">
            <v xml:space="preserve">ÖBB-Infrastruktur Bau AG </v>
          </cell>
          <cell r="D80" t="str">
            <v>8300400078</v>
          </cell>
          <cell r="E80">
            <v>3.875E-2</v>
          </cell>
          <cell r="G80">
            <v>-15000</v>
          </cell>
          <cell r="I80">
            <v>-15000</v>
          </cell>
          <cell r="J80">
            <v>-15000</v>
          </cell>
          <cell r="L80">
            <v>0</v>
          </cell>
          <cell r="M80">
            <v>-15000</v>
          </cell>
        </row>
        <row r="81">
          <cell r="C81" t="str">
            <v xml:space="preserve">ÖBB-Infrastruktur Bau AG </v>
          </cell>
          <cell r="D81" t="str">
            <v>8300400079</v>
          </cell>
          <cell r="E81">
            <v>0.76478984928368787</v>
          </cell>
          <cell r="G81">
            <v>-1556.2349999999999</v>
          </cell>
          <cell r="I81">
            <v>-1556.2349999999999</v>
          </cell>
          <cell r="J81">
            <v>-2142.4989999999998</v>
          </cell>
          <cell r="L81">
            <v>586.2639999999999</v>
          </cell>
          <cell r="M81">
            <v>-2142.4989999999998</v>
          </cell>
        </row>
        <row r="82">
          <cell r="C82" t="str">
            <v xml:space="preserve">ÖBB-Infrastruktur Bau AG </v>
          </cell>
          <cell r="D82" t="str">
            <v>8300400080</v>
          </cell>
          <cell r="E82">
            <v>0.28915667532977901</v>
          </cell>
          <cell r="G82">
            <v>-2605.6840000000002</v>
          </cell>
          <cell r="I82">
            <v>-2605.6840000000002</v>
          </cell>
          <cell r="J82">
            <v>-3008.741</v>
          </cell>
          <cell r="L82">
            <v>403.05699999999979</v>
          </cell>
          <cell r="M82">
            <v>-3008.741</v>
          </cell>
        </row>
        <row r="83">
          <cell r="C83" t="str">
            <v xml:space="preserve">ÖBB-Infrastruktur Bau AG </v>
          </cell>
          <cell r="D83" t="str">
            <v>8300400081</v>
          </cell>
          <cell r="E83">
            <v>0.28915667532977901</v>
          </cell>
          <cell r="G83">
            <v>-2605.6840000000002</v>
          </cell>
          <cell r="I83">
            <v>-2605.6840000000002</v>
          </cell>
          <cell r="J83">
            <v>-3008.741</v>
          </cell>
          <cell r="L83">
            <v>403.05699999999979</v>
          </cell>
          <cell r="M83">
            <v>-3008.741</v>
          </cell>
        </row>
        <row r="84">
          <cell r="C84" t="str">
            <v xml:space="preserve">ÖBB-Infrastruktur Bau AG </v>
          </cell>
          <cell r="D84" t="str">
            <v>8300400082</v>
          </cell>
          <cell r="E84">
            <v>0.32705369836982251</v>
          </cell>
          <cell r="G84">
            <v>-3316.326</v>
          </cell>
          <cell r="I84">
            <v>-3316.326</v>
          </cell>
          <cell r="L84">
            <v>-3316.326</v>
          </cell>
        </row>
        <row r="85">
          <cell r="C85" t="str">
            <v xml:space="preserve">ÖBB-Infrastruktur Bau AG </v>
          </cell>
          <cell r="D85" t="str">
            <v>8300400083</v>
          </cell>
          <cell r="E85">
            <v>0.32705369836982251</v>
          </cell>
          <cell r="G85">
            <v>-3316.326</v>
          </cell>
          <cell r="I85">
            <v>-3316.326</v>
          </cell>
          <cell r="L85">
            <v>-3316.326</v>
          </cell>
        </row>
        <row r="86">
          <cell r="C86" t="str">
            <v xml:space="preserve">ÖBB-Infrastruktur Bau AG </v>
          </cell>
          <cell r="D86" t="str">
            <v>8300400084</v>
          </cell>
          <cell r="E86">
            <v>82.549902640642941</v>
          </cell>
          <cell r="G86">
            <v>-1.742</v>
          </cell>
          <cell r="I86">
            <v>-1.742</v>
          </cell>
          <cell r="L86">
            <v>-1.742</v>
          </cell>
        </row>
        <row r="87">
          <cell r="C87" t="str">
            <v xml:space="preserve">ÖBB-Infrastruktur Bau AG </v>
          </cell>
          <cell r="D87" t="str">
            <v>8300400085</v>
          </cell>
          <cell r="E87">
            <v>82.549902640642941</v>
          </cell>
          <cell r="G87">
            <v>-1.742</v>
          </cell>
          <cell r="I87">
            <v>-1.742</v>
          </cell>
          <cell r="L87">
            <v>-1.742</v>
          </cell>
        </row>
        <row r="88">
          <cell r="B88" t="str">
            <v>fix</v>
          </cell>
          <cell r="E88">
            <v>4.1103918340423588E-2</v>
          </cell>
          <cell r="F88">
            <v>-9272888.2310000006</v>
          </cell>
          <cell r="G88">
            <v>-41066.671999999962</v>
          </cell>
          <cell r="I88">
            <v>-9313954.9030000009</v>
          </cell>
          <cell r="J88">
            <v>-8469510.3279999997</v>
          </cell>
          <cell r="K88">
            <v>-6000112.3859999999</v>
          </cell>
          <cell r="L88">
            <v>-844444.57500000112</v>
          </cell>
          <cell r="M88">
            <v>-2469397.9419999998</v>
          </cell>
          <cell r="O88">
            <v>-6000112.3859999999</v>
          </cell>
        </row>
        <row r="89">
          <cell r="B89" t="str">
            <v>var</v>
          </cell>
          <cell r="C89" t="str">
            <v xml:space="preserve">ÖBB-Infrastruktur Bau AG </v>
          </cell>
          <cell r="D89" t="str">
            <v>8300100022</v>
          </cell>
          <cell r="E89">
            <v>1.7599999401179942E-2</v>
          </cell>
          <cell r="F89">
            <v>-13526.601000000001</v>
          </cell>
          <cell r="I89">
            <v>-13526.601000000001</v>
          </cell>
          <cell r="J89">
            <v>-10916.655000000001</v>
          </cell>
          <cell r="K89">
            <v>-3638.8850000000002</v>
          </cell>
          <cell r="L89">
            <v>-2609.9459999999999</v>
          </cell>
          <cell r="M89">
            <v>-7277.77</v>
          </cell>
          <cell r="O89">
            <v>-3638.8850000000002</v>
          </cell>
        </row>
        <row r="90">
          <cell r="C90" t="str">
            <v xml:space="preserve">ÖBB-Infrastruktur Bau AG </v>
          </cell>
          <cell r="D90" t="str">
            <v>8300100023</v>
          </cell>
          <cell r="E90">
            <v>1.7499999408572782E-2</v>
          </cell>
          <cell r="F90">
            <v>-13526.601000000001</v>
          </cell>
          <cell r="I90">
            <v>-13526.601000000001</v>
          </cell>
          <cell r="J90">
            <v>-10916.655000000001</v>
          </cell>
          <cell r="K90">
            <v>-3638.8850000000002</v>
          </cell>
          <cell r="L90">
            <v>-2609.9459999999999</v>
          </cell>
          <cell r="M90">
            <v>-7277.77</v>
          </cell>
          <cell r="O90">
            <v>-3638.8850000000002</v>
          </cell>
        </row>
        <row r="91">
          <cell r="C91" t="str">
            <v xml:space="preserve">ÖBB-Infrastruktur Bau AG </v>
          </cell>
          <cell r="D91" t="str">
            <v>8300100025</v>
          </cell>
          <cell r="E91">
            <v>2.0299999999999999E-2</v>
          </cell>
          <cell r="F91">
            <v>-17550</v>
          </cell>
          <cell r="I91">
            <v>-17550</v>
          </cell>
          <cell r="J91">
            <v>-14850</v>
          </cell>
          <cell r="K91">
            <v>-4050</v>
          </cell>
          <cell r="L91">
            <v>-2700</v>
          </cell>
          <cell r="M91">
            <v>-10800</v>
          </cell>
          <cell r="O91">
            <v>-4050</v>
          </cell>
        </row>
        <row r="92">
          <cell r="C92" t="str">
            <v xml:space="preserve">ÖBB-Infrastruktur Bau AG </v>
          </cell>
          <cell r="D92" t="str">
            <v>8300100026</v>
          </cell>
          <cell r="E92">
            <v>2.0299999999999999E-2</v>
          </cell>
          <cell r="F92">
            <v>-6500</v>
          </cell>
          <cell r="I92">
            <v>-6500</v>
          </cell>
          <cell r="J92">
            <v>-5500</v>
          </cell>
          <cell r="K92">
            <v>-1500</v>
          </cell>
          <cell r="L92">
            <v>-1000</v>
          </cell>
          <cell r="M92">
            <v>-4000</v>
          </cell>
          <cell r="O92">
            <v>-1500</v>
          </cell>
        </row>
        <row r="93">
          <cell r="C93" t="str">
            <v xml:space="preserve">ÖBB-Infrastruktur Bau AG </v>
          </cell>
          <cell r="D93" t="str">
            <v>8300100027</v>
          </cell>
          <cell r="E93">
            <v>2.6940801956715089E-2</v>
          </cell>
          <cell r="F93">
            <v>-13.492000000000001</v>
          </cell>
          <cell r="I93">
            <v>-13.492000000000001</v>
          </cell>
          <cell r="L93">
            <v>-13.492000000000001</v>
          </cell>
        </row>
        <row r="94">
          <cell r="C94" t="str">
            <v xml:space="preserve">ÖBB-Infrastruktur Bau AG </v>
          </cell>
          <cell r="D94" t="str">
            <v>8300100029</v>
          </cell>
          <cell r="E94">
            <v>2.146E-2</v>
          </cell>
          <cell r="F94">
            <v>-54500</v>
          </cell>
          <cell r="I94">
            <v>-54500</v>
          </cell>
          <cell r="J94">
            <v>-54500</v>
          </cell>
          <cell r="L94">
            <v>0</v>
          </cell>
          <cell r="M94">
            <v>-54500</v>
          </cell>
        </row>
        <row r="95">
          <cell r="C95" t="str">
            <v xml:space="preserve">ÖBB-Infrastruktur Bau AG </v>
          </cell>
          <cell r="D95" t="str">
            <v>8300100030</v>
          </cell>
          <cell r="E95">
            <v>4.0129999999999999E-2</v>
          </cell>
          <cell r="F95">
            <v>-125400</v>
          </cell>
          <cell r="I95">
            <v>-125400</v>
          </cell>
          <cell r="J95">
            <v>-125400</v>
          </cell>
          <cell r="L95">
            <v>0</v>
          </cell>
          <cell r="M95">
            <v>-125400</v>
          </cell>
        </row>
        <row r="96">
          <cell r="C96" t="str">
            <v xml:space="preserve">ÖBB-Infrastruktur Bau AG </v>
          </cell>
          <cell r="D96" t="str">
            <v>8300100031</v>
          </cell>
          <cell r="E96">
            <v>4.0439999999999997E-2</v>
          </cell>
          <cell r="F96">
            <v>-96000</v>
          </cell>
          <cell r="I96">
            <v>-96000</v>
          </cell>
          <cell r="J96">
            <v>-96000</v>
          </cell>
          <cell r="L96">
            <v>0</v>
          </cell>
          <cell r="M96">
            <v>-96000</v>
          </cell>
        </row>
        <row r="97">
          <cell r="C97" t="str">
            <v xml:space="preserve">ÖBB-Infrastruktur Bau AG </v>
          </cell>
          <cell r="D97" t="str">
            <v>8300100033</v>
          </cell>
          <cell r="E97">
            <v>2.112E-2</v>
          </cell>
          <cell r="F97">
            <v>-90000</v>
          </cell>
          <cell r="I97">
            <v>-90000</v>
          </cell>
          <cell r="J97">
            <v>-90000</v>
          </cell>
          <cell r="L97">
            <v>0</v>
          </cell>
          <cell r="M97">
            <v>-90000</v>
          </cell>
        </row>
        <row r="98">
          <cell r="C98" t="str">
            <v xml:space="preserve">ÖBB-Infrastruktur Bau AG </v>
          </cell>
          <cell r="D98" t="str">
            <v>8300100052</v>
          </cell>
          <cell r="E98">
            <v>3.8750000406554325E-2</v>
          </cell>
          <cell r="F98">
            <v>-9592.8140000000003</v>
          </cell>
          <cell r="I98">
            <v>-9592.8140000000003</v>
          </cell>
          <cell r="J98">
            <v>-7194.6109999999999</v>
          </cell>
          <cell r="L98">
            <v>-2398.2030000000004</v>
          </cell>
          <cell r="M98">
            <v>-7194.6109999999999</v>
          </cell>
        </row>
        <row r="99">
          <cell r="C99" t="str">
            <v xml:space="preserve">ÖBB-Infrastruktur Bau AG </v>
          </cell>
          <cell r="D99" t="str">
            <v>8300100053</v>
          </cell>
          <cell r="E99">
            <v>3.874997996157438E-2</v>
          </cell>
          <cell r="F99">
            <v>-581.38300000000004</v>
          </cell>
          <cell r="I99">
            <v>-581.38300000000004</v>
          </cell>
          <cell r="J99">
            <v>-436.03699999999998</v>
          </cell>
          <cell r="L99">
            <v>-145.34600000000006</v>
          </cell>
          <cell r="M99">
            <v>-436.03699999999998</v>
          </cell>
        </row>
        <row r="100">
          <cell r="C100" t="str">
            <v xml:space="preserve">ÖBB-Infrastruktur Bau AG </v>
          </cell>
          <cell r="D100" t="str">
            <v>8300100054</v>
          </cell>
          <cell r="E100">
            <v>3.8750004114859349E-2</v>
          </cell>
          <cell r="F100">
            <v>-3778.9870000000001</v>
          </cell>
          <cell r="I100">
            <v>-3778.9870000000001</v>
          </cell>
          <cell r="J100">
            <v>-2834.241</v>
          </cell>
          <cell r="L100">
            <v>-944.74600000000009</v>
          </cell>
          <cell r="M100">
            <v>-2834.241</v>
          </cell>
        </row>
        <row r="101">
          <cell r="C101" t="str">
            <v xml:space="preserve">ÖBB-Infrastruktur Bau AG </v>
          </cell>
          <cell r="D101" t="str">
            <v>8300100065</v>
          </cell>
          <cell r="E101">
            <v>4.1249998580969123E-2</v>
          </cell>
          <cell r="F101">
            <v>-5813.8270000000002</v>
          </cell>
          <cell r="I101">
            <v>-5813.8270000000002</v>
          </cell>
          <cell r="J101">
            <v>-4360.37</v>
          </cell>
          <cell r="L101">
            <v>-1453.4570000000003</v>
          </cell>
          <cell r="M101">
            <v>-4360.37</v>
          </cell>
        </row>
        <row r="102">
          <cell r="C102" t="str">
            <v xml:space="preserve">ÖBB-Infrastruktur Bau AG </v>
          </cell>
          <cell r="D102" t="str">
            <v>8300400000</v>
          </cell>
          <cell r="E102">
            <v>4.9329999999999999E-2</v>
          </cell>
          <cell r="G102">
            <v>-493600</v>
          </cell>
          <cell r="I102">
            <v>-493600</v>
          </cell>
          <cell r="J102">
            <v>-493600</v>
          </cell>
          <cell r="L102">
            <v>0</v>
          </cell>
          <cell r="M102">
            <v>-493600</v>
          </cell>
        </row>
        <row r="103">
          <cell r="C103" t="str">
            <v xml:space="preserve">ÖBB-Infrastruktur Bau AG </v>
          </cell>
          <cell r="D103" t="str">
            <v>8300400001</v>
          </cell>
          <cell r="E103">
            <v>4.9329999999999999E-2</v>
          </cell>
          <cell r="G103">
            <v>50000</v>
          </cell>
          <cell r="I103">
            <v>50000</v>
          </cell>
          <cell r="J103">
            <v>50000</v>
          </cell>
          <cell r="L103">
            <v>0</v>
          </cell>
          <cell r="M103">
            <v>50000</v>
          </cell>
        </row>
        <row r="104">
          <cell r="C104" t="str">
            <v xml:space="preserve">ÖBB-Infrastruktur Bau AG </v>
          </cell>
          <cell r="D104" t="str">
            <v>8300400002</v>
          </cell>
          <cell r="E104">
            <v>4.9329999999999999E-2</v>
          </cell>
          <cell r="G104">
            <v>50000</v>
          </cell>
          <cell r="I104">
            <v>50000</v>
          </cell>
          <cell r="J104">
            <v>50000</v>
          </cell>
          <cell r="L104">
            <v>0</v>
          </cell>
          <cell r="M104">
            <v>50000</v>
          </cell>
        </row>
        <row r="105">
          <cell r="C105" t="str">
            <v xml:space="preserve">ÖBB-Infrastruktur Bau AG </v>
          </cell>
          <cell r="D105" t="str">
            <v>8300400003</v>
          </cell>
          <cell r="E105">
            <v>4.9329999999999999E-2</v>
          </cell>
          <cell r="G105">
            <v>50000</v>
          </cell>
          <cell r="I105">
            <v>50000</v>
          </cell>
          <cell r="J105">
            <v>50000</v>
          </cell>
          <cell r="L105">
            <v>0</v>
          </cell>
          <cell r="M105">
            <v>50000</v>
          </cell>
        </row>
        <row r="106">
          <cell r="C106" t="str">
            <v xml:space="preserve">ÖBB-Infrastruktur Bau AG </v>
          </cell>
          <cell r="D106" t="str">
            <v>8300400007</v>
          </cell>
          <cell r="E106">
            <v>1.9210000000000001E-2</v>
          </cell>
          <cell r="G106">
            <v>25000</v>
          </cell>
          <cell r="I106">
            <v>25000</v>
          </cell>
          <cell r="J106">
            <v>25000</v>
          </cell>
          <cell r="L106">
            <v>0</v>
          </cell>
          <cell r="M106">
            <v>25000</v>
          </cell>
        </row>
        <row r="107">
          <cell r="C107" t="str">
            <v xml:space="preserve">ÖBB-Infrastruktur Bau AG </v>
          </cell>
          <cell r="D107" t="str">
            <v>8300400009</v>
          </cell>
          <cell r="E107">
            <v>4.3520000000000003E-2</v>
          </cell>
          <cell r="G107">
            <v>10000</v>
          </cell>
          <cell r="I107">
            <v>10000</v>
          </cell>
          <cell r="J107">
            <v>10000</v>
          </cell>
          <cell r="L107">
            <v>0</v>
          </cell>
          <cell r="M107">
            <v>10000</v>
          </cell>
        </row>
        <row r="108">
          <cell r="C108" t="str">
            <v xml:space="preserve">ÖBB-Infrastruktur Bau AG </v>
          </cell>
          <cell r="D108" t="str">
            <v>8300400010</v>
          </cell>
          <cell r="E108">
            <v>3.7879999999999997E-2</v>
          </cell>
          <cell r="G108">
            <v>20000</v>
          </cell>
          <cell r="I108">
            <v>20000</v>
          </cell>
          <cell r="J108">
            <v>20000</v>
          </cell>
          <cell r="L108">
            <v>0</v>
          </cell>
          <cell r="M108">
            <v>20000</v>
          </cell>
        </row>
        <row r="109">
          <cell r="C109" t="str">
            <v xml:space="preserve">ÖBB-Infrastruktur Bau AG </v>
          </cell>
          <cell r="D109" t="str">
            <v>8300400011</v>
          </cell>
          <cell r="E109">
            <v>3.7879999999999997E-2</v>
          </cell>
          <cell r="G109">
            <v>15000</v>
          </cell>
          <cell r="I109">
            <v>15000</v>
          </cell>
          <cell r="J109">
            <v>15000</v>
          </cell>
          <cell r="L109">
            <v>0</v>
          </cell>
          <cell r="M109">
            <v>15000</v>
          </cell>
        </row>
        <row r="110">
          <cell r="C110" t="str">
            <v xml:space="preserve">ÖBB-Infrastruktur Bau AG </v>
          </cell>
          <cell r="D110" t="str">
            <v>8300400013</v>
          </cell>
          <cell r="E110">
            <v>3.7879999999999997E-2</v>
          </cell>
          <cell r="G110">
            <v>35000</v>
          </cell>
          <cell r="I110">
            <v>35000</v>
          </cell>
          <cell r="J110">
            <v>35000</v>
          </cell>
          <cell r="L110">
            <v>0</v>
          </cell>
          <cell r="M110">
            <v>35000</v>
          </cell>
        </row>
        <row r="111">
          <cell r="C111" t="str">
            <v xml:space="preserve">ÖBB-Infrastruktur Bau AG </v>
          </cell>
          <cell r="D111" t="str">
            <v>8300400014</v>
          </cell>
          <cell r="E111">
            <v>3.7879999999999997E-2</v>
          </cell>
          <cell r="G111">
            <v>30000</v>
          </cell>
          <cell r="I111">
            <v>30000</v>
          </cell>
          <cell r="J111">
            <v>30000</v>
          </cell>
          <cell r="L111">
            <v>0</v>
          </cell>
          <cell r="M111">
            <v>30000</v>
          </cell>
        </row>
        <row r="112">
          <cell r="C112" t="str">
            <v xml:space="preserve">ÖBB-Infrastruktur Bau AG </v>
          </cell>
          <cell r="D112" t="str">
            <v>8300400019</v>
          </cell>
          <cell r="E112">
            <v>3.7379999999999997E-2</v>
          </cell>
          <cell r="G112">
            <v>15000</v>
          </cell>
          <cell r="I112">
            <v>15000</v>
          </cell>
          <cell r="J112">
            <v>15000</v>
          </cell>
          <cell r="L112">
            <v>0</v>
          </cell>
          <cell r="M112">
            <v>15000</v>
          </cell>
        </row>
        <row r="113">
          <cell r="C113" t="str">
            <v xml:space="preserve">ÖBB-Infrastruktur Bau AG </v>
          </cell>
          <cell r="D113" t="str">
            <v>8300400020</v>
          </cell>
          <cell r="E113">
            <v>3.7379999999999997E-2</v>
          </cell>
          <cell r="G113">
            <v>15000</v>
          </cell>
          <cell r="I113">
            <v>15000</v>
          </cell>
          <cell r="J113">
            <v>15000</v>
          </cell>
          <cell r="L113">
            <v>0</v>
          </cell>
          <cell r="M113">
            <v>15000</v>
          </cell>
        </row>
        <row r="114">
          <cell r="C114" t="str">
            <v xml:space="preserve">ÖBB-Infrastruktur Bau AG </v>
          </cell>
          <cell r="D114" t="str">
            <v>8300400023</v>
          </cell>
          <cell r="E114">
            <v>1.6500000000000001E-2</v>
          </cell>
          <cell r="G114">
            <v>6500</v>
          </cell>
          <cell r="I114">
            <v>6500</v>
          </cell>
          <cell r="J114">
            <v>5500</v>
          </cell>
          <cell r="K114">
            <v>1500</v>
          </cell>
          <cell r="L114">
            <v>1000</v>
          </cell>
          <cell r="M114">
            <v>4000</v>
          </cell>
          <cell r="O114">
            <v>1500</v>
          </cell>
        </row>
        <row r="115">
          <cell r="C115" t="str">
            <v xml:space="preserve">ÖBB-Infrastruktur Bau AG </v>
          </cell>
          <cell r="D115" t="str">
            <v>8300400025</v>
          </cell>
          <cell r="E115">
            <v>2.112E-2</v>
          </cell>
          <cell r="G115">
            <v>15000</v>
          </cell>
          <cell r="I115">
            <v>15000</v>
          </cell>
          <cell r="J115">
            <v>15000</v>
          </cell>
          <cell r="L115">
            <v>0</v>
          </cell>
          <cell r="M115">
            <v>15000</v>
          </cell>
        </row>
        <row r="116">
          <cell r="C116" t="str">
            <v xml:space="preserve">ÖBB-Infrastruktur Bau AG </v>
          </cell>
          <cell r="D116" t="str">
            <v>8300400026</v>
          </cell>
          <cell r="E116">
            <v>2.112E-2</v>
          </cell>
          <cell r="G116">
            <v>15000</v>
          </cell>
          <cell r="I116">
            <v>15000</v>
          </cell>
          <cell r="J116">
            <v>15000</v>
          </cell>
          <cell r="L116">
            <v>0</v>
          </cell>
          <cell r="M116">
            <v>15000</v>
          </cell>
        </row>
        <row r="117">
          <cell r="C117" t="str">
            <v xml:space="preserve">ÖBB-Infrastruktur Bau AG </v>
          </cell>
          <cell r="D117" t="str">
            <v>8300400027</v>
          </cell>
          <cell r="E117">
            <v>8.819757591604277E-2</v>
          </cell>
          <cell r="G117">
            <v>-1395.95</v>
          </cell>
          <cell r="I117">
            <v>-1395.95</v>
          </cell>
          <cell r="J117">
            <v>-2551.6759999999995</v>
          </cell>
          <cell r="K117">
            <v>-850.55899999999929</v>
          </cell>
          <cell r="L117">
            <v>1155.7259999999987</v>
          </cell>
          <cell r="M117">
            <v>-1701.1170000000002</v>
          </cell>
          <cell r="O117">
            <v>-850.55899999999929</v>
          </cell>
        </row>
        <row r="118">
          <cell r="C118" t="str">
            <v xml:space="preserve">ÖBB-Infrastruktur Bau AG </v>
          </cell>
          <cell r="D118" t="str">
            <v>8300400030</v>
          </cell>
          <cell r="E118">
            <v>9.2999999922370007E-3</v>
          </cell>
          <cell r="G118">
            <v>450856.62800000003</v>
          </cell>
          <cell r="I118">
            <v>450856.62800000003</v>
          </cell>
          <cell r="J118">
            <v>424508.27799999999</v>
          </cell>
          <cell r="L118">
            <v>26348.35</v>
          </cell>
          <cell r="M118">
            <v>424508.27799999999</v>
          </cell>
        </row>
        <row r="119">
          <cell r="C119" t="str">
            <v xml:space="preserve">ÖBB-Infrastruktur Bau AG </v>
          </cell>
          <cell r="D119" t="str">
            <v>8300400031</v>
          </cell>
          <cell r="E119">
            <v>9.2999999922370007E-3</v>
          </cell>
          <cell r="G119">
            <v>-450856.62800000003</v>
          </cell>
          <cell r="I119">
            <v>-450856.62800000003</v>
          </cell>
          <cell r="J119">
            <v>-424508.27799999999</v>
          </cell>
          <cell r="L119">
            <v>-26348.35</v>
          </cell>
          <cell r="M119">
            <v>-424508.27799999999</v>
          </cell>
        </row>
        <row r="120">
          <cell r="C120" t="str">
            <v xml:space="preserve">ÖBB-Infrastruktur Bau AG </v>
          </cell>
          <cell r="D120" t="str">
            <v>8300400063</v>
          </cell>
          <cell r="E120">
            <v>5.3689999992142218E-2</v>
          </cell>
          <cell r="G120">
            <v>5090.4960000000001</v>
          </cell>
          <cell r="I120">
            <v>5090.4960000000001</v>
          </cell>
          <cell r="J120">
            <v>4753.652</v>
          </cell>
          <cell r="K120">
            <v>3262.386</v>
          </cell>
          <cell r="L120">
            <v>336.84400000000005</v>
          </cell>
          <cell r="M120">
            <v>1491.2660000000001</v>
          </cell>
          <cell r="O120">
            <v>3262.386</v>
          </cell>
        </row>
        <row r="121">
          <cell r="C121" t="str">
            <v xml:space="preserve">ÖBB-Infrastruktur Bau AG </v>
          </cell>
          <cell r="D121" t="str">
            <v>8300400074</v>
          </cell>
          <cell r="E121">
            <v>2.112E-2</v>
          </cell>
          <cell r="G121">
            <v>10000</v>
          </cell>
          <cell r="I121">
            <v>10000</v>
          </cell>
          <cell r="J121">
            <v>10000</v>
          </cell>
          <cell r="L121">
            <v>0</v>
          </cell>
          <cell r="M121">
            <v>10000</v>
          </cell>
        </row>
        <row r="122">
          <cell r="C122" t="str">
            <v xml:space="preserve">ÖBB-Infrastruktur Bau AG </v>
          </cell>
          <cell r="D122" t="str">
            <v>8300400075</v>
          </cell>
          <cell r="E122">
            <v>2.112E-2</v>
          </cell>
          <cell r="G122">
            <v>10000</v>
          </cell>
          <cell r="I122">
            <v>10000</v>
          </cell>
          <cell r="J122">
            <v>10000</v>
          </cell>
          <cell r="L122">
            <v>0</v>
          </cell>
          <cell r="M122">
            <v>10000</v>
          </cell>
        </row>
        <row r="123">
          <cell r="C123" t="str">
            <v xml:space="preserve">ÖBB-Infrastruktur Bau AG </v>
          </cell>
          <cell r="D123" t="str">
            <v>8300400076</v>
          </cell>
          <cell r="E123">
            <v>4.1250000000000002E-2</v>
          </cell>
          <cell r="G123">
            <v>-20000</v>
          </cell>
          <cell r="I123">
            <v>-20000</v>
          </cell>
          <cell r="J123">
            <v>-20000</v>
          </cell>
          <cell r="K123">
            <v>-20000</v>
          </cell>
          <cell r="L123">
            <v>0</v>
          </cell>
          <cell r="M123">
            <v>0</v>
          </cell>
          <cell r="O123">
            <v>-20000</v>
          </cell>
        </row>
        <row r="124">
          <cell r="C124" t="str">
            <v xml:space="preserve">ÖBB-Infrastruktur Bau AG </v>
          </cell>
          <cell r="D124" t="str">
            <v>8300400077</v>
          </cell>
          <cell r="E124">
            <v>3.7379999999999997E-2</v>
          </cell>
          <cell r="G124">
            <v>15000</v>
          </cell>
          <cell r="I124">
            <v>15000</v>
          </cell>
          <cell r="J124">
            <v>15000</v>
          </cell>
          <cell r="L124">
            <v>0</v>
          </cell>
          <cell r="M124">
            <v>15000</v>
          </cell>
        </row>
        <row r="125">
          <cell r="C125" t="str">
            <v xml:space="preserve">ÖBB-Infrastruktur Bau AG </v>
          </cell>
          <cell r="D125" t="str">
            <v>8300400078</v>
          </cell>
          <cell r="E125">
            <v>3.7379999999999997E-2</v>
          </cell>
          <cell r="G125">
            <v>15000</v>
          </cell>
          <cell r="I125">
            <v>15000</v>
          </cell>
          <cell r="J125">
            <v>15000</v>
          </cell>
          <cell r="L125">
            <v>0</v>
          </cell>
          <cell r="M125">
            <v>15000</v>
          </cell>
        </row>
        <row r="126">
          <cell r="B126" t="str">
            <v>var</v>
          </cell>
          <cell r="E126">
            <v>4.2634521798148944E-2</v>
          </cell>
          <cell r="F126">
            <v>-436783.70500000002</v>
          </cell>
          <cell r="G126">
            <v>-108405.45400000009</v>
          </cell>
          <cell r="I126">
            <v>-545189.1590000001</v>
          </cell>
          <cell r="J126">
            <v>-533806.59300000011</v>
          </cell>
          <cell r="K126">
            <v>-28915.942999999999</v>
          </cell>
          <cell r="L126">
            <v>-11382.565999999992</v>
          </cell>
          <cell r="M126">
            <v>-504890.65</v>
          </cell>
          <cell r="O126">
            <v>-28915.942999999999</v>
          </cell>
        </row>
        <row r="127">
          <cell r="A127" t="str">
            <v>Verbindlichkeiten</v>
          </cell>
          <cell r="E127">
            <v>4.118855737263899E-2</v>
          </cell>
          <cell r="F127">
            <v>-9709671.9359999988</v>
          </cell>
          <cell r="G127">
            <v>-149472.12599999993</v>
          </cell>
          <cell r="I127">
            <v>-9859144.061999999</v>
          </cell>
          <cell r="J127">
            <v>-9003316.9209999982</v>
          </cell>
          <cell r="K127">
            <v>-6029028.3289999999</v>
          </cell>
          <cell r="L127">
            <v>-855827.14100000076</v>
          </cell>
          <cell r="M127">
            <v>-2974288.5919999983</v>
          </cell>
          <cell r="O127">
            <v>-6029028.3289999999</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at"/>
      <sheetName val="Pivot"/>
      <sheetName val="Steuerung_PC"/>
      <sheetName val="Steuerung_Konto"/>
      <sheetName val="PC_Gruppe"/>
      <sheetName val="Kopie_2"/>
      <sheetName val="Ergebnis_Summary"/>
      <sheetName val="FTE_Plan"/>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92D050"/>
    <pageSetUpPr fitToPage="1"/>
  </sheetPr>
  <dimension ref="A1:IQ45"/>
  <sheetViews>
    <sheetView showGridLines="0" tabSelected="1" workbookViewId="0"/>
  </sheetViews>
  <sheetFormatPr baseColWidth="10" defaultColWidth="11.42578125" defaultRowHeight="12.75"/>
  <cols>
    <col min="1" max="1" width="26.5703125" style="263" customWidth="1"/>
    <col min="2" max="4" width="5.85546875" style="263" customWidth="1"/>
    <col min="5" max="8" width="5.85546875" style="284" customWidth="1"/>
    <col min="9" max="10" width="5.28515625" style="284" customWidth="1"/>
    <col min="11" max="11" width="5.28515625" style="390" customWidth="1"/>
    <col min="12" max="16384" width="11.42578125" style="284"/>
  </cols>
  <sheetData>
    <row r="1" spans="1:251" s="1" customFormat="1" ht="15">
      <c r="A1" s="155" t="s">
        <v>990</v>
      </c>
      <c r="B1" s="140"/>
      <c r="C1" s="140"/>
      <c r="D1" s="140"/>
      <c r="E1" s="250"/>
      <c r="F1" s="250"/>
      <c r="G1" s="250"/>
      <c r="H1" s="140"/>
      <c r="I1" s="140"/>
      <c r="J1" s="140"/>
      <c r="K1" s="140"/>
      <c r="L1" s="140"/>
      <c r="M1" s="140"/>
      <c r="N1" s="140"/>
      <c r="O1" s="140"/>
      <c r="P1" s="140"/>
      <c r="Q1" s="250"/>
      <c r="R1" s="250"/>
      <c r="S1" s="250"/>
      <c r="T1" s="140"/>
      <c r="U1" s="140"/>
      <c r="V1" s="140"/>
      <c r="W1" s="140"/>
      <c r="X1" s="140"/>
      <c r="Y1" s="140"/>
      <c r="Z1" s="140"/>
      <c r="AA1" s="140"/>
      <c r="AB1" s="140"/>
      <c r="AC1" s="250"/>
      <c r="AD1" s="250"/>
      <c r="AE1" s="250"/>
      <c r="AF1" s="140"/>
      <c r="AG1" s="140"/>
      <c r="AH1" s="140"/>
      <c r="AI1" s="140"/>
      <c r="AJ1" s="140"/>
      <c r="AK1" s="140"/>
      <c r="AL1" s="140"/>
      <c r="AM1" s="140"/>
      <c r="AN1" s="140"/>
      <c r="AO1" s="250"/>
      <c r="AP1" s="250"/>
      <c r="AQ1" s="250"/>
      <c r="AR1" s="140"/>
      <c r="AS1" s="140"/>
      <c r="AT1" s="140"/>
      <c r="AU1" s="140"/>
      <c r="AV1" s="140"/>
      <c r="AW1" s="140"/>
      <c r="AX1" s="140"/>
      <c r="AY1" s="140"/>
      <c r="AZ1" s="140"/>
      <c r="BA1" s="250"/>
      <c r="BB1" s="250"/>
      <c r="BC1" s="250"/>
      <c r="BD1" s="140"/>
      <c r="BE1" s="140"/>
      <c r="BF1" s="140"/>
      <c r="BG1" s="140"/>
      <c r="BH1" s="140"/>
      <c r="BI1" s="140"/>
      <c r="BJ1" s="140"/>
      <c r="BK1" s="140"/>
      <c r="BL1" s="140"/>
      <c r="BM1" s="250"/>
      <c r="BN1" s="250"/>
      <c r="BO1" s="250"/>
      <c r="BP1" s="140"/>
      <c r="BQ1" s="140"/>
      <c r="BR1" s="140"/>
      <c r="BS1" s="140"/>
      <c r="BT1" s="140"/>
      <c r="BU1" s="140"/>
      <c r="BV1" s="140"/>
      <c r="BW1" s="140"/>
      <c r="BX1" s="140"/>
      <c r="BY1" s="250"/>
      <c r="BZ1" s="250"/>
      <c r="CA1" s="250"/>
      <c r="CB1" s="140"/>
      <c r="CC1" s="140"/>
      <c r="CD1" s="140"/>
      <c r="CE1" s="140"/>
      <c r="CF1" s="140"/>
      <c r="CG1" s="140"/>
      <c r="CH1" s="140"/>
      <c r="CI1" s="140"/>
      <c r="CJ1" s="140"/>
      <c r="CK1" s="250"/>
      <c r="CL1" s="250"/>
      <c r="CM1" s="250"/>
      <c r="CN1" s="140"/>
      <c r="CO1" s="140"/>
      <c r="CP1" s="140"/>
      <c r="CQ1" s="140"/>
      <c r="CR1" s="140"/>
      <c r="CS1" s="140"/>
      <c r="CT1" s="140"/>
      <c r="CU1" s="140"/>
      <c r="CV1" s="140"/>
      <c r="CW1" s="250"/>
      <c r="CX1" s="250"/>
      <c r="CY1" s="250"/>
      <c r="CZ1" s="140"/>
      <c r="DA1" s="140"/>
      <c r="DB1" s="140"/>
      <c r="DC1" s="140"/>
      <c r="DD1" s="140"/>
      <c r="DE1" s="140"/>
      <c r="DF1" s="140"/>
      <c r="DG1" s="140"/>
      <c r="DH1" s="140"/>
      <c r="DI1" s="250"/>
      <c r="DJ1" s="250"/>
      <c r="DK1" s="250"/>
      <c r="DL1" s="140"/>
      <c r="DM1" s="140"/>
      <c r="DN1" s="140"/>
      <c r="DO1" s="140"/>
      <c r="DP1" s="140"/>
      <c r="DQ1" s="140"/>
      <c r="DR1" s="140"/>
      <c r="DS1" s="140"/>
      <c r="DT1" s="140"/>
      <c r="DU1" s="250"/>
      <c r="DV1" s="250"/>
      <c r="DW1" s="250"/>
      <c r="DX1" s="140"/>
      <c r="DY1" s="140"/>
      <c r="DZ1" s="140"/>
      <c r="EA1" s="140"/>
      <c r="EB1" s="140"/>
      <c r="EC1" s="140"/>
      <c r="ED1" s="140"/>
      <c r="EE1" s="140"/>
      <c r="EF1" s="140"/>
      <c r="EG1" s="250"/>
      <c r="EH1" s="250"/>
      <c r="EI1" s="250"/>
      <c r="EJ1" s="140"/>
      <c r="EK1" s="140"/>
      <c r="EL1" s="140"/>
      <c r="EM1" s="140"/>
      <c r="EN1" s="140"/>
      <c r="EO1" s="140"/>
      <c r="EP1" s="140"/>
      <c r="EQ1" s="140"/>
      <c r="ER1" s="140"/>
      <c r="ES1" s="250"/>
      <c r="ET1" s="250"/>
      <c r="EU1" s="250"/>
      <c r="EV1" s="140"/>
      <c r="EW1" s="140"/>
      <c r="EX1" s="140"/>
      <c r="EY1" s="140"/>
      <c r="EZ1" s="140"/>
      <c r="FA1" s="140"/>
      <c r="FB1" s="140"/>
      <c r="FC1" s="140"/>
      <c r="FD1" s="140"/>
      <c r="FE1" s="250"/>
      <c r="FF1" s="250"/>
      <c r="FG1" s="250"/>
      <c r="FH1" s="140"/>
      <c r="FI1" s="140"/>
      <c r="FJ1" s="140"/>
      <c r="FK1" s="140"/>
      <c r="FL1" s="140"/>
      <c r="FM1" s="140"/>
      <c r="FN1" s="140"/>
      <c r="FO1" s="140"/>
      <c r="FP1" s="140"/>
      <c r="FQ1" s="250"/>
      <c r="FR1" s="250"/>
      <c r="FS1" s="250"/>
      <c r="FT1" s="140"/>
      <c r="FU1" s="140"/>
      <c r="FV1" s="140"/>
      <c r="FW1" s="140"/>
      <c r="FX1" s="140"/>
      <c r="FY1" s="140"/>
      <c r="FZ1" s="140"/>
      <c r="GA1" s="140"/>
      <c r="GB1" s="140"/>
      <c r="GC1" s="250"/>
      <c r="GD1" s="250"/>
      <c r="GE1" s="250"/>
      <c r="GF1" s="140"/>
      <c r="GG1" s="140"/>
      <c r="GH1" s="140"/>
      <c r="GI1" s="140"/>
      <c r="GJ1" s="140"/>
      <c r="GK1" s="140"/>
      <c r="GL1" s="140"/>
      <c r="GM1" s="140"/>
      <c r="GN1" s="140"/>
      <c r="GO1" s="250"/>
      <c r="GP1" s="250"/>
      <c r="GQ1" s="250"/>
      <c r="GR1" s="140"/>
      <c r="GS1" s="140"/>
      <c r="GT1" s="140"/>
      <c r="GU1" s="140"/>
      <c r="GV1" s="140"/>
      <c r="GW1" s="140"/>
      <c r="GX1" s="140"/>
      <c r="GY1" s="140"/>
      <c r="GZ1" s="140"/>
      <c r="HA1" s="250"/>
      <c r="HB1" s="250"/>
      <c r="HC1" s="250"/>
      <c r="HD1" s="140"/>
      <c r="HE1" s="140"/>
      <c r="HF1" s="140"/>
      <c r="HG1" s="140"/>
      <c r="HH1" s="140"/>
      <c r="HI1" s="140"/>
      <c r="HJ1" s="140"/>
      <c r="HK1" s="140"/>
      <c r="HL1" s="140"/>
      <c r="HM1" s="250"/>
      <c r="HN1" s="250"/>
      <c r="HO1" s="250"/>
      <c r="HP1" s="140"/>
      <c r="HQ1" s="140"/>
      <c r="HR1" s="140"/>
      <c r="HS1" s="140"/>
      <c r="HT1" s="140"/>
      <c r="HU1" s="140"/>
      <c r="HV1" s="140"/>
      <c r="HW1" s="140"/>
      <c r="HX1" s="140"/>
      <c r="HY1" s="250"/>
      <c r="HZ1" s="250"/>
      <c r="IA1" s="250"/>
      <c r="IB1" s="140"/>
      <c r="IC1" s="140"/>
      <c r="ID1" s="140"/>
      <c r="IE1" s="140"/>
      <c r="IF1" s="140"/>
      <c r="IG1" s="140"/>
      <c r="IH1" s="140"/>
      <c r="II1" s="140"/>
      <c r="IJ1" s="140"/>
      <c r="IK1" s="250"/>
      <c r="IL1" s="250"/>
      <c r="IM1" s="250"/>
      <c r="IN1" s="140"/>
      <c r="IO1" s="140"/>
      <c r="IP1" s="140"/>
      <c r="IQ1" s="140"/>
    </row>
    <row r="2" spans="1:251" s="6" customFormat="1" ht="15">
      <c r="A2" s="152" t="s">
        <v>31</v>
      </c>
      <c r="B2" s="150"/>
      <c r="C2" s="150"/>
      <c r="D2" s="150"/>
      <c r="E2" s="252"/>
      <c r="F2" s="252"/>
      <c r="G2" s="252"/>
      <c r="H2" s="251"/>
      <c r="I2" s="251"/>
      <c r="J2" s="251"/>
      <c r="K2" s="251"/>
      <c r="L2" s="251"/>
      <c r="M2" s="251"/>
      <c r="N2" s="150"/>
      <c r="O2" s="150"/>
      <c r="P2" s="150"/>
      <c r="Q2" s="252"/>
      <c r="R2" s="252"/>
      <c r="S2" s="252"/>
      <c r="T2" s="251"/>
      <c r="U2" s="251"/>
      <c r="V2" s="251"/>
      <c r="W2" s="251"/>
      <c r="X2" s="251"/>
      <c r="Y2" s="251"/>
      <c r="Z2" s="150"/>
      <c r="AA2" s="150"/>
      <c r="AB2" s="150"/>
      <c r="AC2" s="252"/>
      <c r="AD2" s="252"/>
      <c r="AE2" s="252"/>
      <c r="AF2" s="251"/>
      <c r="AG2" s="251"/>
      <c r="AH2" s="251"/>
      <c r="AI2" s="251"/>
      <c r="AJ2" s="251"/>
      <c r="AK2" s="251"/>
      <c r="AL2" s="150"/>
      <c r="AM2" s="150"/>
      <c r="AN2" s="150"/>
      <c r="AO2" s="252"/>
      <c r="AP2" s="252"/>
      <c r="AQ2" s="252"/>
      <c r="AR2" s="251"/>
      <c r="AS2" s="251"/>
      <c r="AT2" s="251"/>
      <c r="AU2" s="251"/>
      <c r="AV2" s="251"/>
      <c r="AW2" s="251"/>
      <c r="AX2" s="150"/>
      <c r="AY2" s="150"/>
      <c r="AZ2" s="150"/>
      <c r="BA2" s="252"/>
      <c r="BB2" s="252"/>
      <c r="BC2" s="252"/>
      <c r="BD2" s="251"/>
      <c r="BE2" s="251"/>
      <c r="BF2" s="251"/>
      <c r="BG2" s="251"/>
      <c r="BH2" s="251"/>
      <c r="BI2" s="251"/>
      <c r="BJ2" s="150"/>
      <c r="BK2" s="150"/>
      <c r="BL2" s="150"/>
      <c r="BM2" s="252"/>
      <c r="BN2" s="252"/>
      <c r="BO2" s="252"/>
      <c r="BP2" s="251"/>
      <c r="BQ2" s="251"/>
      <c r="BR2" s="251"/>
      <c r="BS2" s="251"/>
      <c r="BT2" s="251"/>
      <c r="BU2" s="251"/>
      <c r="BV2" s="150"/>
      <c r="BW2" s="150"/>
      <c r="BX2" s="150"/>
      <c r="BY2" s="252"/>
      <c r="BZ2" s="252"/>
      <c r="CA2" s="252"/>
      <c r="CB2" s="251"/>
      <c r="CC2" s="251"/>
      <c r="CD2" s="251"/>
      <c r="CE2" s="251"/>
      <c r="CF2" s="251"/>
      <c r="CG2" s="251"/>
      <c r="CH2" s="150"/>
      <c r="CI2" s="150"/>
      <c r="CJ2" s="150"/>
      <c r="CK2" s="252"/>
      <c r="CL2" s="252"/>
      <c r="CM2" s="252"/>
      <c r="CN2" s="251"/>
      <c r="CO2" s="251"/>
      <c r="CP2" s="251"/>
      <c r="CQ2" s="251"/>
      <c r="CR2" s="251"/>
      <c r="CS2" s="251"/>
      <c r="CT2" s="150"/>
      <c r="CU2" s="150"/>
      <c r="CV2" s="150"/>
      <c r="CW2" s="252"/>
      <c r="CX2" s="252"/>
      <c r="CY2" s="252"/>
      <c r="CZ2" s="251"/>
      <c r="DA2" s="251"/>
      <c r="DB2" s="251"/>
      <c r="DC2" s="251"/>
      <c r="DD2" s="251"/>
      <c r="DE2" s="251"/>
      <c r="DF2" s="150"/>
      <c r="DG2" s="150"/>
      <c r="DH2" s="150"/>
      <c r="DI2" s="252"/>
      <c r="DJ2" s="252"/>
      <c r="DK2" s="252"/>
      <c r="DL2" s="251"/>
      <c r="DM2" s="251"/>
      <c r="DN2" s="251"/>
      <c r="DO2" s="251"/>
      <c r="DP2" s="251"/>
      <c r="DQ2" s="251"/>
      <c r="DR2" s="150"/>
      <c r="DS2" s="150"/>
      <c r="DT2" s="150"/>
      <c r="DU2" s="252"/>
      <c r="DV2" s="252"/>
      <c r="DW2" s="252"/>
      <c r="DX2" s="251"/>
      <c r="DY2" s="251"/>
      <c r="DZ2" s="251"/>
      <c r="EA2" s="251"/>
      <c r="EB2" s="251"/>
      <c r="EC2" s="251"/>
      <c r="ED2" s="150"/>
      <c r="EE2" s="150"/>
      <c r="EF2" s="150"/>
      <c r="EG2" s="252"/>
      <c r="EH2" s="252"/>
      <c r="EI2" s="252"/>
      <c r="EJ2" s="251"/>
      <c r="EK2" s="251"/>
      <c r="EL2" s="251"/>
      <c r="EM2" s="251"/>
      <c r="EN2" s="251"/>
      <c r="EO2" s="251"/>
      <c r="EP2" s="150"/>
      <c r="EQ2" s="150"/>
      <c r="ER2" s="150"/>
      <c r="ES2" s="252"/>
      <c r="ET2" s="252"/>
      <c r="EU2" s="252"/>
      <c r="EV2" s="251"/>
      <c r="EW2" s="251"/>
      <c r="EX2" s="251"/>
      <c r="EY2" s="251"/>
      <c r="EZ2" s="251"/>
      <c r="FA2" s="251"/>
      <c r="FB2" s="150"/>
      <c r="FC2" s="150"/>
      <c r="FD2" s="150"/>
      <c r="FE2" s="252"/>
      <c r="FF2" s="252"/>
      <c r="FG2" s="252"/>
      <c r="FH2" s="251"/>
      <c r="FI2" s="251"/>
      <c r="FJ2" s="251"/>
      <c r="FK2" s="251"/>
      <c r="FL2" s="251"/>
      <c r="FM2" s="251"/>
      <c r="FN2" s="150"/>
      <c r="FO2" s="150"/>
      <c r="FP2" s="150"/>
      <c r="FQ2" s="252"/>
      <c r="FR2" s="252"/>
      <c r="FS2" s="252"/>
      <c r="FT2" s="251"/>
      <c r="FU2" s="251"/>
      <c r="FV2" s="251"/>
      <c r="FW2" s="251"/>
      <c r="FX2" s="251"/>
      <c r="FY2" s="251"/>
      <c r="FZ2" s="150"/>
      <c r="GA2" s="150"/>
      <c r="GB2" s="150"/>
      <c r="GC2" s="252"/>
      <c r="GD2" s="252"/>
      <c r="GE2" s="252"/>
      <c r="GF2" s="251"/>
      <c r="GG2" s="251"/>
      <c r="GH2" s="251"/>
      <c r="GI2" s="251"/>
      <c r="GJ2" s="251"/>
      <c r="GK2" s="251"/>
      <c r="GL2" s="150"/>
      <c r="GM2" s="150"/>
      <c r="GN2" s="150"/>
      <c r="GO2" s="252"/>
      <c r="GP2" s="252"/>
      <c r="GQ2" s="252"/>
      <c r="GR2" s="251"/>
      <c r="GS2" s="251"/>
      <c r="GT2" s="251"/>
      <c r="GU2" s="251"/>
      <c r="GV2" s="251"/>
      <c r="GW2" s="251"/>
      <c r="GX2" s="150"/>
      <c r="GY2" s="150"/>
      <c r="GZ2" s="150"/>
      <c r="HA2" s="252"/>
      <c r="HB2" s="252"/>
      <c r="HC2" s="252"/>
      <c r="HD2" s="251"/>
      <c r="HE2" s="251"/>
      <c r="HF2" s="251"/>
      <c r="HG2" s="251"/>
      <c r="HH2" s="251"/>
      <c r="HI2" s="251"/>
      <c r="HJ2" s="150"/>
      <c r="HK2" s="150"/>
      <c r="HL2" s="150"/>
      <c r="HM2" s="252"/>
      <c r="HN2" s="252"/>
      <c r="HO2" s="252"/>
      <c r="HP2" s="251"/>
      <c r="HQ2" s="251"/>
      <c r="HR2" s="251"/>
      <c r="HS2" s="251"/>
      <c r="HT2" s="251"/>
      <c r="HU2" s="251"/>
      <c r="HV2" s="150"/>
      <c r="HW2" s="150"/>
      <c r="HX2" s="150"/>
      <c r="HY2" s="252"/>
      <c r="HZ2" s="252"/>
      <c r="IA2" s="252"/>
      <c r="IB2" s="251"/>
      <c r="IC2" s="251"/>
      <c r="ID2" s="251"/>
      <c r="IE2" s="251"/>
      <c r="IF2" s="251"/>
      <c r="IG2" s="251"/>
      <c r="IH2" s="150"/>
      <c r="II2" s="150"/>
      <c r="IJ2" s="150"/>
      <c r="IK2" s="252"/>
      <c r="IL2" s="252"/>
      <c r="IM2" s="252"/>
      <c r="IN2" s="251"/>
      <c r="IO2" s="251"/>
      <c r="IP2" s="251"/>
      <c r="IQ2" s="251"/>
    </row>
    <row r="3" spans="1:251" s="2" customFormat="1" ht="18" customHeight="1">
      <c r="A3" s="253"/>
      <c r="B3" s="254"/>
      <c r="C3" s="254"/>
      <c r="D3" s="254"/>
      <c r="E3" s="255"/>
      <c r="F3" s="255"/>
      <c r="G3" s="255"/>
      <c r="H3" s="253"/>
      <c r="I3" s="253"/>
      <c r="J3" s="253"/>
      <c r="K3" s="253"/>
      <c r="L3" s="253"/>
      <c r="M3" s="253"/>
      <c r="N3" s="254"/>
      <c r="O3" s="254"/>
      <c r="P3" s="254"/>
      <c r="Q3" s="255"/>
      <c r="R3" s="255"/>
      <c r="S3" s="255"/>
      <c r="T3" s="253"/>
      <c r="U3" s="253"/>
      <c r="V3" s="253"/>
      <c r="W3" s="253"/>
      <c r="X3" s="253"/>
      <c r="Y3" s="253"/>
      <c r="Z3" s="254"/>
      <c r="AA3" s="254"/>
      <c r="AB3" s="254"/>
      <c r="AC3" s="255"/>
      <c r="AD3" s="255"/>
      <c r="AE3" s="255"/>
      <c r="AF3" s="253"/>
      <c r="AG3" s="253"/>
      <c r="AH3" s="253"/>
      <c r="AI3" s="253"/>
      <c r="AJ3" s="253"/>
      <c r="AK3" s="253"/>
      <c r="AL3" s="254"/>
      <c r="AM3" s="254"/>
      <c r="AN3" s="254"/>
      <c r="AO3" s="255"/>
      <c r="AP3" s="255"/>
      <c r="AQ3" s="255"/>
      <c r="AR3" s="253"/>
      <c r="AS3" s="253"/>
      <c r="AT3" s="253"/>
      <c r="AU3" s="253"/>
      <c r="AV3" s="253"/>
      <c r="AW3" s="253"/>
      <c r="AX3" s="254"/>
      <c r="AY3" s="254"/>
      <c r="AZ3" s="254"/>
      <c r="BA3" s="255"/>
      <c r="BB3" s="255"/>
      <c r="BC3" s="255"/>
      <c r="BD3" s="253"/>
      <c r="BE3" s="253"/>
      <c r="BF3" s="253"/>
      <c r="BG3" s="253"/>
      <c r="BH3" s="253"/>
      <c r="BI3" s="253"/>
      <c r="BJ3" s="254"/>
      <c r="BK3" s="254"/>
      <c r="BL3" s="254"/>
      <c r="BM3" s="255"/>
      <c r="BN3" s="255"/>
      <c r="BO3" s="255"/>
      <c r="BP3" s="253"/>
      <c r="BQ3" s="253"/>
      <c r="BR3" s="253"/>
      <c r="BS3" s="253"/>
      <c r="BT3" s="253"/>
      <c r="BU3" s="253"/>
      <c r="BV3" s="254"/>
      <c r="BW3" s="254"/>
      <c r="BX3" s="254"/>
      <c r="BY3" s="255"/>
      <c r="BZ3" s="255"/>
      <c r="CA3" s="255"/>
      <c r="CB3" s="253"/>
      <c r="CC3" s="253"/>
      <c r="CD3" s="253"/>
      <c r="CE3" s="253"/>
      <c r="CF3" s="253"/>
      <c r="CG3" s="253"/>
      <c r="CH3" s="254"/>
      <c r="CI3" s="254"/>
      <c r="CJ3" s="254"/>
      <c r="CK3" s="255"/>
      <c r="CL3" s="255"/>
      <c r="CM3" s="255"/>
      <c r="CN3" s="253"/>
      <c r="CO3" s="253"/>
      <c r="CP3" s="253"/>
      <c r="CQ3" s="253"/>
      <c r="CR3" s="253"/>
      <c r="CS3" s="253"/>
      <c r="CT3" s="254"/>
      <c r="CU3" s="254"/>
      <c r="CV3" s="254"/>
      <c r="CW3" s="255"/>
      <c r="CX3" s="255"/>
      <c r="CY3" s="255"/>
      <c r="CZ3" s="253"/>
      <c r="DA3" s="253"/>
      <c r="DB3" s="253"/>
      <c r="DC3" s="253"/>
      <c r="DD3" s="253"/>
      <c r="DE3" s="253"/>
      <c r="DF3" s="254"/>
      <c r="DG3" s="254"/>
      <c r="DH3" s="254"/>
      <c r="DI3" s="255"/>
      <c r="DJ3" s="255"/>
      <c r="DK3" s="255"/>
      <c r="DL3" s="253"/>
      <c r="DM3" s="253"/>
      <c r="DN3" s="253"/>
      <c r="DO3" s="253"/>
      <c r="DP3" s="253"/>
      <c r="DQ3" s="253"/>
      <c r="DR3" s="254"/>
      <c r="DS3" s="254"/>
      <c r="DT3" s="254"/>
      <c r="DU3" s="255"/>
      <c r="DV3" s="255"/>
      <c r="DW3" s="255"/>
      <c r="DX3" s="253"/>
      <c r="DY3" s="253"/>
      <c r="DZ3" s="253"/>
      <c r="EA3" s="253"/>
      <c r="EB3" s="253"/>
      <c r="EC3" s="253"/>
      <c r="ED3" s="254"/>
      <c r="EE3" s="254"/>
      <c r="EF3" s="254"/>
      <c r="EG3" s="255"/>
      <c r="EH3" s="255"/>
      <c r="EI3" s="255"/>
      <c r="EJ3" s="253"/>
      <c r="EK3" s="253"/>
      <c r="EL3" s="253"/>
      <c r="EM3" s="253"/>
      <c r="EN3" s="253"/>
      <c r="EO3" s="253"/>
      <c r="EP3" s="254"/>
      <c r="EQ3" s="254"/>
      <c r="ER3" s="254"/>
      <c r="ES3" s="255"/>
      <c r="ET3" s="255"/>
      <c r="EU3" s="255"/>
      <c r="EV3" s="253"/>
      <c r="EW3" s="253"/>
      <c r="EX3" s="253"/>
      <c r="EY3" s="253"/>
      <c r="EZ3" s="253"/>
      <c r="FA3" s="253"/>
      <c r="FB3" s="254"/>
      <c r="FC3" s="254"/>
      <c r="FD3" s="254"/>
      <c r="FE3" s="255"/>
      <c r="FF3" s="255"/>
      <c r="FG3" s="255"/>
      <c r="FH3" s="253"/>
      <c r="FI3" s="253"/>
      <c r="FJ3" s="253"/>
      <c r="FK3" s="253"/>
      <c r="FL3" s="253"/>
      <c r="FM3" s="253"/>
      <c r="FN3" s="254"/>
      <c r="FO3" s="254"/>
      <c r="FP3" s="254"/>
      <c r="FQ3" s="255"/>
      <c r="FR3" s="255"/>
      <c r="FS3" s="255"/>
      <c r="FT3" s="253"/>
      <c r="FU3" s="253"/>
      <c r="FV3" s="253"/>
      <c r="FW3" s="253"/>
      <c r="FX3" s="253"/>
      <c r="FY3" s="253"/>
      <c r="FZ3" s="254"/>
      <c r="GA3" s="254"/>
      <c r="GB3" s="254"/>
      <c r="GC3" s="255"/>
      <c r="GD3" s="255"/>
      <c r="GE3" s="255"/>
      <c r="GF3" s="253"/>
      <c r="GG3" s="253"/>
      <c r="GH3" s="253"/>
      <c r="GI3" s="253"/>
      <c r="GJ3" s="253"/>
      <c r="GK3" s="253"/>
      <c r="GL3" s="254"/>
      <c r="GM3" s="254"/>
      <c r="GN3" s="254"/>
      <c r="GO3" s="255"/>
      <c r="GP3" s="255"/>
      <c r="GQ3" s="255"/>
      <c r="GR3" s="253"/>
      <c r="GS3" s="253"/>
      <c r="GT3" s="253"/>
      <c r="GU3" s="253"/>
      <c r="GV3" s="253"/>
      <c r="GW3" s="253"/>
      <c r="GX3" s="254"/>
      <c r="GY3" s="254"/>
      <c r="GZ3" s="254"/>
      <c r="HA3" s="255"/>
      <c r="HB3" s="255"/>
      <c r="HC3" s="255"/>
      <c r="HD3" s="253"/>
      <c r="HE3" s="253"/>
      <c r="HF3" s="253"/>
      <c r="HG3" s="253"/>
      <c r="HH3" s="253"/>
      <c r="HI3" s="253"/>
      <c r="HJ3" s="254"/>
      <c r="HK3" s="254"/>
      <c r="HL3" s="254"/>
      <c r="HM3" s="255"/>
      <c r="HN3" s="255"/>
      <c r="HO3" s="255"/>
      <c r="HP3" s="253"/>
      <c r="HQ3" s="253"/>
      <c r="HR3" s="253"/>
      <c r="HS3" s="253"/>
      <c r="HT3" s="253"/>
      <c r="HU3" s="253"/>
      <c r="HV3" s="254"/>
      <c r="HW3" s="254"/>
      <c r="HX3" s="254"/>
      <c r="HY3" s="255"/>
      <c r="HZ3" s="255"/>
      <c r="IA3" s="255"/>
      <c r="IB3" s="253"/>
      <c r="IC3" s="253"/>
      <c r="ID3" s="253"/>
      <c r="IE3" s="253"/>
      <c r="IF3" s="253"/>
      <c r="IG3" s="253"/>
      <c r="IH3" s="254"/>
      <c r="II3" s="254"/>
      <c r="IJ3" s="254"/>
      <c r="IK3" s="255"/>
      <c r="IL3" s="255"/>
      <c r="IM3" s="255"/>
      <c r="IN3" s="253"/>
      <c r="IO3" s="253"/>
      <c r="IP3" s="253"/>
      <c r="IQ3" s="253"/>
    </row>
    <row r="4" spans="1:251"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8"/>
      <c r="O4" s="258"/>
      <c r="P4" s="259"/>
      <c r="Q4" s="259"/>
      <c r="R4" s="259"/>
      <c r="S4" s="258"/>
      <c r="T4" s="260"/>
      <c r="U4" s="258"/>
      <c r="V4" s="258"/>
      <c r="W4" s="259"/>
      <c r="X4" s="259"/>
      <c r="Y4" s="259"/>
      <c r="Z4" s="258"/>
      <c r="AA4" s="258"/>
      <c r="AB4" s="259"/>
      <c r="AC4" s="259"/>
      <c r="AD4" s="259"/>
      <c r="AE4" s="258"/>
      <c r="AF4" s="260"/>
      <c r="AG4" s="258"/>
      <c r="AH4" s="258"/>
      <c r="AI4" s="259"/>
      <c r="AJ4" s="259"/>
      <c r="AK4" s="259"/>
      <c r="AL4" s="258"/>
      <c r="AM4" s="258"/>
      <c r="AN4" s="259"/>
      <c r="AO4" s="259"/>
      <c r="AP4" s="259"/>
      <c r="AQ4" s="258"/>
      <c r="AR4" s="260"/>
      <c r="AS4" s="258"/>
      <c r="AT4" s="258"/>
      <c r="AU4" s="259"/>
      <c r="AV4" s="259"/>
      <c r="AW4" s="259"/>
      <c r="AX4" s="258"/>
      <c r="AY4" s="258"/>
      <c r="AZ4" s="259"/>
      <c r="BA4" s="259"/>
      <c r="BB4" s="259"/>
      <c r="BC4" s="258"/>
      <c r="BD4" s="260"/>
      <c r="BE4" s="258"/>
      <c r="BF4" s="258"/>
      <c r="BG4" s="259"/>
      <c r="BH4" s="259"/>
      <c r="BI4" s="259"/>
      <c r="BJ4" s="258"/>
      <c r="BK4" s="258"/>
      <c r="BL4" s="259"/>
      <c r="BM4" s="259"/>
      <c r="BN4" s="259"/>
      <c r="BO4" s="258"/>
      <c r="BP4" s="260"/>
      <c r="BQ4" s="258"/>
      <c r="BR4" s="258"/>
      <c r="BS4" s="259"/>
      <c r="BT4" s="259"/>
      <c r="BU4" s="259"/>
      <c r="BV4" s="258"/>
      <c r="BW4" s="258"/>
      <c r="BX4" s="259"/>
      <c r="BY4" s="259"/>
      <c r="BZ4" s="259"/>
      <c r="CA4" s="258"/>
      <c r="CB4" s="260"/>
      <c r="CC4" s="258"/>
      <c r="CD4" s="258"/>
      <c r="CE4" s="259"/>
      <c r="CF4" s="259"/>
      <c r="CG4" s="259"/>
      <c r="CH4" s="258"/>
      <c r="CI4" s="258"/>
      <c r="CJ4" s="259"/>
      <c r="CK4" s="259"/>
      <c r="CL4" s="259"/>
      <c r="CM4" s="258"/>
      <c r="CN4" s="260"/>
      <c r="CO4" s="258"/>
      <c r="CP4" s="258"/>
      <c r="CQ4" s="259"/>
      <c r="CR4" s="259"/>
      <c r="CS4" s="259"/>
      <c r="CT4" s="258"/>
      <c r="CU4" s="258"/>
      <c r="CV4" s="259"/>
      <c r="CW4" s="259"/>
      <c r="CX4" s="259"/>
      <c r="CY4" s="258"/>
      <c r="CZ4" s="260"/>
      <c r="DA4" s="258"/>
      <c r="DB4" s="258"/>
      <c r="DC4" s="259"/>
      <c r="DD4" s="259"/>
      <c r="DE4" s="259"/>
      <c r="DF4" s="258"/>
      <c r="DG4" s="258"/>
      <c r="DH4" s="259"/>
      <c r="DI4" s="259"/>
      <c r="DJ4" s="259"/>
      <c r="DK4" s="258"/>
      <c r="DL4" s="260"/>
      <c r="DM4" s="258"/>
      <c r="DN4" s="258"/>
      <c r="DO4" s="259"/>
      <c r="DP4" s="259"/>
      <c r="DQ4" s="259"/>
      <c r="DR4" s="258"/>
      <c r="DS4" s="258"/>
      <c r="DT4" s="259"/>
      <c r="DU4" s="259"/>
      <c r="DV4" s="259"/>
      <c r="DW4" s="258"/>
      <c r="DX4" s="260"/>
      <c r="DY4" s="258"/>
      <c r="DZ4" s="258"/>
      <c r="EA4" s="259"/>
      <c r="EB4" s="259"/>
      <c r="EC4" s="259"/>
      <c r="ED4" s="258"/>
      <c r="EE4" s="258"/>
      <c r="EF4" s="259"/>
      <c r="EG4" s="259"/>
      <c r="EH4" s="259"/>
      <c r="EI4" s="258"/>
      <c r="EJ4" s="260"/>
      <c r="EK4" s="258"/>
      <c r="EL4" s="258"/>
      <c r="EM4" s="259"/>
      <c r="EN4" s="259"/>
      <c r="EO4" s="259"/>
      <c r="EP4" s="258"/>
      <c r="EQ4" s="258"/>
      <c r="ER4" s="259"/>
      <c r="ES4" s="259"/>
      <c r="ET4" s="259"/>
      <c r="EU4" s="258"/>
      <c r="EV4" s="260"/>
      <c r="EW4" s="258"/>
      <c r="EX4" s="258"/>
      <c r="EY4" s="259"/>
      <c r="EZ4" s="259"/>
      <c r="FA4" s="259"/>
      <c r="FB4" s="258"/>
      <c r="FC4" s="258"/>
      <c r="FD4" s="259"/>
      <c r="FE4" s="259"/>
      <c r="FF4" s="259"/>
      <c r="FG4" s="258"/>
      <c r="FH4" s="260"/>
      <c r="FI4" s="258"/>
      <c r="FJ4" s="258"/>
      <c r="FK4" s="259"/>
      <c r="FL4" s="259"/>
      <c r="FM4" s="259"/>
      <c r="FN4" s="258"/>
      <c r="FO4" s="258"/>
      <c r="FP4" s="259"/>
      <c r="FQ4" s="259"/>
      <c r="FR4" s="259"/>
      <c r="FS4" s="258"/>
      <c r="FT4" s="260"/>
      <c r="FU4" s="258"/>
      <c r="FV4" s="258"/>
      <c r="FW4" s="259"/>
      <c r="FX4" s="259"/>
      <c r="FY4" s="259"/>
      <c r="FZ4" s="258"/>
      <c r="GA4" s="258"/>
      <c r="GB4" s="259"/>
      <c r="GC4" s="259"/>
      <c r="GD4" s="259"/>
      <c r="GE4" s="258"/>
      <c r="GF4" s="260"/>
      <c r="GG4" s="258"/>
      <c r="GH4" s="258"/>
      <c r="GI4" s="259"/>
      <c r="GJ4" s="259"/>
      <c r="GK4" s="259"/>
      <c r="GL4" s="258"/>
      <c r="GM4" s="258"/>
      <c r="GN4" s="259"/>
      <c r="GO4" s="259"/>
      <c r="GP4" s="259"/>
      <c r="GQ4" s="258"/>
      <c r="GR4" s="260"/>
      <c r="GS4" s="258"/>
      <c r="GT4" s="258"/>
      <c r="GU4" s="259"/>
      <c r="GV4" s="259"/>
      <c r="GW4" s="259"/>
      <c r="GX4" s="258"/>
      <c r="GY4" s="258"/>
      <c r="GZ4" s="259"/>
      <c r="HA4" s="259"/>
      <c r="HB4" s="259"/>
      <c r="HC4" s="258"/>
      <c r="HD4" s="260"/>
      <c r="HE4" s="258"/>
      <c r="HF4" s="258"/>
      <c r="HG4" s="259"/>
      <c r="HH4" s="259"/>
      <c r="HI4" s="259"/>
      <c r="HJ4" s="258"/>
      <c r="HK4" s="258"/>
      <c r="HL4" s="259"/>
      <c r="HM4" s="259"/>
      <c r="HN4" s="259"/>
      <c r="HO4" s="258"/>
      <c r="HP4" s="260"/>
      <c r="HQ4" s="258"/>
      <c r="HR4" s="258"/>
      <c r="HS4" s="259"/>
      <c r="HT4" s="259"/>
      <c r="HU4" s="259"/>
      <c r="HV4" s="258"/>
      <c r="HW4" s="258"/>
      <c r="HX4" s="259"/>
      <c r="HY4" s="259"/>
      <c r="HZ4" s="259"/>
      <c r="IA4" s="258"/>
      <c r="IB4" s="260"/>
      <c r="IC4" s="258"/>
      <c r="ID4" s="258"/>
      <c r="IE4" s="259"/>
      <c r="IF4" s="259"/>
      <c r="IG4" s="259"/>
      <c r="IH4" s="258"/>
      <c r="II4" s="258"/>
      <c r="IJ4" s="259"/>
      <c r="IK4" s="259"/>
      <c r="IL4" s="259"/>
      <c r="IM4" s="258"/>
      <c r="IN4" s="260"/>
      <c r="IO4" s="258"/>
      <c r="IP4" s="258"/>
      <c r="IQ4" s="259"/>
    </row>
    <row r="5" spans="1:251"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row>
    <row r="6" spans="1:251" s="5" customFormat="1" ht="14.25">
      <c r="A6" s="35" t="s">
        <v>29</v>
      </c>
      <c r="B6" s="291">
        <v>3</v>
      </c>
      <c r="C6" s="291">
        <v>1</v>
      </c>
      <c r="D6" s="291">
        <v>-2.6</v>
      </c>
      <c r="E6" s="291">
        <v>2.5</v>
      </c>
      <c r="F6" s="291">
        <v>1.6</v>
      </c>
      <c r="G6" s="292">
        <v>0.1</v>
      </c>
      <c r="H6" s="291">
        <v>0.3</v>
      </c>
      <c r="I6" s="291">
        <v>1</v>
      </c>
      <c r="J6" s="291">
        <v>1.1000000000000001</v>
      </c>
      <c r="K6" s="291">
        <v>1.5</v>
      </c>
      <c r="L6" s="291"/>
      <c r="M6" s="291"/>
      <c r="N6" s="291"/>
      <c r="O6" s="292"/>
      <c r="P6" s="292"/>
      <c r="Q6" s="292"/>
      <c r="R6" s="292"/>
      <c r="S6" s="292"/>
      <c r="T6" s="35"/>
      <c r="U6" s="291"/>
      <c r="V6" s="291"/>
      <c r="W6" s="291"/>
      <c r="X6" s="291"/>
      <c r="Y6" s="291"/>
      <c r="Z6" s="291"/>
      <c r="AA6" s="292"/>
      <c r="AB6" s="292"/>
      <c r="AC6" s="292"/>
      <c r="AD6" s="292"/>
      <c r="AE6" s="292"/>
      <c r="AF6" s="35"/>
      <c r="AG6" s="291"/>
      <c r="AH6" s="291"/>
      <c r="AI6" s="291"/>
      <c r="AJ6" s="291"/>
      <c r="AK6" s="291"/>
      <c r="AL6" s="291"/>
      <c r="AM6" s="292"/>
      <c r="AN6" s="292"/>
      <c r="AO6" s="292"/>
      <c r="AP6" s="292"/>
      <c r="AQ6" s="292"/>
      <c r="AR6" s="35"/>
      <c r="AS6" s="291"/>
      <c r="AT6" s="291"/>
      <c r="AU6" s="291"/>
      <c r="AV6" s="291"/>
      <c r="AW6" s="291"/>
      <c r="AX6" s="291"/>
      <c r="AY6" s="292"/>
      <c r="AZ6" s="292"/>
      <c r="BA6" s="292"/>
      <c r="BB6" s="292"/>
      <c r="BC6" s="292"/>
      <c r="BD6" s="35"/>
      <c r="BE6" s="291"/>
      <c r="BF6" s="291"/>
      <c r="BG6" s="291"/>
      <c r="BH6" s="291"/>
      <c r="BI6" s="291"/>
      <c r="BJ6" s="291"/>
      <c r="BK6" s="292"/>
      <c r="BL6" s="292"/>
      <c r="BM6" s="292"/>
      <c r="BN6" s="292"/>
      <c r="BO6" s="292"/>
      <c r="BP6" s="35"/>
      <c r="BQ6" s="291"/>
      <c r="BR6" s="291"/>
      <c r="BS6" s="291"/>
      <c r="BT6" s="291"/>
      <c r="BU6" s="291"/>
      <c r="BV6" s="291"/>
      <c r="BW6" s="292"/>
      <c r="BX6" s="292"/>
      <c r="BY6" s="292"/>
      <c r="BZ6" s="292"/>
      <c r="CA6" s="292"/>
      <c r="CB6" s="35"/>
      <c r="CC6" s="291"/>
      <c r="CD6" s="291"/>
      <c r="CE6" s="291"/>
      <c r="CF6" s="291"/>
      <c r="CG6" s="291"/>
      <c r="CH6" s="291"/>
      <c r="CI6" s="292"/>
      <c r="CJ6" s="292"/>
      <c r="CK6" s="292"/>
      <c r="CL6" s="292"/>
      <c r="CM6" s="292"/>
      <c r="CN6" s="35"/>
      <c r="CO6" s="291"/>
      <c r="CP6" s="291"/>
      <c r="CQ6" s="291"/>
      <c r="CR6" s="291"/>
      <c r="CS6" s="291"/>
      <c r="CT6" s="291"/>
      <c r="CU6" s="292"/>
      <c r="CV6" s="292"/>
      <c r="CW6" s="292"/>
      <c r="CX6" s="292"/>
      <c r="CY6" s="292"/>
      <c r="CZ6" s="35"/>
      <c r="DA6" s="291"/>
      <c r="DB6" s="291"/>
      <c r="DC6" s="291"/>
      <c r="DD6" s="291"/>
      <c r="DE6" s="291"/>
      <c r="DF6" s="291"/>
      <c r="DG6" s="292"/>
      <c r="DH6" s="292"/>
      <c r="DI6" s="292"/>
      <c r="DJ6" s="292"/>
      <c r="DK6" s="292"/>
      <c r="DL6" s="35"/>
      <c r="DM6" s="291"/>
      <c r="DN6" s="291"/>
      <c r="DO6" s="291"/>
      <c r="DP6" s="291"/>
      <c r="DQ6" s="291"/>
      <c r="DR6" s="291"/>
      <c r="DS6" s="292"/>
      <c r="DT6" s="292"/>
      <c r="DU6" s="292"/>
      <c r="DV6" s="292"/>
      <c r="DW6" s="292"/>
      <c r="DX6" s="35"/>
      <c r="DY6" s="291"/>
      <c r="DZ6" s="291"/>
      <c r="EA6" s="291"/>
      <c r="EB6" s="291"/>
      <c r="EC6" s="291"/>
      <c r="ED6" s="291"/>
      <c r="EE6" s="292"/>
      <c r="EF6" s="292"/>
      <c r="EG6" s="292"/>
      <c r="EH6" s="292"/>
      <c r="EI6" s="292"/>
      <c r="EJ6" s="35"/>
      <c r="EK6" s="291"/>
      <c r="EL6" s="291"/>
      <c r="EM6" s="291"/>
      <c r="EN6" s="291"/>
      <c r="EO6" s="291"/>
      <c r="EP6" s="291"/>
      <c r="EQ6" s="292"/>
      <c r="ER6" s="292"/>
      <c r="ES6" s="292"/>
      <c r="ET6" s="292"/>
      <c r="EU6" s="292"/>
      <c r="EV6" s="35"/>
      <c r="EW6" s="291"/>
      <c r="EX6" s="291"/>
      <c r="EY6" s="291"/>
      <c r="EZ6" s="291"/>
      <c r="FA6" s="291"/>
      <c r="FB6" s="291"/>
      <c r="FC6" s="292"/>
      <c r="FD6" s="292"/>
      <c r="FE6" s="292"/>
      <c r="FF6" s="292"/>
      <c r="FG6" s="292"/>
      <c r="FH6" s="35"/>
      <c r="FI6" s="291"/>
      <c r="FJ6" s="291"/>
      <c r="FK6" s="291"/>
      <c r="FL6" s="291"/>
      <c r="FM6" s="291"/>
      <c r="FN6" s="291"/>
      <c r="FO6" s="292"/>
      <c r="FP6" s="292"/>
      <c r="FQ6" s="292"/>
      <c r="FR6" s="292"/>
      <c r="FS6" s="292"/>
      <c r="FT6" s="35"/>
      <c r="FU6" s="291"/>
      <c r="FV6" s="291"/>
      <c r="FW6" s="291"/>
      <c r="FX6" s="291"/>
      <c r="FY6" s="291"/>
      <c r="FZ6" s="291"/>
      <c r="GA6" s="292"/>
      <c r="GB6" s="292"/>
      <c r="GC6" s="292"/>
      <c r="GD6" s="292"/>
      <c r="GE6" s="292"/>
      <c r="GF6" s="35"/>
      <c r="GG6" s="291"/>
      <c r="GH6" s="291"/>
      <c r="GI6" s="291"/>
      <c r="GJ6" s="291"/>
      <c r="GK6" s="291"/>
      <c r="GL6" s="291"/>
      <c r="GM6" s="292"/>
      <c r="GN6" s="292"/>
      <c r="GO6" s="292"/>
      <c r="GP6" s="292"/>
      <c r="GQ6" s="292"/>
      <c r="GR6" s="35"/>
      <c r="GS6" s="291"/>
      <c r="GT6" s="291"/>
      <c r="GU6" s="291"/>
      <c r="GV6" s="291"/>
      <c r="GW6" s="291"/>
      <c r="GX6" s="291"/>
      <c r="GY6" s="292"/>
      <c r="GZ6" s="292"/>
      <c r="HA6" s="292"/>
      <c r="HB6" s="292"/>
      <c r="HC6" s="292"/>
      <c r="HD6" s="35"/>
      <c r="HE6" s="291"/>
      <c r="HF6" s="291"/>
      <c r="HG6" s="291"/>
      <c r="HH6" s="291"/>
      <c r="HI6" s="291"/>
      <c r="HJ6" s="291"/>
      <c r="HK6" s="292"/>
      <c r="HL6" s="292"/>
      <c r="HM6" s="292"/>
      <c r="HN6" s="292"/>
      <c r="HO6" s="292"/>
      <c r="HP6" s="35"/>
      <c r="HQ6" s="291"/>
      <c r="HR6" s="291"/>
      <c r="HS6" s="291"/>
      <c r="HT6" s="291"/>
      <c r="HU6" s="291"/>
      <c r="HV6" s="291"/>
      <c r="HW6" s="292"/>
      <c r="HX6" s="292"/>
      <c r="HY6" s="292"/>
      <c r="HZ6" s="292"/>
      <c r="IA6" s="292"/>
      <c r="IB6" s="35"/>
      <c r="IC6" s="291"/>
      <c r="ID6" s="291"/>
      <c r="IE6" s="291"/>
      <c r="IF6" s="291"/>
      <c r="IG6" s="291"/>
      <c r="IH6" s="291"/>
      <c r="II6" s="292"/>
      <c r="IJ6" s="292"/>
      <c r="IK6" s="292"/>
      <c r="IL6" s="292"/>
      <c r="IM6" s="292"/>
      <c r="IN6" s="35"/>
      <c r="IO6" s="291"/>
      <c r="IP6" s="291"/>
      <c r="IQ6" s="291"/>
    </row>
    <row r="7" spans="1:251" s="5" customFormat="1" ht="14.25">
      <c r="A7" s="35" t="s">
        <v>28</v>
      </c>
      <c r="B7" s="291">
        <v>3.3</v>
      </c>
      <c r="C7" s="291">
        <v>1.1000000000000001</v>
      </c>
      <c r="D7" s="291">
        <v>-5.6</v>
      </c>
      <c r="E7" s="291">
        <v>4.0999999999999996</v>
      </c>
      <c r="F7" s="291">
        <v>3.6</v>
      </c>
      <c r="G7" s="292">
        <v>0.4</v>
      </c>
      <c r="H7" s="291">
        <v>0.1</v>
      </c>
      <c r="I7" s="291">
        <v>1.6</v>
      </c>
      <c r="J7" s="291">
        <v>1.9</v>
      </c>
      <c r="K7" s="291">
        <v>2</v>
      </c>
      <c r="L7" s="291"/>
      <c r="M7" s="291"/>
      <c r="N7" s="291"/>
      <c r="O7" s="292"/>
      <c r="P7" s="292"/>
      <c r="Q7" s="292"/>
      <c r="R7" s="292"/>
      <c r="S7" s="292"/>
      <c r="T7" s="35"/>
      <c r="U7" s="291"/>
      <c r="V7" s="291"/>
      <c r="W7" s="291"/>
      <c r="X7" s="291"/>
      <c r="Y7" s="291"/>
      <c r="Z7" s="291"/>
      <c r="AA7" s="292"/>
      <c r="AB7" s="292"/>
      <c r="AC7" s="292"/>
      <c r="AD7" s="292"/>
      <c r="AE7" s="292"/>
      <c r="AF7" s="35"/>
      <c r="AG7" s="291"/>
      <c r="AH7" s="291"/>
      <c r="AI7" s="291"/>
      <c r="AJ7" s="291"/>
      <c r="AK7" s="291"/>
      <c r="AL7" s="291"/>
      <c r="AM7" s="292"/>
      <c r="AN7" s="292"/>
      <c r="AO7" s="292"/>
      <c r="AP7" s="292"/>
      <c r="AQ7" s="292"/>
      <c r="AR7" s="35"/>
      <c r="AS7" s="291"/>
      <c r="AT7" s="291"/>
      <c r="AU7" s="291"/>
      <c r="AV7" s="291"/>
      <c r="AW7" s="291"/>
      <c r="AX7" s="291"/>
      <c r="AY7" s="292"/>
      <c r="AZ7" s="292"/>
      <c r="BA7" s="292"/>
      <c r="BB7" s="292"/>
      <c r="BC7" s="292"/>
      <c r="BD7" s="35"/>
      <c r="BE7" s="291"/>
      <c r="BF7" s="291"/>
      <c r="BG7" s="291"/>
      <c r="BH7" s="291"/>
      <c r="BI7" s="291"/>
      <c r="BJ7" s="291"/>
      <c r="BK7" s="292"/>
      <c r="BL7" s="292"/>
      <c r="BM7" s="292"/>
      <c r="BN7" s="292"/>
      <c r="BO7" s="292"/>
      <c r="BP7" s="35"/>
      <c r="BQ7" s="291"/>
      <c r="BR7" s="291"/>
      <c r="BS7" s="291"/>
      <c r="BT7" s="291"/>
      <c r="BU7" s="291"/>
      <c r="BV7" s="291"/>
      <c r="BW7" s="292"/>
      <c r="BX7" s="292"/>
      <c r="BY7" s="292"/>
      <c r="BZ7" s="292"/>
      <c r="CA7" s="292"/>
      <c r="CB7" s="35"/>
      <c r="CC7" s="291"/>
      <c r="CD7" s="291"/>
      <c r="CE7" s="291"/>
      <c r="CF7" s="291"/>
      <c r="CG7" s="291"/>
      <c r="CH7" s="291"/>
      <c r="CI7" s="292"/>
      <c r="CJ7" s="292"/>
      <c r="CK7" s="292"/>
      <c r="CL7" s="292"/>
      <c r="CM7" s="292"/>
      <c r="CN7" s="35"/>
      <c r="CO7" s="291"/>
      <c r="CP7" s="291"/>
      <c r="CQ7" s="291"/>
      <c r="CR7" s="291"/>
      <c r="CS7" s="291"/>
      <c r="CT7" s="291"/>
      <c r="CU7" s="292"/>
      <c r="CV7" s="292"/>
      <c r="CW7" s="292"/>
      <c r="CX7" s="292"/>
      <c r="CY7" s="292"/>
      <c r="CZ7" s="35"/>
      <c r="DA7" s="291"/>
      <c r="DB7" s="291"/>
      <c r="DC7" s="291"/>
      <c r="DD7" s="291"/>
      <c r="DE7" s="291"/>
      <c r="DF7" s="291"/>
      <c r="DG7" s="292"/>
      <c r="DH7" s="292"/>
      <c r="DI7" s="292"/>
      <c r="DJ7" s="292"/>
      <c r="DK7" s="292"/>
      <c r="DL7" s="35"/>
      <c r="DM7" s="291"/>
      <c r="DN7" s="291"/>
      <c r="DO7" s="291"/>
      <c r="DP7" s="291"/>
      <c r="DQ7" s="291"/>
      <c r="DR7" s="291"/>
      <c r="DS7" s="292"/>
      <c r="DT7" s="292"/>
      <c r="DU7" s="292"/>
      <c r="DV7" s="292"/>
      <c r="DW7" s="292"/>
      <c r="DX7" s="35"/>
      <c r="DY7" s="291"/>
      <c r="DZ7" s="291"/>
      <c r="EA7" s="291"/>
      <c r="EB7" s="291"/>
      <c r="EC7" s="291"/>
      <c r="ED7" s="291"/>
      <c r="EE7" s="292"/>
      <c r="EF7" s="292"/>
      <c r="EG7" s="292"/>
      <c r="EH7" s="292"/>
      <c r="EI7" s="292"/>
      <c r="EJ7" s="35"/>
      <c r="EK7" s="291"/>
      <c r="EL7" s="291"/>
      <c r="EM7" s="291"/>
      <c r="EN7" s="291"/>
      <c r="EO7" s="291"/>
      <c r="EP7" s="291"/>
      <c r="EQ7" s="292"/>
      <c r="ER7" s="292"/>
      <c r="ES7" s="292"/>
      <c r="ET7" s="292"/>
      <c r="EU7" s="292"/>
      <c r="EV7" s="35"/>
      <c r="EW7" s="291"/>
      <c r="EX7" s="291"/>
      <c r="EY7" s="291"/>
      <c r="EZ7" s="291"/>
      <c r="FA7" s="291"/>
      <c r="FB7" s="291"/>
      <c r="FC7" s="292"/>
      <c r="FD7" s="292"/>
      <c r="FE7" s="292"/>
      <c r="FF7" s="292"/>
      <c r="FG7" s="292"/>
      <c r="FH7" s="35"/>
      <c r="FI7" s="291"/>
      <c r="FJ7" s="291"/>
      <c r="FK7" s="291"/>
      <c r="FL7" s="291"/>
      <c r="FM7" s="291"/>
      <c r="FN7" s="291"/>
      <c r="FO7" s="292"/>
      <c r="FP7" s="292"/>
      <c r="FQ7" s="292"/>
      <c r="FR7" s="292"/>
      <c r="FS7" s="292"/>
      <c r="FT7" s="35"/>
      <c r="FU7" s="291"/>
      <c r="FV7" s="291"/>
      <c r="FW7" s="291"/>
      <c r="FX7" s="291"/>
      <c r="FY7" s="291"/>
      <c r="FZ7" s="291"/>
      <c r="GA7" s="292"/>
      <c r="GB7" s="292"/>
      <c r="GC7" s="292"/>
      <c r="GD7" s="292"/>
      <c r="GE7" s="292"/>
      <c r="GF7" s="35"/>
      <c r="GG7" s="291"/>
      <c r="GH7" s="291"/>
      <c r="GI7" s="291"/>
      <c r="GJ7" s="291"/>
      <c r="GK7" s="291"/>
      <c r="GL7" s="291"/>
      <c r="GM7" s="292"/>
      <c r="GN7" s="292"/>
      <c r="GO7" s="292"/>
      <c r="GP7" s="292"/>
      <c r="GQ7" s="292"/>
      <c r="GR7" s="35"/>
      <c r="GS7" s="291"/>
      <c r="GT7" s="291"/>
      <c r="GU7" s="291"/>
      <c r="GV7" s="291"/>
      <c r="GW7" s="291"/>
      <c r="GX7" s="291"/>
      <c r="GY7" s="292"/>
      <c r="GZ7" s="292"/>
      <c r="HA7" s="292"/>
      <c r="HB7" s="292"/>
      <c r="HC7" s="292"/>
      <c r="HD7" s="35"/>
      <c r="HE7" s="291"/>
      <c r="HF7" s="291"/>
      <c r="HG7" s="291"/>
      <c r="HH7" s="291"/>
      <c r="HI7" s="291"/>
      <c r="HJ7" s="291"/>
      <c r="HK7" s="292"/>
      <c r="HL7" s="292"/>
      <c r="HM7" s="292"/>
      <c r="HN7" s="292"/>
      <c r="HO7" s="292"/>
      <c r="HP7" s="35"/>
      <c r="HQ7" s="291"/>
      <c r="HR7" s="291"/>
      <c r="HS7" s="291"/>
      <c r="HT7" s="291"/>
      <c r="HU7" s="291"/>
      <c r="HV7" s="291"/>
      <c r="HW7" s="292"/>
      <c r="HX7" s="292"/>
      <c r="HY7" s="292"/>
      <c r="HZ7" s="292"/>
      <c r="IA7" s="292"/>
      <c r="IB7" s="35"/>
      <c r="IC7" s="291"/>
      <c r="ID7" s="291"/>
      <c r="IE7" s="291"/>
      <c r="IF7" s="291"/>
      <c r="IG7" s="291"/>
      <c r="IH7" s="291"/>
      <c r="II7" s="292"/>
      <c r="IJ7" s="292"/>
      <c r="IK7" s="292"/>
      <c r="IL7" s="292"/>
      <c r="IM7" s="292"/>
      <c r="IN7" s="35"/>
      <c r="IO7" s="291"/>
      <c r="IP7" s="291"/>
      <c r="IQ7" s="291"/>
    </row>
    <row r="8" spans="1:251" s="5" customFormat="1" ht="14.25">
      <c r="A8" s="35" t="s">
        <v>13</v>
      </c>
      <c r="B8" s="291">
        <v>7.9</v>
      </c>
      <c r="C8" s="291">
        <v>-5.3</v>
      </c>
      <c r="D8" s="291">
        <v>-14.7</v>
      </c>
      <c r="E8" s="291">
        <v>2.5</v>
      </c>
      <c r="F8" s="291">
        <v>8.3000000000000007</v>
      </c>
      <c r="G8" s="292">
        <v>4.7</v>
      </c>
      <c r="H8" s="291">
        <v>1.6</v>
      </c>
      <c r="I8" s="291">
        <v>2.1</v>
      </c>
      <c r="J8" s="291">
        <v>2.2999999999999998</v>
      </c>
      <c r="K8" s="291">
        <v>2.9</v>
      </c>
      <c r="L8" s="292"/>
      <c r="M8" s="291"/>
      <c r="N8" s="291"/>
      <c r="O8" s="292"/>
      <c r="P8" s="292"/>
      <c r="Q8" s="292"/>
      <c r="R8" s="292"/>
      <c r="S8" s="292"/>
      <c r="T8" s="35"/>
      <c r="U8" s="291"/>
      <c r="V8" s="291"/>
      <c r="W8" s="291"/>
      <c r="X8" s="292"/>
      <c r="Y8" s="291"/>
      <c r="Z8" s="291"/>
      <c r="AA8" s="292"/>
      <c r="AB8" s="292"/>
      <c r="AC8" s="292"/>
      <c r="AD8" s="292"/>
      <c r="AE8" s="292"/>
      <c r="AF8" s="35"/>
      <c r="AG8" s="291"/>
      <c r="AH8" s="291"/>
      <c r="AI8" s="291"/>
      <c r="AJ8" s="292"/>
      <c r="AK8" s="291"/>
      <c r="AL8" s="291"/>
      <c r="AM8" s="292"/>
      <c r="AN8" s="292"/>
      <c r="AO8" s="292"/>
      <c r="AP8" s="292"/>
      <c r="AQ8" s="292"/>
      <c r="AR8" s="35"/>
      <c r="AS8" s="291"/>
      <c r="AT8" s="291"/>
      <c r="AU8" s="291"/>
      <c r="AV8" s="292"/>
      <c r="AW8" s="291"/>
      <c r="AX8" s="291"/>
      <c r="AY8" s="292"/>
      <c r="AZ8" s="292"/>
      <c r="BA8" s="292"/>
      <c r="BB8" s="292"/>
      <c r="BC8" s="292"/>
      <c r="BD8" s="35"/>
      <c r="BE8" s="291"/>
      <c r="BF8" s="291"/>
      <c r="BG8" s="291"/>
      <c r="BH8" s="292"/>
      <c r="BI8" s="291"/>
      <c r="BJ8" s="291"/>
      <c r="BK8" s="292"/>
      <c r="BL8" s="292"/>
      <c r="BM8" s="292"/>
      <c r="BN8" s="292"/>
      <c r="BO8" s="292"/>
      <c r="BP8" s="35"/>
      <c r="BQ8" s="291"/>
      <c r="BR8" s="291"/>
      <c r="BS8" s="291"/>
      <c r="BT8" s="292"/>
      <c r="BU8" s="291"/>
      <c r="BV8" s="291"/>
      <c r="BW8" s="292"/>
      <c r="BX8" s="292"/>
      <c r="BY8" s="292"/>
      <c r="BZ8" s="292"/>
      <c r="CA8" s="292"/>
      <c r="CB8" s="35"/>
      <c r="CC8" s="291"/>
      <c r="CD8" s="291"/>
      <c r="CE8" s="291"/>
      <c r="CF8" s="292"/>
      <c r="CG8" s="291"/>
      <c r="CH8" s="291"/>
      <c r="CI8" s="292"/>
      <c r="CJ8" s="292"/>
      <c r="CK8" s="292"/>
      <c r="CL8" s="292"/>
      <c r="CM8" s="292"/>
      <c r="CN8" s="35"/>
      <c r="CO8" s="291"/>
      <c r="CP8" s="291"/>
      <c r="CQ8" s="291"/>
      <c r="CR8" s="292"/>
      <c r="CS8" s="291"/>
      <c r="CT8" s="291"/>
      <c r="CU8" s="292"/>
      <c r="CV8" s="292"/>
      <c r="CW8" s="292"/>
      <c r="CX8" s="292"/>
      <c r="CY8" s="292"/>
      <c r="CZ8" s="35"/>
      <c r="DA8" s="291"/>
      <c r="DB8" s="291"/>
      <c r="DC8" s="291"/>
      <c r="DD8" s="292"/>
      <c r="DE8" s="291"/>
      <c r="DF8" s="291"/>
      <c r="DG8" s="292"/>
      <c r="DH8" s="292"/>
      <c r="DI8" s="292"/>
      <c r="DJ8" s="292"/>
      <c r="DK8" s="292"/>
      <c r="DL8" s="35"/>
      <c r="DM8" s="291"/>
      <c r="DN8" s="291"/>
      <c r="DO8" s="291"/>
      <c r="DP8" s="292"/>
      <c r="DQ8" s="291"/>
      <c r="DR8" s="291"/>
      <c r="DS8" s="292"/>
      <c r="DT8" s="292"/>
      <c r="DU8" s="292"/>
      <c r="DV8" s="292"/>
      <c r="DW8" s="292"/>
      <c r="DX8" s="35"/>
      <c r="DY8" s="291"/>
      <c r="DZ8" s="291"/>
      <c r="EA8" s="291"/>
      <c r="EB8" s="292"/>
      <c r="EC8" s="291"/>
      <c r="ED8" s="291"/>
      <c r="EE8" s="292"/>
      <c r="EF8" s="292"/>
      <c r="EG8" s="292"/>
      <c r="EH8" s="292"/>
      <c r="EI8" s="292"/>
      <c r="EJ8" s="35"/>
      <c r="EK8" s="291"/>
      <c r="EL8" s="291"/>
      <c r="EM8" s="291"/>
      <c r="EN8" s="292"/>
      <c r="EO8" s="291"/>
      <c r="EP8" s="291"/>
      <c r="EQ8" s="292"/>
      <c r="ER8" s="292"/>
      <c r="ES8" s="292"/>
      <c r="ET8" s="292"/>
      <c r="EU8" s="292"/>
      <c r="EV8" s="35"/>
      <c r="EW8" s="291"/>
      <c r="EX8" s="291"/>
      <c r="EY8" s="291"/>
      <c r="EZ8" s="292"/>
      <c r="FA8" s="291"/>
      <c r="FB8" s="291"/>
      <c r="FC8" s="292"/>
      <c r="FD8" s="292"/>
      <c r="FE8" s="292"/>
      <c r="FF8" s="292"/>
      <c r="FG8" s="292"/>
      <c r="FH8" s="35"/>
      <c r="FI8" s="291"/>
      <c r="FJ8" s="291"/>
      <c r="FK8" s="291"/>
      <c r="FL8" s="292"/>
      <c r="FM8" s="291"/>
      <c r="FN8" s="291"/>
      <c r="FO8" s="292"/>
      <c r="FP8" s="292"/>
      <c r="FQ8" s="292"/>
      <c r="FR8" s="292"/>
      <c r="FS8" s="292"/>
      <c r="FT8" s="35"/>
      <c r="FU8" s="291"/>
      <c r="FV8" s="291"/>
      <c r="FW8" s="291"/>
      <c r="FX8" s="292"/>
      <c r="FY8" s="291"/>
      <c r="FZ8" s="291"/>
      <c r="GA8" s="292"/>
      <c r="GB8" s="292"/>
      <c r="GC8" s="292"/>
      <c r="GD8" s="292"/>
      <c r="GE8" s="292"/>
      <c r="GF8" s="35"/>
      <c r="GG8" s="291"/>
      <c r="GH8" s="291"/>
      <c r="GI8" s="291"/>
      <c r="GJ8" s="292"/>
      <c r="GK8" s="291"/>
      <c r="GL8" s="291"/>
      <c r="GM8" s="292"/>
      <c r="GN8" s="292"/>
      <c r="GO8" s="292"/>
      <c r="GP8" s="292"/>
      <c r="GQ8" s="292"/>
      <c r="GR8" s="35"/>
      <c r="GS8" s="291"/>
      <c r="GT8" s="291"/>
      <c r="GU8" s="291"/>
      <c r="GV8" s="292"/>
      <c r="GW8" s="291"/>
      <c r="GX8" s="291"/>
      <c r="GY8" s="292"/>
      <c r="GZ8" s="292"/>
      <c r="HA8" s="292"/>
      <c r="HB8" s="292"/>
      <c r="HC8" s="292"/>
      <c r="HD8" s="35"/>
      <c r="HE8" s="291"/>
      <c r="HF8" s="291"/>
      <c r="HG8" s="291"/>
      <c r="HH8" s="292"/>
      <c r="HI8" s="291"/>
      <c r="HJ8" s="291"/>
      <c r="HK8" s="292"/>
      <c r="HL8" s="292"/>
      <c r="HM8" s="292"/>
      <c r="HN8" s="292"/>
      <c r="HO8" s="292"/>
      <c r="HP8" s="35"/>
      <c r="HQ8" s="291"/>
      <c r="HR8" s="291"/>
      <c r="HS8" s="291"/>
      <c r="HT8" s="292"/>
      <c r="HU8" s="291"/>
      <c r="HV8" s="291"/>
      <c r="HW8" s="292"/>
      <c r="HX8" s="292"/>
      <c r="HY8" s="292"/>
      <c r="HZ8" s="292"/>
      <c r="IA8" s="292"/>
      <c r="IB8" s="35"/>
      <c r="IC8" s="291"/>
      <c r="ID8" s="291"/>
      <c r="IE8" s="291"/>
      <c r="IF8" s="292"/>
      <c r="IG8" s="291"/>
      <c r="IH8" s="291"/>
      <c r="II8" s="292"/>
      <c r="IJ8" s="292"/>
      <c r="IK8" s="292"/>
      <c r="IL8" s="292"/>
      <c r="IM8" s="292"/>
      <c r="IN8" s="35"/>
      <c r="IO8" s="291"/>
      <c r="IP8" s="291"/>
      <c r="IQ8" s="291"/>
    </row>
    <row r="9" spans="1:251" s="5" customFormat="1" ht="14.25">
      <c r="A9" s="36" t="s">
        <v>27</v>
      </c>
      <c r="B9" s="291">
        <v>4.9000000000000004</v>
      </c>
      <c r="C9" s="291">
        <v>-2.6</v>
      </c>
      <c r="D9" s="291">
        <v>-6.4</v>
      </c>
      <c r="E9" s="291">
        <v>-0.3</v>
      </c>
      <c r="F9" s="291">
        <v>2.8</v>
      </c>
      <c r="G9" s="291">
        <v>-0.3</v>
      </c>
      <c r="H9" s="291">
        <v>0.2</v>
      </c>
      <c r="I9" s="291">
        <v>4.8</v>
      </c>
      <c r="J9" s="291">
        <v>3.6</v>
      </c>
      <c r="K9" s="291">
        <v>3.5</v>
      </c>
      <c r="L9" s="291"/>
      <c r="M9" s="291"/>
      <c r="N9" s="291"/>
      <c r="O9" s="291"/>
      <c r="P9" s="291"/>
      <c r="Q9" s="291"/>
      <c r="R9" s="291"/>
      <c r="S9" s="291"/>
      <c r="T9" s="36"/>
      <c r="U9" s="291"/>
      <c r="V9" s="291"/>
      <c r="W9" s="291"/>
      <c r="X9" s="291"/>
      <c r="Y9" s="291"/>
      <c r="Z9" s="291"/>
      <c r="AA9" s="291"/>
      <c r="AB9" s="291"/>
      <c r="AC9" s="291"/>
      <c r="AD9" s="291"/>
      <c r="AE9" s="291"/>
      <c r="AF9" s="36"/>
      <c r="AG9" s="291"/>
      <c r="AH9" s="291"/>
      <c r="AI9" s="291"/>
      <c r="AJ9" s="291"/>
      <c r="AK9" s="291"/>
      <c r="AL9" s="291"/>
      <c r="AM9" s="291"/>
      <c r="AN9" s="291"/>
      <c r="AO9" s="291"/>
      <c r="AP9" s="291"/>
      <c r="AQ9" s="291"/>
      <c r="AR9" s="36"/>
      <c r="AS9" s="291"/>
      <c r="AT9" s="291"/>
      <c r="AU9" s="291"/>
      <c r="AV9" s="291"/>
      <c r="AW9" s="291"/>
      <c r="AX9" s="291"/>
      <c r="AY9" s="291"/>
      <c r="AZ9" s="291"/>
      <c r="BA9" s="291"/>
      <c r="BB9" s="291"/>
      <c r="BC9" s="291"/>
      <c r="BD9" s="36"/>
      <c r="BE9" s="291"/>
      <c r="BF9" s="291"/>
      <c r="BG9" s="291"/>
      <c r="BH9" s="291"/>
      <c r="BI9" s="291"/>
      <c r="BJ9" s="291"/>
      <c r="BK9" s="291"/>
      <c r="BL9" s="291"/>
      <c r="BM9" s="291"/>
      <c r="BN9" s="291"/>
      <c r="BO9" s="291"/>
      <c r="BP9" s="36"/>
      <c r="BQ9" s="291"/>
      <c r="BR9" s="291"/>
      <c r="BS9" s="291"/>
      <c r="BT9" s="291"/>
      <c r="BU9" s="291"/>
      <c r="BV9" s="291"/>
      <c r="BW9" s="291"/>
      <c r="BX9" s="291"/>
      <c r="BY9" s="291"/>
      <c r="BZ9" s="291"/>
      <c r="CA9" s="291"/>
      <c r="CB9" s="36"/>
      <c r="CC9" s="291"/>
      <c r="CD9" s="291"/>
      <c r="CE9" s="291"/>
      <c r="CF9" s="291"/>
      <c r="CG9" s="291"/>
      <c r="CH9" s="291"/>
      <c r="CI9" s="291"/>
      <c r="CJ9" s="291"/>
      <c r="CK9" s="291"/>
      <c r="CL9" s="291"/>
      <c r="CM9" s="291"/>
      <c r="CN9" s="36"/>
      <c r="CO9" s="291"/>
      <c r="CP9" s="291"/>
      <c r="CQ9" s="291"/>
      <c r="CR9" s="291"/>
      <c r="CS9" s="291"/>
      <c r="CT9" s="291"/>
      <c r="CU9" s="291"/>
      <c r="CV9" s="291"/>
      <c r="CW9" s="291"/>
      <c r="CX9" s="291"/>
      <c r="CY9" s="291"/>
      <c r="CZ9" s="36"/>
      <c r="DA9" s="291"/>
      <c r="DB9" s="291"/>
      <c r="DC9" s="291"/>
      <c r="DD9" s="291"/>
      <c r="DE9" s="291"/>
      <c r="DF9" s="291"/>
      <c r="DG9" s="291"/>
      <c r="DH9" s="291"/>
      <c r="DI9" s="291"/>
      <c r="DJ9" s="291"/>
      <c r="DK9" s="291"/>
      <c r="DL9" s="36"/>
      <c r="DM9" s="291"/>
      <c r="DN9" s="291"/>
      <c r="DO9" s="291"/>
      <c r="DP9" s="291"/>
      <c r="DQ9" s="291"/>
      <c r="DR9" s="291"/>
      <c r="DS9" s="291"/>
      <c r="DT9" s="291"/>
      <c r="DU9" s="291"/>
      <c r="DV9" s="291"/>
      <c r="DW9" s="291"/>
      <c r="DX9" s="36"/>
      <c r="DY9" s="291"/>
      <c r="DZ9" s="291"/>
      <c r="EA9" s="291"/>
      <c r="EB9" s="291"/>
      <c r="EC9" s="291"/>
      <c r="ED9" s="291"/>
      <c r="EE9" s="291"/>
      <c r="EF9" s="291"/>
      <c r="EG9" s="291"/>
      <c r="EH9" s="291"/>
      <c r="EI9" s="291"/>
      <c r="EJ9" s="36"/>
      <c r="EK9" s="291"/>
      <c r="EL9" s="291"/>
      <c r="EM9" s="291"/>
      <c r="EN9" s="291"/>
      <c r="EO9" s="291"/>
      <c r="EP9" s="291"/>
      <c r="EQ9" s="291"/>
      <c r="ER9" s="291"/>
      <c r="ES9" s="291"/>
      <c r="ET9" s="291"/>
      <c r="EU9" s="291"/>
      <c r="EV9" s="36"/>
      <c r="EW9" s="291"/>
      <c r="EX9" s="291"/>
      <c r="EY9" s="291"/>
      <c r="EZ9" s="291"/>
      <c r="FA9" s="291"/>
      <c r="FB9" s="291"/>
      <c r="FC9" s="291"/>
      <c r="FD9" s="291"/>
      <c r="FE9" s="291"/>
      <c r="FF9" s="291"/>
      <c r="FG9" s="291"/>
      <c r="FH9" s="36"/>
      <c r="FI9" s="291"/>
      <c r="FJ9" s="291"/>
      <c r="FK9" s="291"/>
      <c r="FL9" s="291"/>
      <c r="FM9" s="291"/>
      <c r="FN9" s="291"/>
      <c r="FO9" s="291"/>
      <c r="FP9" s="291"/>
      <c r="FQ9" s="291"/>
      <c r="FR9" s="291"/>
      <c r="FS9" s="291"/>
      <c r="FT9" s="36"/>
      <c r="FU9" s="291"/>
      <c r="FV9" s="291"/>
      <c r="FW9" s="291"/>
      <c r="FX9" s="291"/>
      <c r="FY9" s="291"/>
      <c r="FZ9" s="291"/>
      <c r="GA9" s="291"/>
      <c r="GB9" s="291"/>
      <c r="GC9" s="291"/>
      <c r="GD9" s="291"/>
      <c r="GE9" s="291"/>
      <c r="GF9" s="36"/>
      <c r="GG9" s="291"/>
      <c r="GH9" s="291"/>
      <c r="GI9" s="291"/>
      <c r="GJ9" s="291"/>
      <c r="GK9" s="291"/>
      <c r="GL9" s="291"/>
      <c r="GM9" s="291"/>
      <c r="GN9" s="291"/>
      <c r="GO9" s="291"/>
      <c r="GP9" s="291"/>
      <c r="GQ9" s="291"/>
      <c r="GR9" s="36"/>
      <c r="GS9" s="291"/>
      <c r="GT9" s="291"/>
      <c r="GU9" s="291"/>
      <c r="GV9" s="291"/>
      <c r="GW9" s="291"/>
      <c r="GX9" s="291"/>
      <c r="GY9" s="291"/>
      <c r="GZ9" s="291"/>
      <c r="HA9" s="291"/>
      <c r="HB9" s="291"/>
      <c r="HC9" s="291"/>
      <c r="HD9" s="36"/>
      <c r="HE9" s="291"/>
      <c r="HF9" s="291"/>
      <c r="HG9" s="291"/>
      <c r="HH9" s="291"/>
      <c r="HI9" s="291"/>
      <c r="HJ9" s="291"/>
      <c r="HK9" s="291"/>
      <c r="HL9" s="291"/>
      <c r="HM9" s="291"/>
      <c r="HN9" s="291"/>
      <c r="HO9" s="291"/>
      <c r="HP9" s="36"/>
      <c r="HQ9" s="291"/>
      <c r="HR9" s="291"/>
      <c r="HS9" s="291"/>
      <c r="HT9" s="291"/>
      <c r="HU9" s="291"/>
      <c r="HV9" s="291"/>
      <c r="HW9" s="291"/>
      <c r="HX9" s="291"/>
      <c r="HY9" s="291"/>
      <c r="HZ9" s="291"/>
      <c r="IA9" s="291"/>
      <c r="IB9" s="36"/>
      <c r="IC9" s="291"/>
      <c r="ID9" s="291"/>
      <c r="IE9" s="291"/>
      <c r="IF9" s="291"/>
      <c r="IG9" s="291"/>
      <c r="IH9" s="291"/>
      <c r="II9" s="291"/>
      <c r="IJ9" s="291"/>
      <c r="IK9" s="291"/>
      <c r="IL9" s="291"/>
      <c r="IM9" s="291"/>
      <c r="IN9" s="36"/>
      <c r="IO9" s="291"/>
      <c r="IP9" s="291"/>
      <c r="IQ9" s="291"/>
    </row>
    <row r="10" spans="1:251" s="5" customFormat="1" ht="14.25">
      <c r="A10" s="35" t="s">
        <v>26</v>
      </c>
      <c r="B10" s="291">
        <v>3.5</v>
      </c>
      <c r="C10" s="291">
        <v>-0.4</v>
      </c>
      <c r="D10" s="291">
        <v>-4.4000000000000004</v>
      </c>
      <c r="E10" s="291">
        <v>-5.4</v>
      </c>
      <c r="F10" s="291">
        <v>-8.9</v>
      </c>
      <c r="G10" s="291">
        <v>-6.6</v>
      </c>
      <c r="H10" s="291">
        <v>-3.9</v>
      </c>
      <c r="I10" s="291">
        <v>0.8</v>
      </c>
      <c r="J10" s="291">
        <v>0.5</v>
      </c>
      <c r="K10" s="291">
        <v>2.9</v>
      </c>
      <c r="L10" s="291"/>
      <c r="M10" s="291"/>
      <c r="N10" s="291"/>
      <c r="O10" s="291"/>
      <c r="P10" s="291"/>
      <c r="Q10" s="291"/>
      <c r="R10" s="291"/>
      <c r="S10" s="291"/>
      <c r="T10" s="35"/>
      <c r="U10" s="291"/>
      <c r="V10" s="291"/>
      <c r="W10" s="291"/>
      <c r="X10" s="291"/>
      <c r="Y10" s="291"/>
      <c r="Z10" s="291"/>
      <c r="AA10" s="291"/>
      <c r="AB10" s="291"/>
      <c r="AC10" s="291"/>
      <c r="AD10" s="291"/>
      <c r="AE10" s="291"/>
      <c r="AF10" s="35"/>
      <c r="AG10" s="291"/>
      <c r="AH10" s="291"/>
      <c r="AI10" s="291"/>
      <c r="AJ10" s="291"/>
      <c r="AK10" s="291"/>
      <c r="AL10" s="291"/>
      <c r="AM10" s="291"/>
      <c r="AN10" s="291"/>
      <c r="AO10" s="291"/>
      <c r="AP10" s="291"/>
      <c r="AQ10" s="291"/>
      <c r="AR10" s="35"/>
      <c r="AS10" s="291"/>
      <c r="AT10" s="291"/>
      <c r="AU10" s="291"/>
      <c r="AV10" s="291"/>
      <c r="AW10" s="291"/>
      <c r="AX10" s="291"/>
      <c r="AY10" s="291"/>
      <c r="AZ10" s="291"/>
      <c r="BA10" s="291"/>
      <c r="BB10" s="291"/>
      <c r="BC10" s="291"/>
      <c r="BD10" s="35"/>
      <c r="BE10" s="291"/>
      <c r="BF10" s="291"/>
      <c r="BG10" s="291"/>
      <c r="BH10" s="291"/>
      <c r="BI10" s="291"/>
      <c r="BJ10" s="291"/>
      <c r="BK10" s="291"/>
      <c r="BL10" s="291"/>
      <c r="BM10" s="291"/>
      <c r="BN10" s="291"/>
      <c r="BO10" s="291"/>
      <c r="BP10" s="35"/>
      <c r="BQ10" s="291"/>
      <c r="BR10" s="291"/>
      <c r="BS10" s="291"/>
      <c r="BT10" s="291"/>
      <c r="BU10" s="291"/>
      <c r="BV10" s="291"/>
      <c r="BW10" s="291"/>
      <c r="BX10" s="291"/>
      <c r="BY10" s="291"/>
      <c r="BZ10" s="291"/>
      <c r="CA10" s="291"/>
      <c r="CB10" s="35"/>
      <c r="CC10" s="291"/>
      <c r="CD10" s="291"/>
      <c r="CE10" s="291"/>
      <c r="CF10" s="291"/>
      <c r="CG10" s="291"/>
      <c r="CH10" s="291"/>
      <c r="CI10" s="291"/>
      <c r="CJ10" s="291"/>
      <c r="CK10" s="291"/>
      <c r="CL10" s="291"/>
      <c r="CM10" s="291"/>
      <c r="CN10" s="35"/>
      <c r="CO10" s="291"/>
      <c r="CP10" s="291"/>
      <c r="CQ10" s="291"/>
      <c r="CR10" s="291"/>
      <c r="CS10" s="291"/>
      <c r="CT10" s="291"/>
      <c r="CU10" s="291"/>
      <c r="CV10" s="291"/>
      <c r="CW10" s="291"/>
      <c r="CX10" s="291"/>
      <c r="CY10" s="291"/>
      <c r="CZ10" s="35"/>
      <c r="DA10" s="291"/>
      <c r="DB10" s="291"/>
      <c r="DC10" s="291"/>
      <c r="DD10" s="291"/>
      <c r="DE10" s="291"/>
      <c r="DF10" s="291"/>
      <c r="DG10" s="291"/>
      <c r="DH10" s="291"/>
      <c r="DI10" s="291"/>
      <c r="DJ10" s="291"/>
      <c r="DK10" s="291"/>
      <c r="DL10" s="35"/>
      <c r="DM10" s="291"/>
      <c r="DN10" s="291"/>
      <c r="DO10" s="291"/>
      <c r="DP10" s="291"/>
      <c r="DQ10" s="291"/>
      <c r="DR10" s="291"/>
      <c r="DS10" s="291"/>
      <c r="DT10" s="291"/>
      <c r="DU10" s="291"/>
      <c r="DV10" s="291"/>
      <c r="DW10" s="291"/>
      <c r="DX10" s="35"/>
      <c r="DY10" s="291"/>
      <c r="DZ10" s="291"/>
      <c r="EA10" s="291"/>
      <c r="EB10" s="291"/>
      <c r="EC10" s="291"/>
      <c r="ED10" s="291"/>
      <c r="EE10" s="291"/>
      <c r="EF10" s="291"/>
      <c r="EG10" s="291"/>
      <c r="EH10" s="291"/>
      <c r="EI10" s="291"/>
      <c r="EJ10" s="35"/>
      <c r="EK10" s="291"/>
      <c r="EL10" s="291"/>
      <c r="EM10" s="291"/>
      <c r="EN10" s="291"/>
      <c r="EO10" s="291"/>
      <c r="EP10" s="291"/>
      <c r="EQ10" s="291"/>
      <c r="ER10" s="291"/>
      <c r="ES10" s="291"/>
      <c r="ET10" s="291"/>
      <c r="EU10" s="291"/>
      <c r="EV10" s="35"/>
      <c r="EW10" s="291"/>
      <c r="EX10" s="291"/>
      <c r="EY10" s="291"/>
      <c r="EZ10" s="291"/>
      <c r="FA10" s="291"/>
      <c r="FB10" s="291"/>
      <c r="FC10" s="291"/>
      <c r="FD10" s="291"/>
      <c r="FE10" s="291"/>
      <c r="FF10" s="291"/>
      <c r="FG10" s="291"/>
      <c r="FH10" s="35"/>
      <c r="FI10" s="291"/>
      <c r="FJ10" s="291"/>
      <c r="FK10" s="291"/>
      <c r="FL10" s="291"/>
      <c r="FM10" s="291"/>
      <c r="FN10" s="291"/>
      <c r="FO10" s="291"/>
      <c r="FP10" s="291"/>
      <c r="FQ10" s="291"/>
      <c r="FR10" s="291"/>
      <c r="FS10" s="291"/>
      <c r="FT10" s="35"/>
      <c r="FU10" s="291"/>
      <c r="FV10" s="291"/>
      <c r="FW10" s="291"/>
      <c r="FX10" s="291"/>
      <c r="FY10" s="291"/>
      <c r="FZ10" s="291"/>
      <c r="GA10" s="291"/>
      <c r="GB10" s="291"/>
      <c r="GC10" s="291"/>
      <c r="GD10" s="291"/>
      <c r="GE10" s="291"/>
      <c r="GF10" s="35"/>
      <c r="GG10" s="291"/>
      <c r="GH10" s="291"/>
      <c r="GI10" s="291"/>
      <c r="GJ10" s="291"/>
      <c r="GK10" s="291"/>
      <c r="GL10" s="291"/>
      <c r="GM10" s="291"/>
      <c r="GN10" s="291"/>
      <c r="GO10" s="291"/>
      <c r="GP10" s="291"/>
      <c r="GQ10" s="291"/>
      <c r="GR10" s="35"/>
      <c r="GS10" s="291"/>
      <c r="GT10" s="291"/>
      <c r="GU10" s="291"/>
      <c r="GV10" s="291"/>
      <c r="GW10" s="291"/>
      <c r="GX10" s="291"/>
      <c r="GY10" s="291"/>
      <c r="GZ10" s="291"/>
      <c r="HA10" s="291"/>
      <c r="HB10" s="291"/>
      <c r="HC10" s="291"/>
      <c r="HD10" s="35"/>
      <c r="HE10" s="291"/>
      <c r="HF10" s="291"/>
      <c r="HG10" s="291"/>
      <c r="HH10" s="291"/>
      <c r="HI10" s="291"/>
      <c r="HJ10" s="291"/>
      <c r="HK10" s="291"/>
      <c r="HL10" s="291"/>
      <c r="HM10" s="291"/>
      <c r="HN10" s="291"/>
      <c r="HO10" s="291"/>
      <c r="HP10" s="35"/>
      <c r="HQ10" s="291"/>
      <c r="HR10" s="291"/>
      <c r="HS10" s="291"/>
      <c r="HT10" s="291"/>
      <c r="HU10" s="291"/>
      <c r="HV10" s="291"/>
      <c r="HW10" s="291"/>
      <c r="HX10" s="291"/>
      <c r="HY10" s="291"/>
      <c r="HZ10" s="291"/>
      <c r="IA10" s="291"/>
      <c r="IB10" s="35"/>
      <c r="IC10" s="291"/>
      <c r="ID10" s="291"/>
      <c r="IE10" s="291"/>
      <c r="IF10" s="291"/>
      <c r="IG10" s="291"/>
      <c r="IH10" s="291"/>
      <c r="II10" s="291"/>
      <c r="IJ10" s="291"/>
      <c r="IK10" s="291"/>
      <c r="IL10" s="291"/>
      <c r="IM10" s="291"/>
      <c r="IN10" s="35"/>
      <c r="IO10" s="291"/>
      <c r="IP10" s="291"/>
      <c r="IQ10" s="291"/>
    </row>
    <row r="11" spans="1:251" s="5" customFormat="1" ht="14.25">
      <c r="A11" s="35" t="s">
        <v>25</v>
      </c>
      <c r="B11" s="291">
        <v>3.8</v>
      </c>
      <c r="C11" s="291">
        <v>1.1000000000000001</v>
      </c>
      <c r="D11" s="291">
        <v>-3.6</v>
      </c>
      <c r="E11" s="291">
        <v>0</v>
      </c>
      <c r="F11" s="291">
        <v>-0.6</v>
      </c>
      <c r="G11" s="292">
        <v>-2.1</v>
      </c>
      <c r="H11" s="291">
        <v>-1.2</v>
      </c>
      <c r="I11" s="258">
        <v>1.4</v>
      </c>
      <c r="J11" s="291">
        <v>2.8</v>
      </c>
      <c r="K11" s="291">
        <v>2.6</v>
      </c>
      <c r="L11" s="291"/>
      <c r="M11" s="291"/>
      <c r="N11" s="291"/>
      <c r="O11" s="292"/>
      <c r="P11" s="292"/>
      <c r="Q11" s="292"/>
      <c r="R11" s="292"/>
      <c r="S11" s="292"/>
      <c r="T11" s="35"/>
      <c r="U11" s="291"/>
      <c r="V11" s="291"/>
      <c r="W11" s="291"/>
      <c r="X11" s="291"/>
      <c r="Y11" s="291"/>
      <c r="Z11" s="291"/>
      <c r="AA11" s="292"/>
      <c r="AB11" s="292"/>
      <c r="AC11" s="292"/>
      <c r="AD11" s="292"/>
      <c r="AE11" s="292"/>
      <c r="AF11" s="35"/>
      <c r="AG11" s="291"/>
      <c r="AH11" s="291"/>
      <c r="AI11" s="291"/>
      <c r="AJ11" s="291"/>
      <c r="AK11" s="291"/>
      <c r="AL11" s="291"/>
      <c r="AM11" s="292"/>
      <c r="AN11" s="292"/>
      <c r="AO11" s="292"/>
      <c r="AP11" s="292"/>
      <c r="AQ11" s="292"/>
      <c r="AR11" s="35"/>
      <c r="AS11" s="291"/>
      <c r="AT11" s="291"/>
      <c r="AU11" s="291"/>
      <c r="AV11" s="291"/>
      <c r="AW11" s="291"/>
      <c r="AX11" s="291"/>
      <c r="AY11" s="292"/>
      <c r="AZ11" s="292"/>
      <c r="BA11" s="292"/>
      <c r="BB11" s="292"/>
      <c r="BC11" s="292"/>
      <c r="BD11" s="35"/>
      <c r="BE11" s="291"/>
      <c r="BF11" s="291"/>
      <c r="BG11" s="291"/>
      <c r="BH11" s="291"/>
      <c r="BI11" s="291"/>
      <c r="BJ11" s="291"/>
      <c r="BK11" s="292"/>
      <c r="BL11" s="292"/>
      <c r="BM11" s="292"/>
      <c r="BN11" s="292"/>
      <c r="BO11" s="292"/>
      <c r="BP11" s="35"/>
      <c r="BQ11" s="291"/>
      <c r="BR11" s="291"/>
      <c r="BS11" s="291"/>
      <c r="BT11" s="291"/>
      <c r="BU11" s="291"/>
      <c r="BV11" s="291"/>
      <c r="BW11" s="292"/>
      <c r="BX11" s="292"/>
      <c r="BY11" s="292"/>
      <c r="BZ11" s="292"/>
      <c r="CA11" s="292"/>
      <c r="CB11" s="35"/>
      <c r="CC11" s="291"/>
      <c r="CD11" s="291"/>
      <c r="CE11" s="291"/>
      <c r="CF11" s="291"/>
      <c r="CG11" s="291"/>
      <c r="CH11" s="291"/>
      <c r="CI11" s="292"/>
      <c r="CJ11" s="292"/>
      <c r="CK11" s="292"/>
      <c r="CL11" s="292"/>
      <c r="CM11" s="292"/>
      <c r="CN11" s="35"/>
      <c r="CO11" s="291"/>
      <c r="CP11" s="291"/>
      <c r="CQ11" s="291"/>
      <c r="CR11" s="291"/>
      <c r="CS11" s="291"/>
      <c r="CT11" s="291"/>
      <c r="CU11" s="292"/>
      <c r="CV11" s="292"/>
      <c r="CW11" s="292"/>
      <c r="CX11" s="292"/>
      <c r="CY11" s="292"/>
      <c r="CZ11" s="35"/>
      <c r="DA11" s="291"/>
      <c r="DB11" s="291"/>
      <c r="DC11" s="291"/>
      <c r="DD11" s="291"/>
      <c r="DE11" s="291"/>
      <c r="DF11" s="291"/>
      <c r="DG11" s="292"/>
      <c r="DH11" s="292"/>
      <c r="DI11" s="292"/>
      <c r="DJ11" s="292"/>
      <c r="DK11" s="292"/>
      <c r="DL11" s="35"/>
      <c r="DM11" s="291"/>
      <c r="DN11" s="291"/>
      <c r="DO11" s="291"/>
      <c r="DP11" s="291"/>
      <c r="DQ11" s="291"/>
      <c r="DR11" s="291"/>
      <c r="DS11" s="292"/>
      <c r="DT11" s="292"/>
      <c r="DU11" s="292"/>
      <c r="DV11" s="292"/>
      <c r="DW11" s="292"/>
      <c r="DX11" s="35"/>
      <c r="DY11" s="291"/>
      <c r="DZ11" s="291"/>
      <c r="EA11" s="291"/>
      <c r="EB11" s="291"/>
      <c r="EC11" s="291"/>
      <c r="ED11" s="291"/>
      <c r="EE11" s="292"/>
      <c r="EF11" s="292"/>
      <c r="EG11" s="292"/>
      <c r="EH11" s="292"/>
      <c r="EI11" s="292"/>
      <c r="EJ11" s="35"/>
      <c r="EK11" s="291"/>
      <c r="EL11" s="291"/>
      <c r="EM11" s="291"/>
      <c r="EN11" s="291"/>
      <c r="EO11" s="291"/>
      <c r="EP11" s="291"/>
      <c r="EQ11" s="292"/>
      <c r="ER11" s="292"/>
      <c r="ES11" s="292"/>
      <c r="ET11" s="292"/>
      <c r="EU11" s="292"/>
      <c r="EV11" s="35"/>
      <c r="EW11" s="291"/>
      <c r="EX11" s="291"/>
      <c r="EY11" s="291"/>
      <c r="EZ11" s="291"/>
      <c r="FA11" s="291"/>
      <c r="FB11" s="291"/>
      <c r="FC11" s="292"/>
      <c r="FD11" s="292"/>
      <c r="FE11" s="292"/>
      <c r="FF11" s="292"/>
      <c r="FG11" s="292"/>
      <c r="FH11" s="35"/>
      <c r="FI11" s="291"/>
      <c r="FJ11" s="291"/>
      <c r="FK11" s="291"/>
      <c r="FL11" s="291"/>
      <c r="FM11" s="291"/>
      <c r="FN11" s="291"/>
      <c r="FO11" s="292"/>
      <c r="FP11" s="292"/>
      <c r="FQ11" s="292"/>
      <c r="FR11" s="292"/>
      <c r="FS11" s="292"/>
      <c r="FT11" s="35"/>
      <c r="FU11" s="291"/>
      <c r="FV11" s="291"/>
      <c r="FW11" s="291"/>
      <c r="FX11" s="291"/>
      <c r="FY11" s="291"/>
      <c r="FZ11" s="291"/>
      <c r="GA11" s="292"/>
      <c r="GB11" s="292"/>
      <c r="GC11" s="292"/>
      <c r="GD11" s="292"/>
      <c r="GE11" s="292"/>
      <c r="GF11" s="35"/>
      <c r="GG11" s="291"/>
      <c r="GH11" s="291"/>
      <c r="GI11" s="291"/>
      <c r="GJ11" s="291"/>
      <c r="GK11" s="291"/>
      <c r="GL11" s="291"/>
      <c r="GM11" s="292"/>
      <c r="GN11" s="292"/>
      <c r="GO11" s="292"/>
      <c r="GP11" s="292"/>
      <c r="GQ11" s="292"/>
      <c r="GR11" s="35"/>
      <c r="GS11" s="291"/>
      <c r="GT11" s="291"/>
      <c r="GU11" s="291"/>
      <c r="GV11" s="291"/>
      <c r="GW11" s="291"/>
      <c r="GX11" s="291"/>
      <c r="GY11" s="292"/>
      <c r="GZ11" s="292"/>
      <c r="HA11" s="292"/>
      <c r="HB11" s="292"/>
      <c r="HC11" s="292"/>
      <c r="HD11" s="35"/>
      <c r="HE11" s="291"/>
      <c r="HF11" s="291"/>
      <c r="HG11" s="291"/>
      <c r="HH11" s="291"/>
      <c r="HI11" s="291"/>
      <c r="HJ11" s="291"/>
      <c r="HK11" s="292"/>
      <c r="HL11" s="292"/>
      <c r="HM11" s="292"/>
      <c r="HN11" s="292"/>
      <c r="HO11" s="292"/>
      <c r="HP11" s="35"/>
      <c r="HQ11" s="291"/>
      <c r="HR11" s="291"/>
      <c r="HS11" s="291"/>
      <c r="HT11" s="291"/>
      <c r="HU11" s="291"/>
      <c r="HV11" s="291"/>
      <c r="HW11" s="292"/>
      <c r="HX11" s="292"/>
      <c r="HY11" s="292"/>
      <c r="HZ11" s="292"/>
      <c r="IA11" s="292"/>
      <c r="IB11" s="35"/>
      <c r="IC11" s="291"/>
      <c r="ID11" s="291"/>
      <c r="IE11" s="291"/>
      <c r="IF11" s="291"/>
      <c r="IG11" s="291"/>
      <c r="IH11" s="291"/>
      <c r="II11" s="292"/>
      <c r="IJ11" s="292"/>
      <c r="IK11" s="292"/>
      <c r="IL11" s="292"/>
      <c r="IM11" s="292"/>
      <c r="IN11" s="35"/>
      <c r="IO11" s="291"/>
      <c r="IP11" s="291"/>
      <c r="IQ11" s="291"/>
    </row>
    <row r="12" spans="1:251" s="5" customFormat="1" ht="14.25">
      <c r="A12" s="35" t="s">
        <v>24</v>
      </c>
      <c r="B12" s="291">
        <v>2.4</v>
      </c>
      <c r="C12" s="291">
        <v>0.2</v>
      </c>
      <c r="D12" s="291">
        <v>-2.9</v>
      </c>
      <c r="E12" s="291">
        <v>2</v>
      </c>
      <c r="F12" s="291">
        <v>2.1</v>
      </c>
      <c r="G12" s="292">
        <v>0.3</v>
      </c>
      <c r="H12" s="291">
        <v>0.3</v>
      </c>
      <c r="I12" s="291">
        <v>0.4</v>
      </c>
      <c r="J12" s="291">
        <v>1.1000000000000001</v>
      </c>
      <c r="K12" s="291">
        <v>1.7</v>
      </c>
      <c r="L12" s="291"/>
      <c r="M12" s="291"/>
      <c r="N12" s="291"/>
      <c r="O12" s="292"/>
      <c r="P12" s="292"/>
      <c r="Q12" s="292"/>
      <c r="R12" s="292"/>
      <c r="S12" s="292"/>
      <c r="T12" s="35"/>
      <c r="U12" s="291"/>
      <c r="V12" s="291"/>
      <c r="W12" s="291"/>
      <c r="X12" s="291"/>
      <c r="Y12" s="291"/>
      <c r="Z12" s="291"/>
      <c r="AA12" s="292"/>
      <c r="AB12" s="292"/>
      <c r="AC12" s="292"/>
      <c r="AD12" s="292"/>
      <c r="AE12" s="292"/>
      <c r="AF12" s="35"/>
      <c r="AG12" s="291"/>
      <c r="AH12" s="291"/>
      <c r="AI12" s="291"/>
      <c r="AJ12" s="291"/>
      <c r="AK12" s="291"/>
      <c r="AL12" s="291"/>
      <c r="AM12" s="292"/>
      <c r="AN12" s="292"/>
      <c r="AO12" s="292"/>
      <c r="AP12" s="292"/>
      <c r="AQ12" s="292"/>
      <c r="AR12" s="35"/>
      <c r="AS12" s="291"/>
      <c r="AT12" s="291"/>
      <c r="AU12" s="291"/>
      <c r="AV12" s="291"/>
      <c r="AW12" s="291"/>
      <c r="AX12" s="291"/>
      <c r="AY12" s="292"/>
      <c r="AZ12" s="292"/>
      <c r="BA12" s="292"/>
      <c r="BB12" s="292"/>
      <c r="BC12" s="292"/>
      <c r="BD12" s="35"/>
      <c r="BE12" s="291"/>
      <c r="BF12" s="291"/>
      <c r="BG12" s="291"/>
      <c r="BH12" s="291"/>
      <c r="BI12" s="291"/>
      <c r="BJ12" s="291"/>
      <c r="BK12" s="292"/>
      <c r="BL12" s="292"/>
      <c r="BM12" s="292"/>
      <c r="BN12" s="292"/>
      <c r="BO12" s="292"/>
      <c r="BP12" s="35"/>
      <c r="BQ12" s="291"/>
      <c r="BR12" s="291"/>
      <c r="BS12" s="291"/>
      <c r="BT12" s="291"/>
      <c r="BU12" s="291"/>
      <c r="BV12" s="291"/>
      <c r="BW12" s="292"/>
      <c r="BX12" s="292"/>
      <c r="BY12" s="292"/>
      <c r="BZ12" s="292"/>
      <c r="CA12" s="292"/>
      <c r="CB12" s="35"/>
      <c r="CC12" s="291"/>
      <c r="CD12" s="291"/>
      <c r="CE12" s="291"/>
      <c r="CF12" s="291"/>
      <c r="CG12" s="291"/>
      <c r="CH12" s="291"/>
      <c r="CI12" s="292"/>
      <c r="CJ12" s="292"/>
      <c r="CK12" s="292"/>
      <c r="CL12" s="292"/>
      <c r="CM12" s="292"/>
      <c r="CN12" s="35"/>
      <c r="CO12" s="291"/>
      <c r="CP12" s="291"/>
      <c r="CQ12" s="291"/>
      <c r="CR12" s="291"/>
      <c r="CS12" s="291"/>
      <c r="CT12" s="291"/>
      <c r="CU12" s="292"/>
      <c r="CV12" s="292"/>
      <c r="CW12" s="292"/>
      <c r="CX12" s="292"/>
      <c r="CY12" s="292"/>
      <c r="CZ12" s="35"/>
      <c r="DA12" s="291"/>
      <c r="DB12" s="291"/>
      <c r="DC12" s="291"/>
      <c r="DD12" s="291"/>
      <c r="DE12" s="291"/>
      <c r="DF12" s="291"/>
      <c r="DG12" s="292"/>
      <c r="DH12" s="292"/>
      <c r="DI12" s="292"/>
      <c r="DJ12" s="292"/>
      <c r="DK12" s="292"/>
      <c r="DL12" s="35"/>
      <c r="DM12" s="291"/>
      <c r="DN12" s="291"/>
      <c r="DO12" s="291"/>
      <c r="DP12" s="291"/>
      <c r="DQ12" s="291"/>
      <c r="DR12" s="291"/>
      <c r="DS12" s="292"/>
      <c r="DT12" s="292"/>
      <c r="DU12" s="292"/>
      <c r="DV12" s="292"/>
      <c r="DW12" s="292"/>
      <c r="DX12" s="35"/>
      <c r="DY12" s="291"/>
      <c r="DZ12" s="291"/>
      <c r="EA12" s="291"/>
      <c r="EB12" s="291"/>
      <c r="EC12" s="291"/>
      <c r="ED12" s="291"/>
      <c r="EE12" s="292"/>
      <c r="EF12" s="292"/>
      <c r="EG12" s="292"/>
      <c r="EH12" s="292"/>
      <c r="EI12" s="292"/>
      <c r="EJ12" s="35"/>
      <c r="EK12" s="291"/>
      <c r="EL12" s="291"/>
      <c r="EM12" s="291"/>
      <c r="EN12" s="291"/>
      <c r="EO12" s="291"/>
      <c r="EP12" s="291"/>
      <c r="EQ12" s="292"/>
      <c r="ER12" s="292"/>
      <c r="ES12" s="292"/>
      <c r="ET12" s="292"/>
      <c r="EU12" s="292"/>
      <c r="EV12" s="35"/>
      <c r="EW12" s="291"/>
      <c r="EX12" s="291"/>
      <c r="EY12" s="291"/>
      <c r="EZ12" s="291"/>
      <c r="FA12" s="291"/>
      <c r="FB12" s="291"/>
      <c r="FC12" s="292"/>
      <c r="FD12" s="292"/>
      <c r="FE12" s="292"/>
      <c r="FF12" s="292"/>
      <c r="FG12" s="292"/>
      <c r="FH12" s="35"/>
      <c r="FI12" s="291"/>
      <c r="FJ12" s="291"/>
      <c r="FK12" s="291"/>
      <c r="FL12" s="291"/>
      <c r="FM12" s="291"/>
      <c r="FN12" s="291"/>
      <c r="FO12" s="292"/>
      <c r="FP12" s="292"/>
      <c r="FQ12" s="292"/>
      <c r="FR12" s="292"/>
      <c r="FS12" s="292"/>
      <c r="FT12" s="35"/>
      <c r="FU12" s="291"/>
      <c r="FV12" s="291"/>
      <c r="FW12" s="291"/>
      <c r="FX12" s="291"/>
      <c r="FY12" s="291"/>
      <c r="FZ12" s="291"/>
      <c r="GA12" s="292"/>
      <c r="GB12" s="292"/>
      <c r="GC12" s="292"/>
      <c r="GD12" s="292"/>
      <c r="GE12" s="292"/>
      <c r="GF12" s="35"/>
      <c r="GG12" s="291"/>
      <c r="GH12" s="291"/>
      <c r="GI12" s="291"/>
      <c r="GJ12" s="291"/>
      <c r="GK12" s="291"/>
      <c r="GL12" s="291"/>
      <c r="GM12" s="292"/>
      <c r="GN12" s="292"/>
      <c r="GO12" s="292"/>
      <c r="GP12" s="292"/>
      <c r="GQ12" s="292"/>
      <c r="GR12" s="35"/>
      <c r="GS12" s="291"/>
      <c r="GT12" s="291"/>
      <c r="GU12" s="291"/>
      <c r="GV12" s="291"/>
      <c r="GW12" s="291"/>
      <c r="GX12" s="291"/>
      <c r="GY12" s="292"/>
      <c r="GZ12" s="292"/>
      <c r="HA12" s="292"/>
      <c r="HB12" s="292"/>
      <c r="HC12" s="292"/>
      <c r="HD12" s="35"/>
      <c r="HE12" s="291"/>
      <c r="HF12" s="291"/>
      <c r="HG12" s="291"/>
      <c r="HH12" s="291"/>
      <c r="HI12" s="291"/>
      <c r="HJ12" s="291"/>
      <c r="HK12" s="292"/>
      <c r="HL12" s="292"/>
      <c r="HM12" s="292"/>
      <c r="HN12" s="292"/>
      <c r="HO12" s="292"/>
      <c r="HP12" s="35"/>
      <c r="HQ12" s="291"/>
      <c r="HR12" s="291"/>
      <c r="HS12" s="291"/>
      <c r="HT12" s="291"/>
      <c r="HU12" s="291"/>
      <c r="HV12" s="291"/>
      <c r="HW12" s="292"/>
      <c r="HX12" s="292"/>
      <c r="HY12" s="292"/>
      <c r="HZ12" s="292"/>
      <c r="IA12" s="292"/>
      <c r="IB12" s="35"/>
      <c r="IC12" s="291"/>
      <c r="ID12" s="291"/>
      <c r="IE12" s="291"/>
      <c r="IF12" s="291"/>
      <c r="IG12" s="291"/>
      <c r="IH12" s="291"/>
      <c r="II12" s="292"/>
      <c r="IJ12" s="292"/>
      <c r="IK12" s="292"/>
      <c r="IL12" s="292"/>
      <c r="IM12" s="292"/>
      <c r="IN12" s="35"/>
      <c r="IO12" s="291"/>
      <c r="IP12" s="291"/>
      <c r="IQ12" s="291"/>
    </row>
    <row r="13" spans="1:251" s="5" customFormat="1" ht="14.25">
      <c r="A13" s="35" t="s">
        <v>23</v>
      </c>
      <c r="B13" s="291">
        <v>1.5</v>
      </c>
      <c r="C13" s="291">
        <v>-1</v>
      </c>
      <c r="D13" s="291">
        <v>-5.5</v>
      </c>
      <c r="E13" s="291">
        <v>1.7</v>
      </c>
      <c r="F13" s="291">
        <v>0.6</v>
      </c>
      <c r="G13" s="292">
        <v>-2.8</v>
      </c>
      <c r="H13" s="291">
        <v>-1.7</v>
      </c>
      <c r="I13" s="291">
        <v>-0.4</v>
      </c>
      <c r="J13" s="291">
        <v>0.6</v>
      </c>
      <c r="K13" s="291">
        <v>1.4</v>
      </c>
      <c r="L13" s="292"/>
      <c r="M13" s="291"/>
      <c r="N13" s="291"/>
      <c r="O13" s="292"/>
      <c r="P13" s="292"/>
      <c r="Q13" s="292"/>
      <c r="R13" s="292"/>
      <c r="S13" s="292"/>
      <c r="T13" s="35"/>
      <c r="U13" s="291"/>
      <c r="V13" s="291"/>
      <c r="W13" s="291"/>
      <c r="X13" s="292"/>
      <c r="Y13" s="291"/>
      <c r="Z13" s="291"/>
      <c r="AA13" s="292"/>
      <c r="AB13" s="292"/>
      <c r="AC13" s="292"/>
      <c r="AD13" s="292"/>
      <c r="AE13" s="292"/>
      <c r="AF13" s="35"/>
      <c r="AG13" s="291"/>
      <c r="AH13" s="291"/>
      <c r="AI13" s="291"/>
      <c r="AJ13" s="292"/>
      <c r="AK13" s="291"/>
      <c r="AL13" s="291"/>
      <c r="AM13" s="292"/>
      <c r="AN13" s="292"/>
      <c r="AO13" s="292"/>
      <c r="AP13" s="292"/>
      <c r="AQ13" s="292"/>
      <c r="AR13" s="35"/>
      <c r="AS13" s="291"/>
      <c r="AT13" s="291"/>
      <c r="AU13" s="291"/>
      <c r="AV13" s="292"/>
      <c r="AW13" s="291"/>
      <c r="AX13" s="291"/>
      <c r="AY13" s="292"/>
      <c r="AZ13" s="292"/>
      <c r="BA13" s="292"/>
      <c r="BB13" s="292"/>
      <c r="BC13" s="292"/>
      <c r="BD13" s="35"/>
      <c r="BE13" s="291"/>
      <c r="BF13" s="291"/>
      <c r="BG13" s="291"/>
      <c r="BH13" s="292"/>
      <c r="BI13" s="291"/>
      <c r="BJ13" s="291"/>
      <c r="BK13" s="292"/>
      <c r="BL13" s="292"/>
      <c r="BM13" s="292"/>
      <c r="BN13" s="292"/>
      <c r="BO13" s="292"/>
      <c r="BP13" s="35"/>
      <c r="BQ13" s="291"/>
      <c r="BR13" s="291"/>
      <c r="BS13" s="291"/>
      <c r="BT13" s="292"/>
      <c r="BU13" s="291"/>
      <c r="BV13" s="291"/>
      <c r="BW13" s="292"/>
      <c r="BX13" s="292"/>
      <c r="BY13" s="292"/>
      <c r="BZ13" s="292"/>
      <c r="CA13" s="292"/>
      <c r="CB13" s="35"/>
      <c r="CC13" s="291"/>
      <c r="CD13" s="291"/>
      <c r="CE13" s="291"/>
      <c r="CF13" s="292"/>
      <c r="CG13" s="291"/>
      <c r="CH13" s="291"/>
      <c r="CI13" s="292"/>
      <c r="CJ13" s="292"/>
      <c r="CK13" s="292"/>
      <c r="CL13" s="292"/>
      <c r="CM13" s="292"/>
      <c r="CN13" s="35"/>
      <c r="CO13" s="291"/>
      <c r="CP13" s="291"/>
      <c r="CQ13" s="291"/>
      <c r="CR13" s="292"/>
      <c r="CS13" s="291"/>
      <c r="CT13" s="291"/>
      <c r="CU13" s="292"/>
      <c r="CV13" s="292"/>
      <c r="CW13" s="292"/>
      <c r="CX13" s="292"/>
      <c r="CY13" s="292"/>
      <c r="CZ13" s="35"/>
      <c r="DA13" s="291"/>
      <c r="DB13" s="291"/>
      <c r="DC13" s="291"/>
      <c r="DD13" s="292"/>
      <c r="DE13" s="291"/>
      <c r="DF13" s="291"/>
      <c r="DG13" s="292"/>
      <c r="DH13" s="292"/>
      <c r="DI13" s="292"/>
      <c r="DJ13" s="292"/>
      <c r="DK13" s="292"/>
      <c r="DL13" s="35"/>
      <c r="DM13" s="291"/>
      <c r="DN13" s="291"/>
      <c r="DO13" s="291"/>
      <c r="DP13" s="292"/>
      <c r="DQ13" s="291"/>
      <c r="DR13" s="291"/>
      <c r="DS13" s="292"/>
      <c r="DT13" s="292"/>
      <c r="DU13" s="292"/>
      <c r="DV13" s="292"/>
      <c r="DW13" s="292"/>
      <c r="DX13" s="35"/>
      <c r="DY13" s="291"/>
      <c r="DZ13" s="291"/>
      <c r="EA13" s="291"/>
      <c r="EB13" s="292"/>
      <c r="EC13" s="291"/>
      <c r="ED13" s="291"/>
      <c r="EE13" s="292"/>
      <c r="EF13" s="292"/>
      <c r="EG13" s="292"/>
      <c r="EH13" s="292"/>
      <c r="EI13" s="292"/>
      <c r="EJ13" s="35"/>
      <c r="EK13" s="291"/>
      <c r="EL13" s="291"/>
      <c r="EM13" s="291"/>
      <c r="EN13" s="292"/>
      <c r="EO13" s="291"/>
      <c r="EP13" s="291"/>
      <c r="EQ13" s="292"/>
      <c r="ER13" s="292"/>
      <c r="ES13" s="292"/>
      <c r="ET13" s="292"/>
      <c r="EU13" s="292"/>
      <c r="EV13" s="35"/>
      <c r="EW13" s="291"/>
      <c r="EX13" s="291"/>
      <c r="EY13" s="291"/>
      <c r="EZ13" s="292"/>
      <c r="FA13" s="291"/>
      <c r="FB13" s="291"/>
      <c r="FC13" s="292"/>
      <c r="FD13" s="292"/>
      <c r="FE13" s="292"/>
      <c r="FF13" s="292"/>
      <c r="FG13" s="292"/>
      <c r="FH13" s="35"/>
      <c r="FI13" s="291"/>
      <c r="FJ13" s="291"/>
      <c r="FK13" s="291"/>
      <c r="FL13" s="292"/>
      <c r="FM13" s="291"/>
      <c r="FN13" s="291"/>
      <c r="FO13" s="292"/>
      <c r="FP13" s="292"/>
      <c r="FQ13" s="292"/>
      <c r="FR13" s="292"/>
      <c r="FS13" s="292"/>
      <c r="FT13" s="35"/>
      <c r="FU13" s="291"/>
      <c r="FV13" s="291"/>
      <c r="FW13" s="291"/>
      <c r="FX13" s="292"/>
      <c r="FY13" s="291"/>
      <c r="FZ13" s="291"/>
      <c r="GA13" s="292"/>
      <c r="GB13" s="292"/>
      <c r="GC13" s="292"/>
      <c r="GD13" s="292"/>
      <c r="GE13" s="292"/>
      <c r="GF13" s="35"/>
      <c r="GG13" s="291"/>
      <c r="GH13" s="291"/>
      <c r="GI13" s="291"/>
      <c r="GJ13" s="292"/>
      <c r="GK13" s="291"/>
      <c r="GL13" s="291"/>
      <c r="GM13" s="292"/>
      <c r="GN13" s="292"/>
      <c r="GO13" s="292"/>
      <c r="GP13" s="292"/>
      <c r="GQ13" s="292"/>
      <c r="GR13" s="35"/>
      <c r="GS13" s="291"/>
      <c r="GT13" s="291"/>
      <c r="GU13" s="291"/>
      <c r="GV13" s="292"/>
      <c r="GW13" s="291"/>
      <c r="GX13" s="291"/>
      <c r="GY13" s="292"/>
      <c r="GZ13" s="292"/>
      <c r="HA13" s="292"/>
      <c r="HB13" s="292"/>
      <c r="HC13" s="292"/>
      <c r="HD13" s="35"/>
      <c r="HE13" s="291"/>
      <c r="HF13" s="291"/>
      <c r="HG13" s="291"/>
      <c r="HH13" s="292"/>
      <c r="HI13" s="291"/>
      <c r="HJ13" s="291"/>
      <c r="HK13" s="292"/>
      <c r="HL13" s="292"/>
      <c r="HM13" s="292"/>
      <c r="HN13" s="292"/>
      <c r="HO13" s="292"/>
      <c r="HP13" s="35"/>
      <c r="HQ13" s="291"/>
      <c r="HR13" s="291"/>
      <c r="HS13" s="291"/>
      <c r="HT13" s="292"/>
      <c r="HU13" s="291"/>
      <c r="HV13" s="291"/>
      <c r="HW13" s="292"/>
      <c r="HX13" s="292"/>
      <c r="HY13" s="292"/>
      <c r="HZ13" s="292"/>
      <c r="IA13" s="292"/>
      <c r="IB13" s="35"/>
      <c r="IC13" s="291"/>
      <c r="ID13" s="291"/>
      <c r="IE13" s="291"/>
      <c r="IF13" s="292"/>
      <c r="IG13" s="291"/>
      <c r="IH13" s="291"/>
      <c r="II13" s="292"/>
      <c r="IJ13" s="292"/>
      <c r="IK13" s="292"/>
      <c r="IL13" s="292"/>
      <c r="IM13" s="292"/>
      <c r="IN13" s="35"/>
      <c r="IO13" s="291"/>
      <c r="IP13" s="291"/>
      <c r="IQ13" s="291"/>
    </row>
    <row r="14" spans="1:251" s="5" customFormat="1" ht="14.25">
      <c r="A14" s="36" t="s">
        <v>22</v>
      </c>
      <c r="B14" s="291">
        <v>4.9000000000000004</v>
      </c>
      <c r="C14" s="291">
        <v>3.6</v>
      </c>
      <c r="D14" s="291">
        <v>-2</v>
      </c>
      <c r="E14" s="291">
        <v>1.4</v>
      </c>
      <c r="F14" s="291">
        <v>0.3</v>
      </c>
      <c r="G14" s="291">
        <v>-2.4</v>
      </c>
      <c r="H14" s="291">
        <v>-5.4</v>
      </c>
      <c r="I14" s="291">
        <v>-2.2999999999999998</v>
      </c>
      <c r="J14" s="291">
        <v>-0.5</v>
      </c>
      <c r="K14" s="291">
        <v>1.4</v>
      </c>
      <c r="L14" s="291"/>
      <c r="M14" s="291"/>
      <c r="N14" s="291"/>
      <c r="O14" s="291"/>
      <c r="P14" s="291"/>
      <c r="Q14" s="291"/>
      <c r="R14" s="291"/>
      <c r="S14" s="291"/>
      <c r="T14" s="36"/>
      <c r="U14" s="291"/>
      <c r="V14" s="291"/>
      <c r="W14" s="291"/>
      <c r="X14" s="291"/>
      <c r="Y14" s="291"/>
      <c r="Z14" s="291"/>
      <c r="AA14" s="291"/>
      <c r="AB14" s="291"/>
      <c r="AC14" s="291"/>
      <c r="AD14" s="291"/>
      <c r="AE14" s="291"/>
      <c r="AF14" s="36"/>
      <c r="AG14" s="291"/>
      <c r="AH14" s="291"/>
      <c r="AI14" s="291"/>
      <c r="AJ14" s="291"/>
      <c r="AK14" s="291"/>
      <c r="AL14" s="291"/>
      <c r="AM14" s="291"/>
      <c r="AN14" s="291"/>
      <c r="AO14" s="291"/>
      <c r="AP14" s="291"/>
      <c r="AQ14" s="291"/>
      <c r="AR14" s="36"/>
      <c r="AS14" s="291"/>
      <c r="AT14" s="291"/>
      <c r="AU14" s="291"/>
      <c r="AV14" s="291"/>
      <c r="AW14" s="291"/>
      <c r="AX14" s="291"/>
      <c r="AY14" s="291"/>
      <c r="AZ14" s="291"/>
      <c r="BA14" s="291"/>
      <c r="BB14" s="291"/>
      <c r="BC14" s="291"/>
      <c r="BD14" s="36"/>
      <c r="BE14" s="291"/>
      <c r="BF14" s="291"/>
      <c r="BG14" s="291"/>
      <c r="BH14" s="291"/>
      <c r="BI14" s="291"/>
      <c r="BJ14" s="291"/>
      <c r="BK14" s="291"/>
      <c r="BL14" s="291"/>
      <c r="BM14" s="291"/>
      <c r="BN14" s="291"/>
      <c r="BO14" s="291"/>
      <c r="BP14" s="36"/>
      <c r="BQ14" s="291"/>
      <c r="BR14" s="291"/>
      <c r="BS14" s="291"/>
      <c r="BT14" s="291"/>
      <c r="BU14" s="291"/>
      <c r="BV14" s="291"/>
      <c r="BW14" s="291"/>
      <c r="BX14" s="291"/>
      <c r="BY14" s="291"/>
      <c r="BZ14" s="291"/>
      <c r="CA14" s="291"/>
      <c r="CB14" s="36"/>
      <c r="CC14" s="291"/>
      <c r="CD14" s="291"/>
      <c r="CE14" s="291"/>
      <c r="CF14" s="291"/>
      <c r="CG14" s="291"/>
      <c r="CH14" s="291"/>
      <c r="CI14" s="291"/>
      <c r="CJ14" s="291"/>
      <c r="CK14" s="291"/>
      <c r="CL14" s="291"/>
      <c r="CM14" s="291"/>
      <c r="CN14" s="36"/>
      <c r="CO14" s="291"/>
      <c r="CP14" s="291"/>
      <c r="CQ14" s="291"/>
      <c r="CR14" s="291"/>
      <c r="CS14" s="291"/>
      <c r="CT14" s="291"/>
      <c r="CU14" s="291"/>
      <c r="CV14" s="291"/>
      <c r="CW14" s="291"/>
      <c r="CX14" s="291"/>
      <c r="CY14" s="291"/>
      <c r="CZ14" s="36"/>
      <c r="DA14" s="291"/>
      <c r="DB14" s="291"/>
      <c r="DC14" s="291"/>
      <c r="DD14" s="291"/>
      <c r="DE14" s="291"/>
      <c r="DF14" s="291"/>
      <c r="DG14" s="291"/>
      <c r="DH14" s="291"/>
      <c r="DI14" s="291"/>
      <c r="DJ14" s="291"/>
      <c r="DK14" s="291"/>
      <c r="DL14" s="36"/>
      <c r="DM14" s="291"/>
      <c r="DN14" s="291"/>
      <c r="DO14" s="291"/>
      <c r="DP14" s="291"/>
      <c r="DQ14" s="291"/>
      <c r="DR14" s="291"/>
      <c r="DS14" s="291"/>
      <c r="DT14" s="291"/>
      <c r="DU14" s="291"/>
      <c r="DV14" s="291"/>
      <c r="DW14" s="291"/>
      <c r="DX14" s="36"/>
      <c r="DY14" s="291"/>
      <c r="DZ14" s="291"/>
      <c r="EA14" s="291"/>
      <c r="EB14" s="291"/>
      <c r="EC14" s="291"/>
      <c r="ED14" s="291"/>
      <c r="EE14" s="291"/>
      <c r="EF14" s="291"/>
      <c r="EG14" s="291"/>
      <c r="EH14" s="291"/>
      <c r="EI14" s="291"/>
      <c r="EJ14" s="36"/>
      <c r="EK14" s="291"/>
      <c r="EL14" s="291"/>
      <c r="EM14" s="291"/>
      <c r="EN14" s="291"/>
      <c r="EO14" s="291"/>
      <c r="EP14" s="291"/>
      <c r="EQ14" s="291"/>
      <c r="ER14" s="291"/>
      <c r="ES14" s="291"/>
      <c r="ET14" s="291"/>
      <c r="EU14" s="291"/>
      <c r="EV14" s="36"/>
      <c r="EW14" s="291"/>
      <c r="EX14" s="291"/>
      <c r="EY14" s="291"/>
      <c r="EZ14" s="291"/>
      <c r="FA14" s="291"/>
      <c r="FB14" s="291"/>
      <c r="FC14" s="291"/>
      <c r="FD14" s="291"/>
      <c r="FE14" s="291"/>
      <c r="FF14" s="291"/>
      <c r="FG14" s="291"/>
      <c r="FH14" s="36"/>
      <c r="FI14" s="291"/>
      <c r="FJ14" s="291"/>
      <c r="FK14" s="291"/>
      <c r="FL14" s="291"/>
      <c r="FM14" s="291"/>
      <c r="FN14" s="291"/>
      <c r="FO14" s="291"/>
      <c r="FP14" s="291"/>
      <c r="FQ14" s="291"/>
      <c r="FR14" s="291"/>
      <c r="FS14" s="291"/>
      <c r="FT14" s="36"/>
      <c r="FU14" s="291"/>
      <c r="FV14" s="291"/>
      <c r="FW14" s="291"/>
      <c r="FX14" s="291"/>
      <c r="FY14" s="291"/>
      <c r="FZ14" s="291"/>
      <c r="GA14" s="291"/>
      <c r="GB14" s="291"/>
      <c r="GC14" s="291"/>
      <c r="GD14" s="291"/>
      <c r="GE14" s="291"/>
      <c r="GF14" s="36"/>
      <c r="GG14" s="291"/>
      <c r="GH14" s="291"/>
      <c r="GI14" s="291"/>
      <c r="GJ14" s="291"/>
      <c r="GK14" s="291"/>
      <c r="GL14" s="291"/>
      <c r="GM14" s="291"/>
      <c r="GN14" s="291"/>
      <c r="GO14" s="291"/>
      <c r="GP14" s="291"/>
      <c r="GQ14" s="291"/>
      <c r="GR14" s="36"/>
      <c r="GS14" s="291"/>
      <c r="GT14" s="291"/>
      <c r="GU14" s="291"/>
      <c r="GV14" s="291"/>
      <c r="GW14" s="291"/>
      <c r="GX14" s="291"/>
      <c r="GY14" s="291"/>
      <c r="GZ14" s="291"/>
      <c r="HA14" s="291"/>
      <c r="HB14" s="291"/>
      <c r="HC14" s="291"/>
      <c r="HD14" s="36"/>
      <c r="HE14" s="291"/>
      <c r="HF14" s="291"/>
      <c r="HG14" s="291"/>
      <c r="HH14" s="291"/>
      <c r="HI14" s="291"/>
      <c r="HJ14" s="291"/>
      <c r="HK14" s="291"/>
      <c r="HL14" s="291"/>
      <c r="HM14" s="291"/>
      <c r="HN14" s="291"/>
      <c r="HO14" s="291"/>
      <c r="HP14" s="36"/>
      <c r="HQ14" s="291"/>
      <c r="HR14" s="291"/>
      <c r="HS14" s="291"/>
      <c r="HT14" s="291"/>
      <c r="HU14" s="291"/>
      <c r="HV14" s="291"/>
      <c r="HW14" s="291"/>
      <c r="HX14" s="291"/>
      <c r="HY14" s="291"/>
      <c r="HZ14" s="291"/>
      <c r="IA14" s="291"/>
      <c r="IB14" s="36"/>
      <c r="IC14" s="291"/>
      <c r="ID14" s="291"/>
      <c r="IE14" s="291"/>
      <c r="IF14" s="291"/>
      <c r="IG14" s="291"/>
      <c r="IH14" s="291"/>
      <c r="II14" s="291"/>
      <c r="IJ14" s="291"/>
      <c r="IK14" s="291"/>
      <c r="IL14" s="291"/>
      <c r="IM14" s="291"/>
      <c r="IN14" s="36"/>
      <c r="IO14" s="291"/>
      <c r="IP14" s="291"/>
      <c r="IQ14" s="291"/>
    </row>
    <row r="15" spans="1:251" s="5" customFormat="1" ht="14.25">
      <c r="A15" s="35" t="s">
        <v>9</v>
      </c>
      <c r="B15" s="291">
        <v>9.8000000000000007</v>
      </c>
      <c r="C15" s="291">
        <v>-3.2</v>
      </c>
      <c r="D15" s="291">
        <v>-14.2</v>
      </c>
      <c r="E15" s="291">
        <v>-2.9</v>
      </c>
      <c r="F15" s="291">
        <v>5</v>
      </c>
      <c r="G15" s="291">
        <v>4.8</v>
      </c>
      <c r="H15" s="291">
        <v>4.2</v>
      </c>
      <c r="I15" s="291">
        <v>2.4</v>
      </c>
      <c r="J15" s="291">
        <v>2.2999999999999998</v>
      </c>
      <c r="K15" s="291">
        <v>3.2</v>
      </c>
      <c r="L15" s="291"/>
      <c r="M15" s="291"/>
      <c r="N15" s="291"/>
      <c r="O15" s="291"/>
      <c r="P15" s="291"/>
      <c r="Q15" s="291"/>
      <c r="R15" s="291"/>
      <c r="S15" s="291"/>
      <c r="T15" s="35"/>
      <c r="U15" s="291"/>
      <c r="V15" s="291"/>
      <c r="W15" s="291"/>
      <c r="X15" s="291"/>
      <c r="Y15" s="291"/>
      <c r="Z15" s="291"/>
      <c r="AA15" s="291"/>
      <c r="AB15" s="291"/>
      <c r="AC15" s="291"/>
      <c r="AD15" s="291"/>
      <c r="AE15" s="291"/>
      <c r="AF15" s="35"/>
      <c r="AG15" s="291"/>
      <c r="AH15" s="291"/>
      <c r="AI15" s="291"/>
      <c r="AJ15" s="291"/>
      <c r="AK15" s="291"/>
      <c r="AL15" s="291"/>
      <c r="AM15" s="291"/>
      <c r="AN15" s="291"/>
      <c r="AO15" s="291"/>
      <c r="AP15" s="291"/>
      <c r="AQ15" s="291"/>
      <c r="AR15" s="35"/>
      <c r="AS15" s="291"/>
      <c r="AT15" s="291"/>
      <c r="AU15" s="291"/>
      <c r="AV15" s="291"/>
      <c r="AW15" s="291"/>
      <c r="AX15" s="291"/>
      <c r="AY15" s="291"/>
      <c r="AZ15" s="291"/>
      <c r="BA15" s="291"/>
      <c r="BB15" s="291"/>
      <c r="BC15" s="291"/>
      <c r="BD15" s="35"/>
      <c r="BE15" s="291"/>
      <c r="BF15" s="291"/>
      <c r="BG15" s="291"/>
      <c r="BH15" s="291"/>
      <c r="BI15" s="291"/>
      <c r="BJ15" s="291"/>
      <c r="BK15" s="291"/>
      <c r="BL15" s="291"/>
      <c r="BM15" s="291"/>
      <c r="BN15" s="291"/>
      <c r="BO15" s="291"/>
      <c r="BP15" s="35"/>
      <c r="BQ15" s="291"/>
      <c r="BR15" s="291"/>
      <c r="BS15" s="291"/>
      <c r="BT15" s="291"/>
      <c r="BU15" s="291"/>
      <c r="BV15" s="291"/>
      <c r="BW15" s="291"/>
      <c r="BX15" s="291"/>
      <c r="BY15" s="291"/>
      <c r="BZ15" s="291"/>
      <c r="CA15" s="291"/>
      <c r="CB15" s="35"/>
      <c r="CC15" s="291"/>
      <c r="CD15" s="291"/>
      <c r="CE15" s="291"/>
      <c r="CF15" s="291"/>
      <c r="CG15" s="291"/>
      <c r="CH15" s="291"/>
      <c r="CI15" s="291"/>
      <c r="CJ15" s="291"/>
      <c r="CK15" s="291"/>
      <c r="CL15" s="291"/>
      <c r="CM15" s="291"/>
      <c r="CN15" s="35"/>
      <c r="CO15" s="291"/>
      <c r="CP15" s="291"/>
      <c r="CQ15" s="291"/>
      <c r="CR15" s="291"/>
      <c r="CS15" s="291"/>
      <c r="CT15" s="291"/>
      <c r="CU15" s="291"/>
      <c r="CV15" s="291"/>
      <c r="CW15" s="291"/>
      <c r="CX15" s="291"/>
      <c r="CY15" s="291"/>
      <c r="CZ15" s="35"/>
      <c r="DA15" s="291"/>
      <c r="DB15" s="291"/>
      <c r="DC15" s="291"/>
      <c r="DD15" s="291"/>
      <c r="DE15" s="291"/>
      <c r="DF15" s="291"/>
      <c r="DG15" s="291"/>
      <c r="DH15" s="291"/>
      <c r="DI15" s="291"/>
      <c r="DJ15" s="291"/>
      <c r="DK15" s="291"/>
      <c r="DL15" s="35"/>
      <c r="DM15" s="291"/>
      <c r="DN15" s="291"/>
      <c r="DO15" s="291"/>
      <c r="DP15" s="291"/>
      <c r="DQ15" s="291"/>
      <c r="DR15" s="291"/>
      <c r="DS15" s="291"/>
      <c r="DT15" s="291"/>
      <c r="DU15" s="291"/>
      <c r="DV15" s="291"/>
      <c r="DW15" s="291"/>
      <c r="DX15" s="35"/>
      <c r="DY15" s="291"/>
      <c r="DZ15" s="291"/>
      <c r="EA15" s="291"/>
      <c r="EB15" s="291"/>
      <c r="EC15" s="291"/>
      <c r="ED15" s="291"/>
      <c r="EE15" s="291"/>
      <c r="EF15" s="291"/>
      <c r="EG15" s="291"/>
      <c r="EH15" s="291"/>
      <c r="EI15" s="291"/>
      <c r="EJ15" s="35"/>
      <c r="EK15" s="291"/>
      <c r="EL15" s="291"/>
      <c r="EM15" s="291"/>
      <c r="EN15" s="291"/>
      <c r="EO15" s="291"/>
      <c r="EP15" s="291"/>
      <c r="EQ15" s="291"/>
      <c r="ER15" s="291"/>
      <c r="ES15" s="291"/>
      <c r="ET15" s="291"/>
      <c r="EU15" s="291"/>
      <c r="EV15" s="35"/>
      <c r="EW15" s="291"/>
      <c r="EX15" s="291"/>
      <c r="EY15" s="291"/>
      <c r="EZ15" s="291"/>
      <c r="FA15" s="291"/>
      <c r="FB15" s="291"/>
      <c r="FC15" s="291"/>
      <c r="FD15" s="291"/>
      <c r="FE15" s="291"/>
      <c r="FF15" s="291"/>
      <c r="FG15" s="291"/>
      <c r="FH15" s="35"/>
      <c r="FI15" s="291"/>
      <c r="FJ15" s="291"/>
      <c r="FK15" s="291"/>
      <c r="FL15" s="291"/>
      <c r="FM15" s="291"/>
      <c r="FN15" s="291"/>
      <c r="FO15" s="291"/>
      <c r="FP15" s="291"/>
      <c r="FQ15" s="291"/>
      <c r="FR15" s="291"/>
      <c r="FS15" s="291"/>
      <c r="FT15" s="35"/>
      <c r="FU15" s="291"/>
      <c r="FV15" s="291"/>
      <c r="FW15" s="291"/>
      <c r="FX15" s="291"/>
      <c r="FY15" s="291"/>
      <c r="FZ15" s="291"/>
      <c r="GA15" s="291"/>
      <c r="GB15" s="291"/>
      <c r="GC15" s="291"/>
      <c r="GD15" s="291"/>
      <c r="GE15" s="291"/>
      <c r="GF15" s="35"/>
      <c r="GG15" s="291"/>
      <c r="GH15" s="291"/>
      <c r="GI15" s="291"/>
      <c r="GJ15" s="291"/>
      <c r="GK15" s="291"/>
      <c r="GL15" s="291"/>
      <c r="GM15" s="291"/>
      <c r="GN15" s="291"/>
      <c r="GO15" s="291"/>
      <c r="GP15" s="291"/>
      <c r="GQ15" s="291"/>
      <c r="GR15" s="35"/>
      <c r="GS15" s="291"/>
      <c r="GT15" s="291"/>
      <c r="GU15" s="291"/>
      <c r="GV15" s="291"/>
      <c r="GW15" s="291"/>
      <c r="GX15" s="291"/>
      <c r="GY15" s="291"/>
      <c r="GZ15" s="291"/>
      <c r="HA15" s="291"/>
      <c r="HB15" s="291"/>
      <c r="HC15" s="291"/>
      <c r="HD15" s="35"/>
      <c r="HE15" s="291"/>
      <c r="HF15" s="291"/>
      <c r="HG15" s="291"/>
      <c r="HH15" s="291"/>
      <c r="HI15" s="291"/>
      <c r="HJ15" s="291"/>
      <c r="HK15" s="291"/>
      <c r="HL15" s="291"/>
      <c r="HM15" s="291"/>
      <c r="HN15" s="291"/>
      <c r="HO15" s="291"/>
      <c r="HP15" s="35"/>
      <c r="HQ15" s="291"/>
      <c r="HR15" s="291"/>
      <c r="HS15" s="291"/>
      <c r="HT15" s="291"/>
      <c r="HU15" s="291"/>
      <c r="HV15" s="291"/>
      <c r="HW15" s="291"/>
      <c r="HX15" s="291"/>
      <c r="HY15" s="291"/>
      <c r="HZ15" s="291"/>
      <c r="IA15" s="291"/>
      <c r="IB15" s="35"/>
      <c r="IC15" s="291"/>
      <c r="ID15" s="291"/>
      <c r="IE15" s="291"/>
      <c r="IF15" s="291"/>
      <c r="IG15" s="291"/>
      <c r="IH15" s="291"/>
      <c r="II15" s="291"/>
      <c r="IJ15" s="291"/>
      <c r="IK15" s="291"/>
      <c r="IL15" s="291"/>
      <c r="IM15" s="291"/>
      <c r="IN15" s="35"/>
      <c r="IO15" s="291"/>
      <c r="IP15" s="291"/>
      <c r="IQ15" s="291"/>
    </row>
    <row r="16" spans="1:251" s="5" customFormat="1" ht="14.25">
      <c r="A16" s="35" t="s">
        <v>8</v>
      </c>
      <c r="B16" s="291">
        <v>11.1</v>
      </c>
      <c r="C16" s="291">
        <v>2.6</v>
      </c>
      <c r="D16" s="291">
        <v>-14.8</v>
      </c>
      <c r="E16" s="291">
        <v>1.6</v>
      </c>
      <c r="F16" s="291">
        <v>6.1</v>
      </c>
      <c r="G16" s="292">
        <v>3.8</v>
      </c>
      <c r="H16" s="291">
        <v>3.3</v>
      </c>
      <c r="I16" s="291">
        <v>2.9</v>
      </c>
      <c r="J16" s="291">
        <v>2.8</v>
      </c>
      <c r="K16" s="291">
        <v>3.3</v>
      </c>
      <c r="L16" s="291"/>
      <c r="M16" s="291"/>
      <c r="N16" s="291"/>
      <c r="O16" s="292"/>
      <c r="P16" s="292"/>
      <c r="Q16" s="292"/>
      <c r="R16" s="292"/>
      <c r="S16" s="292"/>
      <c r="T16" s="35"/>
      <c r="U16" s="291"/>
      <c r="V16" s="291"/>
      <c r="W16" s="291"/>
      <c r="X16" s="291"/>
      <c r="Y16" s="291"/>
      <c r="Z16" s="291"/>
      <c r="AA16" s="292"/>
      <c r="AB16" s="292"/>
      <c r="AC16" s="292"/>
      <c r="AD16" s="292"/>
      <c r="AE16" s="292"/>
      <c r="AF16" s="35"/>
      <c r="AG16" s="291"/>
      <c r="AH16" s="291"/>
      <c r="AI16" s="291"/>
      <c r="AJ16" s="291"/>
      <c r="AK16" s="291"/>
      <c r="AL16" s="291"/>
      <c r="AM16" s="292"/>
      <c r="AN16" s="292"/>
      <c r="AO16" s="292"/>
      <c r="AP16" s="292"/>
      <c r="AQ16" s="292"/>
      <c r="AR16" s="35"/>
      <c r="AS16" s="291"/>
      <c r="AT16" s="291"/>
      <c r="AU16" s="291"/>
      <c r="AV16" s="291"/>
      <c r="AW16" s="291"/>
      <c r="AX16" s="291"/>
      <c r="AY16" s="292"/>
      <c r="AZ16" s="292"/>
      <c r="BA16" s="292"/>
      <c r="BB16" s="292"/>
      <c r="BC16" s="292"/>
      <c r="BD16" s="35"/>
      <c r="BE16" s="291"/>
      <c r="BF16" s="291"/>
      <c r="BG16" s="291"/>
      <c r="BH16" s="291"/>
      <c r="BI16" s="291"/>
      <c r="BJ16" s="291"/>
      <c r="BK16" s="292"/>
      <c r="BL16" s="292"/>
      <c r="BM16" s="292"/>
      <c r="BN16" s="292"/>
      <c r="BO16" s="292"/>
      <c r="BP16" s="35"/>
      <c r="BQ16" s="291"/>
      <c r="BR16" s="291"/>
      <c r="BS16" s="291"/>
      <c r="BT16" s="291"/>
      <c r="BU16" s="291"/>
      <c r="BV16" s="291"/>
      <c r="BW16" s="292"/>
      <c r="BX16" s="292"/>
      <c r="BY16" s="292"/>
      <c r="BZ16" s="292"/>
      <c r="CA16" s="292"/>
      <c r="CB16" s="35"/>
      <c r="CC16" s="291"/>
      <c r="CD16" s="291"/>
      <c r="CE16" s="291"/>
      <c r="CF16" s="291"/>
      <c r="CG16" s="291"/>
      <c r="CH16" s="291"/>
      <c r="CI16" s="292"/>
      <c r="CJ16" s="292"/>
      <c r="CK16" s="292"/>
      <c r="CL16" s="292"/>
      <c r="CM16" s="292"/>
      <c r="CN16" s="35"/>
      <c r="CO16" s="291"/>
      <c r="CP16" s="291"/>
      <c r="CQ16" s="291"/>
      <c r="CR16" s="291"/>
      <c r="CS16" s="291"/>
      <c r="CT16" s="291"/>
      <c r="CU16" s="292"/>
      <c r="CV16" s="292"/>
      <c r="CW16" s="292"/>
      <c r="CX16" s="292"/>
      <c r="CY16" s="292"/>
      <c r="CZ16" s="35"/>
      <c r="DA16" s="291"/>
      <c r="DB16" s="291"/>
      <c r="DC16" s="291"/>
      <c r="DD16" s="291"/>
      <c r="DE16" s="291"/>
      <c r="DF16" s="291"/>
      <c r="DG16" s="292"/>
      <c r="DH16" s="292"/>
      <c r="DI16" s="292"/>
      <c r="DJ16" s="292"/>
      <c r="DK16" s="292"/>
      <c r="DL16" s="35"/>
      <c r="DM16" s="291"/>
      <c r="DN16" s="291"/>
      <c r="DO16" s="291"/>
      <c r="DP16" s="291"/>
      <c r="DQ16" s="291"/>
      <c r="DR16" s="291"/>
      <c r="DS16" s="292"/>
      <c r="DT16" s="292"/>
      <c r="DU16" s="292"/>
      <c r="DV16" s="292"/>
      <c r="DW16" s="292"/>
      <c r="DX16" s="35"/>
      <c r="DY16" s="291"/>
      <c r="DZ16" s="291"/>
      <c r="EA16" s="291"/>
      <c r="EB16" s="291"/>
      <c r="EC16" s="291"/>
      <c r="ED16" s="291"/>
      <c r="EE16" s="292"/>
      <c r="EF16" s="292"/>
      <c r="EG16" s="292"/>
      <c r="EH16" s="292"/>
      <c r="EI16" s="292"/>
      <c r="EJ16" s="35"/>
      <c r="EK16" s="291"/>
      <c r="EL16" s="291"/>
      <c r="EM16" s="291"/>
      <c r="EN16" s="291"/>
      <c r="EO16" s="291"/>
      <c r="EP16" s="291"/>
      <c r="EQ16" s="292"/>
      <c r="ER16" s="292"/>
      <c r="ES16" s="292"/>
      <c r="ET16" s="292"/>
      <c r="EU16" s="292"/>
      <c r="EV16" s="35"/>
      <c r="EW16" s="291"/>
      <c r="EX16" s="291"/>
      <c r="EY16" s="291"/>
      <c r="EZ16" s="291"/>
      <c r="FA16" s="291"/>
      <c r="FB16" s="291"/>
      <c r="FC16" s="292"/>
      <c r="FD16" s="292"/>
      <c r="FE16" s="292"/>
      <c r="FF16" s="292"/>
      <c r="FG16" s="292"/>
      <c r="FH16" s="35"/>
      <c r="FI16" s="291"/>
      <c r="FJ16" s="291"/>
      <c r="FK16" s="291"/>
      <c r="FL16" s="291"/>
      <c r="FM16" s="291"/>
      <c r="FN16" s="291"/>
      <c r="FO16" s="292"/>
      <c r="FP16" s="292"/>
      <c r="FQ16" s="292"/>
      <c r="FR16" s="292"/>
      <c r="FS16" s="292"/>
      <c r="FT16" s="35"/>
      <c r="FU16" s="291"/>
      <c r="FV16" s="291"/>
      <c r="FW16" s="291"/>
      <c r="FX16" s="291"/>
      <c r="FY16" s="291"/>
      <c r="FZ16" s="291"/>
      <c r="GA16" s="292"/>
      <c r="GB16" s="292"/>
      <c r="GC16" s="292"/>
      <c r="GD16" s="292"/>
      <c r="GE16" s="292"/>
      <c r="GF16" s="35"/>
      <c r="GG16" s="291"/>
      <c r="GH16" s="291"/>
      <c r="GI16" s="291"/>
      <c r="GJ16" s="291"/>
      <c r="GK16" s="291"/>
      <c r="GL16" s="291"/>
      <c r="GM16" s="292"/>
      <c r="GN16" s="292"/>
      <c r="GO16" s="292"/>
      <c r="GP16" s="292"/>
      <c r="GQ16" s="292"/>
      <c r="GR16" s="35"/>
      <c r="GS16" s="291"/>
      <c r="GT16" s="291"/>
      <c r="GU16" s="291"/>
      <c r="GV16" s="291"/>
      <c r="GW16" s="291"/>
      <c r="GX16" s="291"/>
      <c r="GY16" s="292"/>
      <c r="GZ16" s="292"/>
      <c r="HA16" s="292"/>
      <c r="HB16" s="292"/>
      <c r="HC16" s="292"/>
      <c r="HD16" s="35"/>
      <c r="HE16" s="291"/>
      <c r="HF16" s="291"/>
      <c r="HG16" s="291"/>
      <c r="HH16" s="291"/>
      <c r="HI16" s="291"/>
      <c r="HJ16" s="291"/>
      <c r="HK16" s="292"/>
      <c r="HL16" s="292"/>
      <c r="HM16" s="292"/>
      <c r="HN16" s="292"/>
      <c r="HO16" s="292"/>
      <c r="HP16" s="35"/>
      <c r="HQ16" s="291"/>
      <c r="HR16" s="291"/>
      <c r="HS16" s="291"/>
      <c r="HT16" s="291"/>
      <c r="HU16" s="291"/>
      <c r="HV16" s="291"/>
      <c r="HW16" s="292"/>
      <c r="HX16" s="292"/>
      <c r="HY16" s="292"/>
      <c r="HZ16" s="292"/>
      <c r="IA16" s="292"/>
      <c r="IB16" s="35"/>
      <c r="IC16" s="291"/>
      <c r="ID16" s="291"/>
      <c r="IE16" s="291"/>
      <c r="IF16" s="291"/>
      <c r="IG16" s="291"/>
      <c r="IH16" s="291"/>
      <c r="II16" s="292"/>
      <c r="IJ16" s="292"/>
      <c r="IK16" s="292"/>
      <c r="IL16" s="292"/>
      <c r="IM16" s="292"/>
      <c r="IN16" s="35"/>
      <c r="IO16" s="291"/>
      <c r="IP16" s="291"/>
      <c r="IQ16" s="291"/>
    </row>
    <row r="17" spans="1:251" s="8" customFormat="1" ht="14.25">
      <c r="A17" s="35" t="s">
        <v>21</v>
      </c>
      <c r="B17" s="291">
        <v>6.5</v>
      </c>
      <c r="C17" s="291">
        <v>0.5</v>
      </c>
      <c r="D17" s="291">
        <v>-5.3</v>
      </c>
      <c r="E17" s="291">
        <v>5.0999999999999996</v>
      </c>
      <c r="F17" s="291">
        <v>2.6</v>
      </c>
      <c r="G17" s="397">
        <v>-0.2</v>
      </c>
      <c r="H17" s="291">
        <v>2</v>
      </c>
      <c r="I17" s="291">
        <v>3.1</v>
      </c>
      <c r="J17" s="291">
        <v>3.4</v>
      </c>
      <c r="K17" s="291">
        <v>3.5</v>
      </c>
      <c r="L17" s="295"/>
      <c r="M17" s="295"/>
      <c r="N17" s="295"/>
      <c r="O17" s="296"/>
      <c r="P17" s="296"/>
      <c r="Q17" s="296"/>
      <c r="R17" s="296"/>
      <c r="S17" s="296"/>
      <c r="T17" s="34"/>
      <c r="U17" s="295"/>
      <c r="V17" s="295"/>
      <c r="W17" s="295"/>
      <c r="X17" s="295"/>
      <c r="Y17" s="295"/>
      <c r="Z17" s="295"/>
      <c r="AA17" s="296"/>
      <c r="AB17" s="296"/>
      <c r="AC17" s="296"/>
      <c r="AD17" s="296"/>
      <c r="AE17" s="296"/>
      <c r="AF17" s="34"/>
      <c r="AG17" s="295"/>
      <c r="AH17" s="295"/>
      <c r="AI17" s="295"/>
      <c r="AJ17" s="295"/>
      <c r="AK17" s="295"/>
      <c r="AL17" s="295"/>
      <c r="AM17" s="296"/>
      <c r="AN17" s="296"/>
      <c r="AO17" s="296"/>
      <c r="AP17" s="296"/>
      <c r="AQ17" s="296"/>
      <c r="AR17" s="34"/>
      <c r="AS17" s="295"/>
      <c r="AT17" s="295"/>
      <c r="AU17" s="295"/>
      <c r="AV17" s="295"/>
      <c r="AW17" s="295"/>
      <c r="AX17" s="295"/>
      <c r="AY17" s="296"/>
      <c r="AZ17" s="296"/>
      <c r="BA17" s="296"/>
      <c r="BB17" s="296"/>
      <c r="BC17" s="296"/>
      <c r="BD17" s="34"/>
      <c r="BE17" s="295"/>
      <c r="BF17" s="295"/>
      <c r="BG17" s="295"/>
      <c r="BH17" s="295"/>
      <c r="BI17" s="295"/>
      <c r="BJ17" s="295"/>
      <c r="BK17" s="296"/>
      <c r="BL17" s="296"/>
      <c r="BM17" s="296"/>
      <c r="BN17" s="296"/>
      <c r="BO17" s="296"/>
      <c r="BP17" s="34"/>
      <c r="BQ17" s="295"/>
      <c r="BR17" s="295"/>
      <c r="BS17" s="295"/>
      <c r="BT17" s="295"/>
      <c r="BU17" s="295"/>
      <c r="BV17" s="295"/>
      <c r="BW17" s="296"/>
      <c r="BX17" s="296"/>
      <c r="BY17" s="296"/>
      <c r="BZ17" s="296"/>
      <c r="CA17" s="296"/>
      <c r="CB17" s="34"/>
      <c r="CC17" s="295"/>
      <c r="CD17" s="295"/>
      <c r="CE17" s="295"/>
      <c r="CF17" s="295"/>
      <c r="CG17" s="295"/>
      <c r="CH17" s="295"/>
      <c r="CI17" s="296"/>
      <c r="CJ17" s="296"/>
      <c r="CK17" s="296"/>
      <c r="CL17" s="296"/>
      <c r="CM17" s="296"/>
      <c r="CN17" s="34"/>
      <c r="CO17" s="295"/>
      <c r="CP17" s="295"/>
      <c r="CQ17" s="295"/>
      <c r="CR17" s="295"/>
      <c r="CS17" s="295"/>
      <c r="CT17" s="295"/>
      <c r="CU17" s="296"/>
      <c r="CV17" s="296"/>
      <c r="CW17" s="296"/>
      <c r="CX17" s="296"/>
      <c r="CY17" s="296"/>
      <c r="CZ17" s="34"/>
      <c r="DA17" s="295"/>
      <c r="DB17" s="295"/>
      <c r="DC17" s="295"/>
      <c r="DD17" s="295"/>
      <c r="DE17" s="295"/>
      <c r="DF17" s="295"/>
      <c r="DG17" s="296"/>
      <c r="DH17" s="296"/>
      <c r="DI17" s="296"/>
      <c r="DJ17" s="296"/>
      <c r="DK17" s="296"/>
      <c r="DL17" s="34"/>
      <c r="DM17" s="295"/>
      <c r="DN17" s="295"/>
      <c r="DO17" s="295"/>
      <c r="DP17" s="295"/>
      <c r="DQ17" s="295"/>
      <c r="DR17" s="295"/>
      <c r="DS17" s="296"/>
      <c r="DT17" s="296"/>
      <c r="DU17" s="296"/>
      <c r="DV17" s="296"/>
      <c r="DW17" s="296"/>
      <c r="DX17" s="34"/>
      <c r="DY17" s="295"/>
      <c r="DZ17" s="295"/>
      <c r="EA17" s="295"/>
      <c r="EB17" s="295"/>
      <c r="EC17" s="295"/>
      <c r="ED17" s="295"/>
      <c r="EE17" s="296"/>
      <c r="EF17" s="296"/>
      <c r="EG17" s="296"/>
      <c r="EH17" s="296"/>
      <c r="EI17" s="296"/>
      <c r="EJ17" s="34"/>
      <c r="EK17" s="295"/>
      <c r="EL17" s="295"/>
      <c r="EM17" s="295"/>
      <c r="EN17" s="295"/>
      <c r="EO17" s="295"/>
      <c r="EP17" s="295"/>
      <c r="EQ17" s="296"/>
      <c r="ER17" s="296"/>
      <c r="ES17" s="296"/>
      <c r="ET17" s="296"/>
      <c r="EU17" s="296"/>
      <c r="EV17" s="34"/>
      <c r="EW17" s="295"/>
      <c r="EX17" s="295"/>
      <c r="EY17" s="295"/>
      <c r="EZ17" s="295"/>
      <c r="FA17" s="295"/>
      <c r="FB17" s="295"/>
      <c r="FC17" s="296"/>
      <c r="FD17" s="296"/>
      <c r="FE17" s="296"/>
      <c r="FF17" s="296"/>
      <c r="FG17" s="296"/>
      <c r="FH17" s="34"/>
      <c r="FI17" s="295"/>
      <c r="FJ17" s="295"/>
      <c r="FK17" s="295"/>
      <c r="FL17" s="295"/>
      <c r="FM17" s="295"/>
      <c r="FN17" s="295"/>
      <c r="FO17" s="296"/>
      <c r="FP17" s="296"/>
      <c r="FQ17" s="296"/>
      <c r="FR17" s="296"/>
      <c r="FS17" s="296"/>
      <c r="FT17" s="34"/>
      <c r="FU17" s="295"/>
      <c r="FV17" s="295"/>
      <c r="FW17" s="295"/>
      <c r="FX17" s="295"/>
      <c r="FY17" s="295"/>
      <c r="FZ17" s="295"/>
      <c r="GA17" s="296"/>
      <c r="GB17" s="296"/>
      <c r="GC17" s="296"/>
      <c r="GD17" s="296"/>
      <c r="GE17" s="296"/>
      <c r="GF17" s="34"/>
      <c r="GG17" s="295"/>
      <c r="GH17" s="295"/>
      <c r="GI17" s="295"/>
      <c r="GJ17" s="295"/>
      <c r="GK17" s="295"/>
      <c r="GL17" s="295"/>
      <c r="GM17" s="296"/>
      <c r="GN17" s="296"/>
      <c r="GO17" s="296"/>
      <c r="GP17" s="296"/>
      <c r="GQ17" s="296"/>
      <c r="GR17" s="34"/>
      <c r="GS17" s="295"/>
      <c r="GT17" s="295"/>
      <c r="GU17" s="295"/>
      <c r="GV17" s="295"/>
      <c r="GW17" s="295"/>
      <c r="GX17" s="295"/>
      <c r="GY17" s="296"/>
      <c r="GZ17" s="296"/>
      <c r="HA17" s="296"/>
      <c r="HB17" s="296"/>
      <c r="HC17" s="296"/>
      <c r="HD17" s="34"/>
      <c r="HE17" s="295"/>
      <c r="HF17" s="295"/>
      <c r="HG17" s="295"/>
      <c r="HH17" s="295"/>
      <c r="HI17" s="295"/>
      <c r="HJ17" s="295"/>
      <c r="HK17" s="296"/>
      <c r="HL17" s="296"/>
      <c r="HM17" s="296"/>
      <c r="HN17" s="296"/>
      <c r="HO17" s="296"/>
      <c r="HP17" s="34"/>
      <c r="HQ17" s="295"/>
      <c r="HR17" s="295"/>
      <c r="HS17" s="295"/>
      <c r="HT17" s="295"/>
      <c r="HU17" s="295"/>
      <c r="HV17" s="295"/>
      <c r="HW17" s="296"/>
      <c r="HX17" s="296"/>
      <c r="HY17" s="296"/>
      <c r="HZ17" s="296"/>
      <c r="IA17" s="296"/>
      <c r="IB17" s="34"/>
      <c r="IC17" s="295"/>
      <c r="ID17" s="295"/>
      <c r="IE17" s="295"/>
      <c r="IF17" s="295"/>
      <c r="IG17" s="295"/>
      <c r="IH17" s="295"/>
      <c r="II17" s="296"/>
      <c r="IJ17" s="296"/>
      <c r="IK17" s="296"/>
      <c r="IL17" s="296"/>
      <c r="IM17" s="296"/>
      <c r="IN17" s="34"/>
      <c r="IO17" s="295"/>
      <c r="IP17" s="295"/>
      <c r="IQ17" s="295"/>
    </row>
    <row r="18" spans="1:251" s="8" customFormat="1" ht="14.25">
      <c r="A18" s="35" t="s">
        <v>20</v>
      </c>
      <c r="B18" s="291">
        <v>4</v>
      </c>
      <c r="C18" s="291">
        <v>3.3</v>
      </c>
      <c r="D18" s="291">
        <v>-2.5</v>
      </c>
      <c r="E18" s="291">
        <v>3.5</v>
      </c>
      <c r="F18" s="291">
        <v>2.2999999999999998</v>
      </c>
      <c r="G18" s="291">
        <v>2.5</v>
      </c>
      <c r="H18" s="291">
        <v>2.7</v>
      </c>
      <c r="I18" s="291">
        <v>3.5</v>
      </c>
      <c r="J18" s="291">
        <v>3.6</v>
      </c>
      <c r="K18" s="291">
        <v>3.2</v>
      </c>
      <c r="L18" s="296"/>
      <c r="M18" s="295"/>
      <c r="N18" s="295"/>
      <c r="O18" s="296"/>
      <c r="P18" s="296"/>
      <c r="Q18" s="296"/>
      <c r="R18" s="296"/>
      <c r="S18" s="296"/>
      <c r="T18" s="34"/>
      <c r="U18" s="295"/>
      <c r="V18" s="295"/>
      <c r="W18" s="295"/>
      <c r="X18" s="296"/>
      <c r="Y18" s="295"/>
      <c r="Z18" s="295"/>
      <c r="AA18" s="296"/>
      <c r="AB18" s="296"/>
      <c r="AC18" s="296"/>
      <c r="AD18" s="296"/>
      <c r="AE18" s="296"/>
      <c r="AF18" s="34"/>
      <c r="AG18" s="295"/>
      <c r="AH18" s="295"/>
      <c r="AI18" s="295"/>
      <c r="AJ18" s="296"/>
      <c r="AK18" s="295"/>
      <c r="AL18" s="295"/>
      <c r="AM18" s="296"/>
      <c r="AN18" s="296"/>
      <c r="AO18" s="296"/>
      <c r="AP18" s="296"/>
      <c r="AQ18" s="296"/>
      <c r="AR18" s="34"/>
      <c r="AS18" s="295"/>
      <c r="AT18" s="295"/>
      <c r="AU18" s="295"/>
      <c r="AV18" s="296"/>
      <c r="AW18" s="295"/>
      <c r="AX18" s="295"/>
      <c r="AY18" s="296"/>
      <c r="AZ18" s="296"/>
      <c r="BA18" s="296"/>
      <c r="BB18" s="296"/>
      <c r="BC18" s="296"/>
      <c r="BD18" s="34"/>
      <c r="BE18" s="295"/>
      <c r="BF18" s="295"/>
      <c r="BG18" s="295"/>
      <c r="BH18" s="296"/>
      <c r="BI18" s="295"/>
      <c r="BJ18" s="295"/>
      <c r="BK18" s="296"/>
      <c r="BL18" s="296"/>
      <c r="BM18" s="296"/>
      <c r="BN18" s="296"/>
      <c r="BO18" s="296"/>
      <c r="BP18" s="34"/>
      <c r="BQ18" s="295"/>
      <c r="BR18" s="295"/>
      <c r="BS18" s="295"/>
      <c r="BT18" s="296"/>
      <c r="BU18" s="295"/>
      <c r="BV18" s="295"/>
      <c r="BW18" s="296"/>
      <c r="BX18" s="296"/>
      <c r="BY18" s="296"/>
      <c r="BZ18" s="296"/>
      <c r="CA18" s="296"/>
      <c r="CB18" s="34"/>
      <c r="CC18" s="295"/>
      <c r="CD18" s="295"/>
      <c r="CE18" s="295"/>
      <c r="CF18" s="296"/>
      <c r="CG18" s="295"/>
      <c r="CH18" s="295"/>
      <c r="CI18" s="296"/>
      <c r="CJ18" s="296"/>
      <c r="CK18" s="296"/>
      <c r="CL18" s="296"/>
      <c r="CM18" s="296"/>
      <c r="CN18" s="34"/>
      <c r="CO18" s="295"/>
      <c r="CP18" s="295"/>
      <c r="CQ18" s="295"/>
      <c r="CR18" s="296"/>
      <c r="CS18" s="295"/>
      <c r="CT18" s="295"/>
      <c r="CU18" s="296"/>
      <c r="CV18" s="296"/>
      <c r="CW18" s="296"/>
      <c r="CX18" s="296"/>
      <c r="CY18" s="296"/>
      <c r="CZ18" s="34"/>
      <c r="DA18" s="295"/>
      <c r="DB18" s="295"/>
      <c r="DC18" s="295"/>
      <c r="DD18" s="296"/>
      <c r="DE18" s="295"/>
      <c r="DF18" s="295"/>
      <c r="DG18" s="296"/>
      <c r="DH18" s="296"/>
      <c r="DI18" s="296"/>
      <c r="DJ18" s="296"/>
      <c r="DK18" s="296"/>
      <c r="DL18" s="34"/>
      <c r="DM18" s="295"/>
      <c r="DN18" s="295"/>
      <c r="DO18" s="295"/>
      <c r="DP18" s="296"/>
      <c r="DQ18" s="295"/>
      <c r="DR18" s="295"/>
      <c r="DS18" s="296"/>
      <c r="DT18" s="296"/>
      <c r="DU18" s="296"/>
      <c r="DV18" s="296"/>
      <c r="DW18" s="296"/>
      <c r="DX18" s="34"/>
      <c r="DY18" s="295"/>
      <c r="DZ18" s="295"/>
      <c r="EA18" s="295"/>
      <c r="EB18" s="296"/>
      <c r="EC18" s="295"/>
      <c r="ED18" s="295"/>
      <c r="EE18" s="296"/>
      <c r="EF18" s="296"/>
      <c r="EG18" s="296"/>
      <c r="EH18" s="296"/>
      <c r="EI18" s="296"/>
      <c r="EJ18" s="34"/>
      <c r="EK18" s="295"/>
      <c r="EL18" s="295"/>
      <c r="EM18" s="295"/>
      <c r="EN18" s="296"/>
      <c r="EO18" s="295"/>
      <c r="EP18" s="295"/>
      <c r="EQ18" s="296"/>
      <c r="ER18" s="296"/>
      <c r="ES18" s="296"/>
      <c r="ET18" s="296"/>
      <c r="EU18" s="296"/>
      <c r="EV18" s="34"/>
      <c r="EW18" s="295"/>
      <c r="EX18" s="295"/>
      <c r="EY18" s="295"/>
      <c r="EZ18" s="296"/>
      <c r="FA18" s="295"/>
      <c r="FB18" s="295"/>
      <c r="FC18" s="296"/>
      <c r="FD18" s="296"/>
      <c r="FE18" s="296"/>
      <c r="FF18" s="296"/>
      <c r="FG18" s="296"/>
      <c r="FH18" s="34"/>
      <c r="FI18" s="295"/>
      <c r="FJ18" s="295"/>
      <c r="FK18" s="295"/>
      <c r="FL18" s="296"/>
      <c r="FM18" s="295"/>
      <c r="FN18" s="295"/>
      <c r="FO18" s="296"/>
      <c r="FP18" s="296"/>
      <c r="FQ18" s="296"/>
      <c r="FR18" s="296"/>
      <c r="FS18" s="296"/>
      <c r="FT18" s="34"/>
      <c r="FU18" s="295"/>
      <c r="FV18" s="295"/>
      <c r="FW18" s="295"/>
      <c r="FX18" s="296"/>
      <c r="FY18" s="295"/>
      <c r="FZ18" s="295"/>
      <c r="GA18" s="296"/>
      <c r="GB18" s="296"/>
      <c r="GC18" s="296"/>
      <c r="GD18" s="296"/>
      <c r="GE18" s="296"/>
      <c r="GF18" s="34"/>
      <c r="GG18" s="295"/>
      <c r="GH18" s="295"/>
      <c r="GI18" s="295"/>
      <c r="GJ18" s="296"/>
      <c r="GK18" s="295"/>
      <c r="GL18" s="295"/>
      <c r="GM18" s="296"/>
      <c r="GN18" s="296"/>
      <c r="GO18" s="296"/>
      <c r="GP18" s="296"/>
      <c r="GQ18" s="296"/>
      <c r="GR18" s="34"/>
      <c r="GS18" s="295"/>
      <c r="GT18" s="295"/>
      <c r="GU18" s="295"/>
      <c r="GV18" s="296"/>
      <c r="GW18" s="295"/>
      <c r="GX18" s="295"/>
      <c r="GY18" s="296"/>
      <c r="GZ18" s="296"/>
      <c r="HA18" s="296"/>
      <c r="HB18" s="296"/>
      <c r="HC18" s="296"/>
      <c r="HD18" s="34"/>
      <c r="HE18" s="295"/>
      <c r="HF18" s="295"/>
      <c r="HG18" s="295"/>
      <c r="HH18" s="296"/>
      <c r="HI18" s="295"/>
      <c r="HJ18" s="295"/>
      <c r="HK18" s="296"/>
      <c r="HL18" s="296"/>
      <c r="HM18" s="296"/>
      <c r="HN18" s="296"/>
      <c r="HO18" s="296"/>
      <c r="HP18" s="34"/>
      <c r="HQ18" s="295"/>
      <c r="HR18" s="295"/>
      <c r="HS18" s="295"/>
      <c r="HT18" s="296"/>
      <c r="HU18" s="295"/>
      <c r="HV18" s="295"/>
      <c r="HW18" s="296"/>
      <c r="HX18" s="296"/>
      <c r="HY18" s="296"/>
      <c r="HZ18" s="296"/>
      <c r="IA18" s="296"/>
      <c r="IB18" s="34"/>
      <c r="IC18" s="295"/>
      <c r="ID18" s="295"/>
      <c r="IE18" s="295"/>
      <c r="IF18" s="296"/>
      <c r="IG18" s="295"/>
      <c r="IH18" s="295"/>
      <c r="II18" s="296"/>
      <c r="IJ18" s="296"/>
      <c r="IK18" s="296"/>
      <c r="IL18" s="296"/>
      <c r="IM18" s="296"/>
      <c r="IN18" s="34"/>
      <c r="IO18" s="295"/>
      <c r="IP18" s="295"/>
      <c r="IQ18" s="295"/>
    </row>
    <row r="19" spans="1:251" s="5" customFormat="1" ht="14.25">
      <c r="A19" s="35" t="s">
        <v>19</v>
      </c>
      <c r="B19" s="291">
        <v>4.2</v>
      </c>
      <c r="C19" s="291">
        <v>2.1</v>
      </c>
      <c r="D19" s="291">
        <v>-3.3</v>
      </c>
      <c r="E19" s="291">
        <v>1.1000000000000001</v>
      </c>
      <c r="F19" s="291">
        <v>1.7</v>
      </c>
      <c r="G19" s="397">
        <v>-1.6</v>
      </c>
      <c r="H19" s="291">
        <v>-0.7</v>
      </c>
      <c r="I19" s="291">
        <v>0.9</v>
      </c>
      <c r="J19" s="291">
        <v>1.6</v>
      </c>
      <c r="K19" s="291">
        <v>1.7</v>
      </c>
      <c r="L19" s="291"/>
      <c r="M19" s="291"/>
      <c r="N19" s="291"/>
      <c r="O19" s="291"/>
      <c r="P19" s="291"/>
      <c r="Q19" s="291"/>
      <c r="R19" s="291"/>
      <c r="S19" s="291"/>
      <c r="T19" s="36"/>
      <c r="U19" s="291"/>
      <c r="V19" s="291"/>
      <c r="W19" s="291"/>
      <c r="X19" s="291"/>
      <c r="Y19" s="291"/>
      <c r="Z19" s="291"/>
      <c r="AA19" s="291"/>
      <c r="AB19" s="291"/>
      <c r="AC19" s="291"/>
      <c r="AD19" s="291"/>
      <c r="AE19" s="291"/>
      <c r="AF19" s="36"/>
      <c r="AG19" s="291"/>
      <c r="AH19" s="291"/>
      <c r="AI19" s="291"/>
      <c r="AJ19" s="291"/>
      <c r="AK19" s="291"/>
      <c r="AL19" s="291"/>
      <c r="AM19" s="291"/>
      <c r="AN19" s="291"/>
      <c r="AO19" s="291"/>
      <c r="AP19" s="291"/>
      <c r="AQ19" s="291"/>
      <c r="AR19" s="36"/>
      <c r="AS19" s="291"/>
      <c r="AT19" s="291"/>
      <c r="AU19" s="291"/>
      <c r="AV19" s="291"/>
      <c r="AW19" s="291"/>
      <c r="AX19" s="291"/>
      <c r="AY19" s="291"/>
      <c r="AZ19" s="291"/>
      <c r="BA19" s="291"/>
      <c r="BB19" s="291"/>
      <c r="BC19" s="291"/>
      <c r="BD19" s="36"/>
      <c r="BE19" s="291"/>
      <c r="BF19" s="291"/>
      <c r="BG19" s="291"/>
      <c r="BH19" s="291"/>
      <c r="BI19" s="291"/>
      <c r="BJ19" s="291"/>
      <c r="BK19" s="291"/>
      <c r="BL19" s="291"/>
      <c r="BM19" s="291"/>
      <c r="BN19" s="291"/>
      <c r="BO19" s="291"/>
      <c r="BP19" s="36"/>
      <c r="BQ19" s="291"/>
      <c r="BR19" s="291"/>
      <c r="BS19" s="291"/>
      <c r="BT19" s="291"/>
      <c r="BU19" s="291"/>
      <c r="BV19" s="291"/>
      <c r="BW19" s="291"/>
      <c r="BX19" s="291"/>
      <c r="BY19" s="291"/>
      <c r="BZ19" s="291"/>
      <c r="CA19" s="291"/>
      <c r="CB19" s="36"/>
      <c r="CC19" s="291"/>
      <c r="CD19" s="291"/>
      <c r="CE19" s="291"/>
      <c r="CF19" s="291"/>
      <c r="CG19" s="291"/>
      <c r="CH19" s="291"/>
      <c r="CI19" s="291"/>
      <c r="CJ19" s="291"/>
      <c r="CK19" s="291"/>
      <c r="CL19" s="291"/>
      <c r="CM19" s="291"/>
      <c r="CN19" s="36"/>
      <c r="CO19" s="291"/>
      <c r="CP19" s="291"/>
      <c r="CQ19" s="291"/>
      <c r="CR19" s="291"/>
      <c r="CS19" s="291"/>
      <c r="CT19" s="291"/>
      <c r="CU19" s="291"/>
      <c r="CV19" s="291"/>
      <c r="CW19" s="291"/>
      <c r="CX19" s="291"/>
      <c r="CY19" s="291"/>
      <c r="CZ19" s="36"/>
      <c r="DA19" s="291"/>
      <c r="DB19" s="291"/>
      <c r="DC19" s="291"/>
      <c r="DD19" s="291"/>
      <c r="DE19" s="291"/>
      <c r="DF19" s="291"/>
      <c r="DG19" s="291"/>
      <c r="DH19" s="291"/>
      <c r="DI19" s="291"/>
      <c r="DJ19" s="291"/>
      <c r="DK19" s="291"/>
      <c r="DL19" s="36"/>
      <c r="DM19" s="291"/>
      <c r="DN19" s="291"/>
      <c r="DO19" s="291"/>
      <c r="DP19" s="291"/>
      <c r="DQ19" s="291"/>
      <c r="DR19" s="291"/>
      <c r="DS19" s="291"/>
      <c r="DT19" s="291"/>
      <c r="DU19" s="291"/>
      <c r="DV19" s="291"/>
      <c r="DW19" s="291"/>
      <c r="DX19" s="36"/>
      <c r="DY19" s="291"/>
      <c r="DZ19" s="291"/>
      <c r="EA19" s="291"/>
      <c r="EB19" s="291"/>
      <c r="EC19" s="291"/>
      <c r="ED19" s="291"/>
      <c r="EE19" s="291"/>
      <c r="EF19" s="291"/>
      <c r="EG19" s="291"/>
      <c r="EH19" s="291"/>
      <c r="EI19" s="291"/>
      <c r="EJ19" s="36"/>
      <c r="EK19" s="291"/>
      <c r="EL19" s="291"/>
      <c r="EM19" s="291"/>
      <c r="EN19" s="291"/>
      <c r="EO19" s="291"/>
      <c r="EP19" s="291"/>
      <c r="EQ19" s="291"/>
      <c r="ER19" s="291"/>
      <c r="ES19" s="291"/>
      <c r="ET19" s="291"/>
      <c r="EU19" s="291"/>
      <c r="EV19" s="36"/>
      <c r="EW19" s="291"/>
      <c r="EX19" s="291"/>
      <c r="EY19" s="291"/>
      <c r="EZ19" s="291"/>
      <c r="FA19" s="291"/>
      <c r="FB19" s="291"/>
      <c r="FC19" s="291"/>
      <c r="FD19" s="291"/>
      <c r="FE19" s="291"/>
      <c r="FF19" s="291"/>
      <c r="FG19" s="291"/>
      <c r="FH19" s="36"/>
      <c r="FI19" s="291"/>
      <c r="FJ19" s="291"/>
      <c r="FK19" s="291"/>
      <c r="FL19" s="291"/>
      <c r="FM19" s="291"/>
      <c r="FN19" s="291"/>
      <c r="FO19" s="291"/>
      <c r="FP19" s="291"/>
      <c r="FQ19" s="291"/>
      <c r="FR19" s="291"/>
      <c r="FS19" s="291"/>
      <c r="FT19" s="36"/>
      <c r="FU19" s="291"/>
      <c r="FV19" s="291"/>
      <c r="FW19" s="291"/>
      <c r="FX19" s="291"/>
      <c r="FY19" s="291"/>
      <c r="FZ19" s="291"/>
      <c r="GA19" s="291"/>
      <c r="GB19" s="291"/>
      <c r="GC19" s="291"/>
      <c r="GD19" s="291"/>
      <c r="GE19" s="291"/>
      <c r="GF19" s="36"/>
      <c r="GG19" s="291"/>
      <c r="GH19" s="291"/>
      <c r="GI19" s="291"/>
      <c r="GJ19" s="291"/>
      <c r="GK19" s="291"/>
      <c r="GL19" s="291"/>
      <c r="GM19" s="291"/>
      <c r="GN19" s="291"/>
      <c r="GO19" s="291"/>
      <c r="GP19" s="291"/>
      <c r="GQ19" s="291"/>
      <c r="GR19" s="36"/>
      <c r="GS19" s="291"/>
      <c r="GT19" s="291"/>
      <c r="GU19" s="291"/>
      <c r="GV19" s="291"/>
      <c r="GW19" s="291"/>
      <c r="GX19" s="291"/>
      <c r="GY19" s="291"/>
      <c r="GZ19" s="291"/>
      <c r="HA19" s="291"/>
      <c r="HB19" s="291"/>
      <c r="HC19" s="291"/>
      <c r="HD19" s="36"/>
      <c r="HE19" s="291"/>
      <c r="HF19" s="291"/>
      <c r="HG19" s="291"/>
      <c r="HH19" s="291"/>
      <c r="HI19" s="291"/>
      <c r="HJ19" s="291"/>
      <c r="HK19" s="291"/>
      <c r="HL19" s="291"/>
      <c r="HM19" s="291"/>
      <c r="HN19" s="291"/>
      <c r="HO19" s="291"/>
      <c r="HP19" s="36"/>
      <c r="HQ19" s="291"/>
      <c r="HR19" s="291"/>
      <c r="HS19" s="291"/>
      <c r="HT19" s="291"/>
      <c r="HU19" s="291"/>
      <c r="HV19" s="291"/>
      <c r="HW19" s="291"/>
      <c r="HX19" s="291"/>
      <c r="HY19" s="291"/>
      <c r="HZ19" s="291"/>
      <c r="IA19" s="291"/>
      <c r="IB19" s="36"/>
      <c r="IC19" s="291"/>
      <c r="ID19" s="291"/>
      <c r="IE19" s="291"/>
      <c r="IF19" s="291"/>
      <c r="IG19" s="291"/>
      <c r="IH19" s="291"/>
      <c r="II19" s="291"/>
      <c r="IJ19" s="291"/>
      <c r="IK19" s="291"/>
      <c r="IL19" s="291"/>
      <c r="IM19" s="291"/>
      <c r="IN19" s="36"/>
      <c r="IO19" s="291"/>
      <c r="IP19" s="291"/>
      <c r="IQ19" s="291"/>
    </row>
    <row r="20" spans="1:251" s="5" customFormat="1" ht="14.25">
      <c r="A20" s="34" t="s">
        <v>18</v>
      </c>
      <c r="B20" s="295">
        <v>3.6</v>
      </c>
      <c r="C20" s="295">
        <v>1.5</v>
      </c>
      <c r="D20" s="295">
        <v>-3.8</v>
      </c>
      <c r="E20" s="295">
        <v>1.9</v>
      </c>
      <c r="F20" s="295">
        <v>3.1</v>
      </c>
      <c r="G20" s="296">
        <v>0.9</v>
      </c>
      <c r="H20" s="295">
        <v>0.2</v>
      </c>
      <c r="I20" s="295">
        <v>0.3</v>
      </c>
      <c r="J20" s="295">
        <v>0.8</v>
      </c>
      <c r="K20" s="295">
        <v>1.5</v>
      </c>
      <c r="L20" s="291"/>
      <c r="M20" s="291"/>
      <c r="N20" s="291"/>
      <c r="O20" s="291"/>
      <c r="P20" s="291"/>
      <c r="Q20" s="291"/>
      <c r="R20" s="291"/>
      <c r="S20" s="291"/>
      <c r="T20" s="35"/>
      <c r="U20" s="291"/>
      <c r="V20" s="291"/>
      <c r="W20" s="291"/>
      <c r="X20" s="291"/>
      <c r="Y20" s="291"/>
      <c r="Z20" s="291"/>
      <c r="AA20" s="291"/>
      <c r="AB20" s="291"/>
      <c r="AC20" s="291"/>
      <c r="AD20" s="291"/>
      <c r="AE20" s="291"/>
      <c r="AF20" s="35"/>
      <c r="AG20" s="291"/>
      <c r="AH20" s="291"/>
      <c r="AI20" s="291"/>
      <c r="AJ20" s="291"/>
      <c r="AK20" s="291"/>
      <c r="AL20" s="291"/>
      <c r="AM20" s="291"/>
      <c r="AN20" s="291"/>
      <c r="AO20" s="291"/>
      <c r="AP20" s="291"/>
      <c r="AQ20" s="291"/>
      <c r="AR20" s="35"/>
      <c r="AS20" s="291"/>
      <c r="AT20" s="291"/>
      <c r="AU20" s="291"/>
      <c r="AV20" s="291"/>
      <c r="AW20" s="291"/>
      <c r="AX20" s="291"/>
      <c r="AY20" s="291"/>
      <c r="AZ20" s="291"/>
      <c r="BA20" s="291"/>
      <c r="BB20" s="291"/>
      <c r="BC20" s="291"/>
      <c r="BD20" s="35"/>
      <c r="BE20" s="291"/>
      <c r="BF20" s="291"/>
      <c r="BG20" s="291"/>
      <c r="BH20" s="291"/>
      <c r="BI20" s="291"/>
      <c r="BJ20" s="291"/>
      <c r="BK20" s="291"/>
      <c r="BL20" s="291"/>
      <c r="BM20" s="291"/>
      <c r="BN20" s="291"/>
      <c r="BO20" s="291"/>
      <c r="BP20" s="35"/>
      <c r="BQ20" s="291"/>
      <c r="BR20" s="291"/>
      <c r="BS20" s="291"/>
      <c r="BT20" s="291"/>
      <c r="BU20" s="291"/>
      <c r="BV20" s="291"/>
      <c r="BW20" s="291"/>
      <c r="BX20" s="291"/>
      <c r="BY20" s="291"/>
      <c r="BZ20" s="291"/>
      <c r="CA20" s="291"/>
      <c r="CB20" s="35"/>
      <c r="CC20" s="291"/>
      <c r="CD20" s="291"/>
      <c r="CE20" s="291"/>
      <c r="CF20" s="291"/>
      <c r="CG20" s="291"/>
      <c r="CH20" s="291"/>
      <c r="CI20" s="291"/>
      <c r="CJ20" s="291"/>
      <c r="CK20" s="291"/>
      <c r="CL20" s="291"/>
      <c r="CM20" s="291"/>
      <c r="CN20" s="35"/>
      <c r="CO20" s="291"/>
      <c r="CP20" s="291"/>
      <c r="CQ20" s="291"/>
      <c r="CR20" s="291"/>
      <c r="CS20" s="291"/>
      <c r="CT20" s="291"/>
      <c r="CU20" s="291"/>
      <c r="CV20" s="291"/>
      <c r="CW20" s="291"/>
      <c r="CX20" s="291"/>
      <c r="CY20" s="291"/>
      <c r="CZ20" s="35"/>
      <c r="DA20" s="291"/>
      <c r="DB20" s="291"/>
      <c r="DC20" s="291"/>
      <c r="DD20" s="291"/>
      <c r="DE20" s="291"/>
      <c r="DF20" s="291"/>
      <c r="DG20" s="291"/>
      <c r="DH20" s="291"/>
      <c r="DI20" s="291"/>
      <c r="DJ20" s="291"/>
      <c r="DK20" s="291"/>
      <c r="DL20" s="35"/>
      <c r="DM20" s="291"/>
      <c r="DN20" s="291"/>
      <c r="DO20" s="291"/>
      <c r="DP20" s="291"/>
      <c r="DQ20" s="291"/>
      <c r="DR20" s="291"/>
      <c r="DS20" s="291"/>
      <c r="DT20" s="291"/>
      <c r="DU20" s="291"/>
      <c r="DV20" s="291"/>
      <c r="DW20" s="291"/>
      <c r="DX20" s="35"/>
      <c r="DY20" s="291"/>
      <c r="DZ20" s="291"/>
      <c r="EA20" s="291"/>
      <c r="EB20" s="291"/>
      <c r="EC20" s="291"/>
      <c r="ED20" s="291"/>
      <c r="EE20" s="291"/>
      <c r="EF20" s="291"/>
      <c r="EG20" s="291"/>
      <c r="EH20" s="291"/>
      <c r="EI20" s="291"/>
      <c r="EJ20" s="35"/>
      <c r="EK20" s="291"/>
      <c r="EL20" s="291"/>
      <c r="EM20" s="291"/>
      <c r="EN20" s="291"/>
      <c r="EO20" s="291"/>
      <c r="EP20" s="291"/>
      <c r="EQ20" s="291"/>
      <c r="ER20" s="291"/>
      <c r="ES20" s="291"/>
      <c r="ET20" s="291"/>
      <c r="EU20" s="291"/>
      <c r="EV20" s="35"/>
      <c r="EW20" s="291"/>
      <c r="EX20" s="291"/>
      <c r="EY20" s="291"/>
      <c r="EZ20" s="291"/>
      <c r="FA20" s="291"/>
      <c r="FB20" s="291"/>
      <c r="FC20" s="291"/>
      <c r="FD20" s="291"/>
      <c r="FE20" s="291"/>
      <c r="FF20" s="291"/>
      <c r="FG20" s="291"/>
      <c r="FH20" s="35"/>
      <c r="FI20" s="291"/>
      <c r="FJ20" s="291"/>
      <c r="FK20" s="291"/>
      <c r="FL20" s="291"/>
      <c r="FM20" s="291"/>
      <c r="FN20" s="291"/>
      <c r="FO20" s="291"/>
      <c r="FP20" s="291"/>
      <c r="FQ20" s="291"/>
      <c r="FR20" s="291"/>
      <c r="FS20" s="291"/>
      <c r="FT20" s="35"/>
      <c r="FU20" s="291"/>
      <c r="FV20" s="291"/>
      <c r="FW20" s="291"/>
      <c r="FX20" s="291"/>
      <c r="FY20" s="291"/>
      <c r="FZ20" s="291"/>
      <c r="GA20" s="291"/>
      <c r="GB20" s="291"/>
      <c r="GC20" s="291"/>
      <c r="GD20" s="291"/>
      <c r="GE20" s="291"/>
      <c r="GF20" s="35"/>
      <c r="GG20" s="291"/>
      <c r="GH20" s="291"/>
      <c r="GI20" s="291"/>
      <c r="GJ20" s="291"/>
      <c r="GK20" s="291"/>
      <c r="GL20" s="291"/>
      <c r="GM20" s="291"/>
      <c r="GN20" s="291"/>
      <c r="GO20" s="291"/>
      <c r="GP20" s="291"/>
      <c r="GQ20" s="291"/>
      <c r="GR20" s="35"/>
      <c r="GS20" s="291"/>
      <c r="GT20" s="291"/>
      <c r="GU20" s="291"/>
      <c r="GV20" s="291"/>
      <c r="GW20" s="291"/>
      <c r="GX20" s="291"/>
      <c r="GY20" s="291"/>
      <c r="GZ20" s="291"/>
      <c r="HA20" s="291"/>
      <c r="HB20" s="291"/>
      <c r="HC20" s="291"/>
      <c r="HD20" s="35"/>
      <c r="HE20" s="291"/>
      <c r="HF20" s="291"/>
      <c r="HG20" s="291"/>
      <c r="HH20" s="291"/>
      <c r="HI20" s="291"/>
      <c r="HJ20" s="291"/>
      <c r="HK20" s="291"/>
      <c r="HL20" s="291"/>
      <c r="HM20" s="291"/>
      <c r="HN20" s="291"/>
      <c r="HO20" s="291"/>
      <c r="HP20" s="35"/>
      <c r="HQ20" s="291"/>
      <c r="HR20" s="291"/>
      <c r="HS20" s="291"/>
      <c r="HT20" s="291"/>
      <c r="HU20" s="291"/>
      <c r="HV20" s="291"/>
      <c r="HW20" s="291"/>
      <c r="HX20" s="291"/>
      <c r="HY20" s="291"/>
      <c r="HZ20" s="291"/>
      <c r="IA20" s="291"/>
      <c r="IB20" s="35"/>
      <c r="IC20" s="291"/>
      <c r="ID20" s="291"/>
      <c r="IE20" s="291"/>
      <c r="IF20" s="291"/>
      <c r="IG20" s="291"/>
      <c r="IH20" s="291"/>
      <c r="II20" s="291"/>
      <c r="IJ20" s="291"/>
      <c r="IK20" s="291"/>
      <c r="IL20" s="291"/>
      <c r="IM20" s="291"/>
      <c r="IN20" s="35"/>
      <c r="IO20" s="291"/>
      <c r="IP20" s="291"/>
      <c r="IQ20" s="291"/>
    </row>
    <row r="21" spans="1:251" s="5" customFormat="1" ht="14.25">
      <c r="A21" s="34" t="s">
        <v>1018</v>
      </c>
      <c r="B21" s="295">
        <v>3.6</v>
      </c>
      <c r="C21" s="295">
        <v>1.5</v>
      </c>
      <c r="D21" s="295">
        <v>-3.8</v>
      </c>
      <c r="E21" s="295">
        <v>1.9</v>
      </c>
      <c r="F21" s="295">
        <v>3.1</v>
      </c>
      <c r="G21" s="296">
        <v>0.9</v>
      </c>
      <c r="H21" s="295">
        <v>0.2</v>
      </c>
      <c r="I21" s="295">
        <v>0.4</v>
      </c>
      <c r="J21" s="295">
        <v>0.7</v>
      </c>
      <c r="K21" s="295">
        <v>1.4</v>
      </c>
      <c r="L21" s="291"/>
      <c r="M21" s="291"/>
      <c r="N21" s="291"/>
      <c r="O21" s="292"/>
      <c r="P21" s="292"/>
      <c r="Q21" s="292"/>
      <c r="R21" s="292"/>
      <c r="S21" s="292"/>
      <c r="T21" s="35"/>
      <c r="U21" s="291"/>
      <c r="V21" s="291"/>
      <c r="W21" s="291"/>
      <c r="X21" s="291"/>
      <c r="Y21" s="291"/>
      <c r="Z21" s="291"/>
      <c r="AA21" s="292"/>
      <c r="AB21" s="292"/>
      <c r="AC21" s="292"/>
      <c r="AD21" s="292"/>
      <c r="AE21" s="292"/>
      <c r="AF21" s="35"/>
      <c r="AG21" s="291"/>
      <c r="AH21" s="291"/>
      <c r="AI21" s="291"/>
      <c r="AJ21" s="291"/>
      <c r="AK21" s="291"/>
      <c r="AL21" s="291"/>
      <c r="AM21" s="292"/>
      <c r="AN21" s="292"/>
      <c r="AO21" s="292"/>
      <c r="AP21" s="292"/>
      <c r="AQ21" s="292"/>
      <c r="AR21" s="35"/>
      <c r="AS21" s="291"/>
      <c r="AT21" s="291"/>
      <c r="AU21" s="291"/>
      <c r="AV21" s="291"/>
      <c r="AW21" s="291"/>
      <c r="AX21" s="291"/>
      <c r="AY21" s="292"/>
      <c r="AZ21" s="292"/>
      <c r="BA21" s="292"/>
      <c r="BB21" s="292"/>
      <c r="BC21" s="292"/>
      <c r="BD21" s="35"/>
      <c r="BE21" s="291"/>
      <c r="BF21" s="291"/>
      <c r="BG21" s="291"/>
      <c r="BH21" s="291"/>
      <c r="BI21" s="291"/>
      <c r="BJ21" s="291"/>
      <c r="BK21" s="292"/>
      <c r="BL21" s="292"/>
      <c r="BM21" s="292"/>
      <c r="BN21" s="292"/>
      <c r="BO21" s="292"/>
      <c r="BP21" s="35"/>
      <c r="BQ21" s="291"/>
      <c r="BR21" s="291"/>
      <c r="BS21" s="291"/>
      <c r="BT21" s="291"/>
      <c r="BU21" s="291"/>
      <c r="BV21" s="291"/>
      <c r="BW21" s="292"/>
      <c r="BX21" s="292"/>
      <c r="BY21" s="292"/>
      <c r="BZ21" s="292"/>
      <c r="CA21" s="292"/>
      <c r="CB21" s="35"/>
      <c r="CC21" s="291"/>
      <c r="CD21" s="291"/>
      <c r="CE21" s="291"/>
      <c r="CF21" s="291"/>
      <c r="CG21" s="291"/>
      <c r="CH21" s="291"/>
      <c r="CI21" s="292"/>
      <c r="CJ21" s="292"/>
      <c r="CK21" s="292"/>
      <c r="CL21" s="292"/>
      <c r="CM21" s="292"/>
      <c r="CN21" s="35"/>
      <c r="CO21" s="291"/>
      <c r="CP21" s="291"/>
      <c r="CQ21" s="291"/>
      <c r="CR21" s="291"/>
      <c r="CS21" s="291"/>
      <c r="CT21" s="291"/>
      <c r="CU21" s="292"/>
      <c r="CV21" s="292"/>
      <c r="CW21" s="292"/>
      <c r="CX21" s="292"/>
      <c r="CY21" s="292"/>
      <c r="CZ21" s="35"/>
      <c r="DA21" s="291"/>
      <c r="DB21" s="291"/>
      <c r="DC21" s="291"/>
      <c r="DD21" s="291"/>
      <c r="DE21" s="291"/>
      <c r="DF21" s="291"/>
      <c r="DG21" s="292"/>
      <c r="DH21" s="292"/>
      <c r="DI21" s="292"/>
      <c r="DJ21" s="292"/>
      <c r="DK21" s="292"/>
      <c r="DL21" s="35"/>
      <c r="DM21" s="291"/>
      <c r="DN21" s="291"/>
      <c r="DO21" s="291"/>
      <c r="DP21" s="291"/>
      <c r="DQ21" s="291"/>
      <c r="DR21" s="291"/>
      <c r="DS21" s="292"/>
      <c r="DT21" s="292"/>
      <c r="DU21" s="292"/>
      <c r="DV21" s="292"/>
      <c r="DW21" s="292"/>
      <c r="DX21" s="35"/>
      <c r="DY21" s="291"/>
      <c r="DZ21" s="291"/>
      <c r="EA21" s="291"/>
      <c r="EB21" s="291"/>
      <c r="EC21" s="291"/>
      <c r="ED21" s="291"/>
      <c r="EE21" s="292"/>
      <c r="EF21" s="292"/>
      <c r="EG21" s="292"/>
      <c r="EH21" s="292"/>
      <c r="EI21" s="292"/>
      <c r="EJ21" s="35"/>
      <c r="EK21" s="291"/>
      <c r="EL21" s="291"/>
      <c r="EM21" s="291"/>
      <c r="EN21" s="291"/>
      <c r="EO21" s="291"/>
      <c r="EP21" s="291"/>
      <c r="EQ21" s="292"/>
      <c r="ER21" s="292"/>
      <c r="ES21" s="292"/>
      <c r="ET21" s="292"/>
      <c r="EU21" s="292"/>
      <c r="EV21" s="35"/>
      <c r="EW21" s="291"/>
      <c r="EX21" s="291"/>
      <c r="EY21" s="291"/>
      <c r="EZ21" s="291"/>
      <c r="FA21" s="291"/>
      <c r="FB21" s="291"/>
      <c r="FC21" s="292"/>
      <c r="FD21" s="292"/>
      <c r="FE21" s="292"/>
      <c r="FF21" s="292"/>
      <c r="FG21" s="292"/>
      <c r="FH21" s="35"/>
      <c r="FI21" s="291"/>
      <c r="FJ21" s="291"/>
      <c r="FK21" s="291"/>
      <c r="FL21" s="291"/>
      <c r="FM21" s="291"/>
      <c r="FN21" s="291"/>
      <c r="FO21" s="292"/>
      <c r="FP21" s="292"/>
      <c r="FQ21" s="292"/>
      <c r="FR21" s="292"/>
      <c r="FS21" s="292"/>
      <c r="FT21" s="35"/>
      <c r="FU21" s="291"/>
      <c r="FV21" s="291"/>
      <c r="FW21" s="291"/>
      <c r="FX21" s="291"/>
      <c r="FY21" s="291"/>
      <c r="FZ21" s="291"/>
      <c r="GA21" s="292"/>
      <c r="GB21" s="292"/>
      <c r="GC21" s="292"/>
      <c r="GD21" s="292"/>
      <c r="GE21" s="292"/>
      <c r="GF21" s="35"/>
      <c r="GG21" s="291"/>
      <c r="GH21" s="291"/>
      <c r="GI21" s="291"/>
      <c r="GJ21" s="291"/>
      <c r="GK21" s="291"/>
      <c r="GL21" s="291"/>
      <c r="GM21" s="292"/>
      <c r="GN21" s="292"/>
      <c r="GO21" s="292"/>
      <c r="GP21" s="292"/>
      <c r="GQ21" s="292"/>
      <c r="GR21" s="35"/>
      <c r="GS21" s="291"/>
      <c r="GT21" s="291"/>
      <c r="GU21" s="291"/>
      <c r="GV21" s="291"/>
      <c r="GW21" s="291"/>
      <c r="GX21" s="291"/>
      <c r="GY21" s="292"/>
      <c r="GZ21" s="292"/>
      <c r="HA21" s="292"/>
      <c r="HB21" s="292"/>
      <c r="HC21" s="292"/>
      <c r="HD21" s="35"/>
      <c r="HE21" s="291"/>
      <c r="HF21" s="291"/>
      <c r="HG21" s="291"/>
      <c r="HH21" s="291"/>
      <c r="HI21" s="291"/>
      <c r="HJ21" s="291"/>
      <c r="HK21" s="292"/>
      <c r="HL21" s="292"/>
      <c r="HM21" s="292"/>
      <c r="HN21" s="292"/>
      <c r="HO21" s="292"/>
      <c r="HP21" s="35"/>
      <c r="HQ21" s="291"/>
      <c r="HR21" s="291"/>
      <c r="HS21" s="291"/>
      <c r="HT21" s="291"/>
      <c r="HU21" s="291"/>
      <c r="HV21" s="291"/>
      <c r="HW21" s="292"/>
      <c r="HX21" s="292"/>
      <c r="HY21" s="292"/>
      <c r="HZ21" s="292"/>
      <c r="IA21" s="292"/>
      <c r="IB21" s="35"/>
      <c r="IC21" s="291"/>
      <c r="ID21" s="291"/>
      <c r="IE21" s="291"/>
      <c r="IF21" s="291"/>
      <c r="IG21" s="291"/>
      <c r="IH21" s="291"/>
      <c r="II21" s="292"/>
      <c r="IJ21" s="292"/>
      <c r="IK21" s="292"/>
      <c r="IL21" s="292"/>
      <c r="IM21" s="292"/>
      <c r="IN21" s="35"/>
      <c r="IO21" s="291"/>
      <c r="IP21" s="291"/>
      <c r="IQ21" s="291"/>
    </row>
    <row r="22" spans="1:251" s="5" customFormat="1" ht="14.25">
      <c r="A22" s="35" t="s">
        <v>17</v>
      </c>
      <c r="B22" s="291">
        <v>2.5</v>
      </c>
      <c r="C22" s="291">
        <v>0.2</v>
      </c>
      <c r="D22" s="291">
        <v>-3</v>
      </c>
      <c r="E22" s="291">
        <v>1.9</v>
      </c>
      <c r="F22" s="291">
        <v>-1.8</v>
      </c>
      <c r="G22" s="397">
        <v>-4</v>
      </c>
      <c r="H22" s="291">
        <v>-1.6</v>
      </c>
      <c r="I22" s="291">
        <v>0.9</v>
      </c>
      <c r="J22" s="291">
        <v>1.6</v>
      </c>
      <c r="K22" s="291">
        <v>1.8</v>
      </c>
      <c r="L22" s="291"/>
      <c r="M22" s="291"/>
      <c r="N22" s="291"/>
      <c r="O22" s="292"/>
      <c r="P22" s="292"/>
      <c r="Q22" s="292"/>
      <c r="R22" s="292"/>
      <c r="S22" s="292"/>
      <c r="T22" s="35"/>
      <c r="U22" s="291"/>
      <c r="V22" s="291"/>
      <c r="W22" s="291"/>
      <c r="X22" s="291"/>
      <c r="Y22" s="291"/>
      <c r="Z22" s="291"/>
      <c r="AA22" s="292"/>
      <c r="AB22" s="292"/>
      <c r="AC22" s="292"/>
      <c r="AD22" s="292"/>
      <c r="AE22" s="292"/>
      <c r="AF22" s="35"/>
      <c r="AG22" s="291"/>
      <c r="AH22" s="291"/>
      <c r="AI22" s="291"/>
      <c r="AJ22" s="291"/>
      <c r="AK22" s="291"/>
      <c r="AL22" s="291"/>
      <c r="AM22" s="292"/>
      <c r="AN22" s="292"/>
      <c r="AO22" s="292"/>
      <c r="AP22" s="292"/>
      <c r="AQ22" s="292"/>
      <c r="AR22" s="35"/>
      <c r="AS22" s="291"/>
      <c r="AT22" s="291"/>
      <c r="AU22" s="291"/>
      <c r="AV22" s="291"/>
      <c r="AW22" s="291"/>
      <c r="AX22" s="291"/>
      <c r="AY22" s="292"/>
      <c r="AZ22" s="292"/>
      <c r="BA22" s="292"/>
      <c r="BB22" s="292"/>
      <c r="BC22" s="292"/>
      <c r="BD22" s="35"/>
      <c r="BE22" s="291"/>
      <c r="BF22" s="291"/>
      <c r="BG22" s="291"/>
      <c r="BH22" s="291"/>
      <c r="BI22" s="291"/>
      <c r="BJ22" s="291"/>
      <c r="BK22" s="292"/>
      <c r="BL22" s="292"/>
      <c r="BM22" s="292"/>
      <c r="BN22" s="292"/>
      <c r="BO22" s="292"/>
      <c r="BP22" s="35"/>
      <c r="BQ22" s="291"/>
      <c r="BR22" s="291"/>
      <c r="BS22" s="291"/>
      <c r="BT22" s="291"/>
      <c r="BU22" s="291"/>
      <c r="BV22" s="291"/>
      <c r="BW22" s="292"/>
      <c r="BX22" s="292"/>
      <c r="BY22" s="292"/>
      <c r="BZ22" s="292"/>
      <c r="CA22" s="292"/>
      <c r="CB22" s="35"/>
      <c r="CC22" s="291"/>
      <c r="CD22" s="291"/>
      <c r="CE22" s="291"/>
      <c r="CF22" s="291"/>
      <c r="CG22" s="291"/>
      <c r="CH22" s="291"/>
      <c r="CI22" s="292"/>
      <c r="CJ22" s="292"/>
      <c r="CK22" s="292"/>
      <c r="CL22" s="292"/>
      <c r="CM22" s="292"/>
      <c r="CN22" s="35"/>
      <c r="CO22" s="291"/>
      <c r="CP22" s="291"/>
      <c r="CQ22" s="291"/>
      <c r="CR22" s="291"/>
      <c r="CS22" s="291"/>
      <c r="CT22" s="291"/>
      <c r="CU22" s="292"/>
      <c r="CV22" s="292"/>
      <c r="CW22" s="292"/>
      <c r="CX22" s="292"/>
      <c r="CY22" s="292"/>
      <c r="CZ22" s="35"/>
      <c r="DA22" s="291"/>
      <c r="DB22" s="291"/>
      <c r="DC22" s="291"/>
      <c r="DD22" s="291"/>
      <c r="DE22" s="291"/>
      <c r="DF22" s="291"/>
      <c r="DG22" s="292"/>
      <c r="DH22" s="292"/>
      <c r="DI22" s="292"/>
      <c r="DJ22" s="292"/>
      <c r="DK22" s="292"/>
      <c r="DL22" s="35"/>
      <c r="DM22" s="291"/>
      <c r="DN22" s="291"/>
      <c r="DO22" s="291"/>
      <c r="DP22" s="291"/>
      <c r="DQ22" s="291"/>
      <c r="DR22" s="291"/>
      <c r="DS22" s="292"/>
      <c r="DT22" s="292"/>
      <c r="DU22" s="292"/>
      <c r="DV22" s="292"/>
      <c r="DW22" s="292"/>
      <c r="DX22" s="35"/>
      <c r="DY22" s="291"/>
      <c r="DZ22" s="291"/>
      <c r="EA22" s="291"/>
      <c r="EB22" s="291"/>
      <c r="EC22" s="291"/>
      <c r="ED22" s="291"/>
      <c r="EE22" s="292"/>
      <c r="EF22" s="292"/>
      <c r="EG22" s="292"/>
      <c r="EH22" s="292"/>
      <c r="EI22" s="292"/>
      <c r="EJ22" s="35"/>
      <c r="EK22" s="291"/>
      <c r="EL22" s="291"/>
      <c r="EM22" s="291"/>
      <c r="EN22" s="291"/>
      <c r="EO22" s="291"/>
      <c r="EP22" s="291"/>
      <c r="EQ22" s="292"/>
      <c r="ER22" s="292"/>
      <c r="ES22" s="292"/>
      <c r="ET22" s="292"/>
      <c r="EU22" s="292"/>
      <c r="EV22" s="35"/>
      <c r="EW22" s="291"/>
      <c r="EX22" s="291"/>
      <c r="EY22" s="291"/>
      <c r="EZ22" s="291"/>
      <c r="FA22" s="291"/>
      <c r="FB22" s="291"/>
      <c r="FC22" s="292"/>
      <c r="FD22" s="292"/>
      <c r="FE22" s="292"/>
      <c r="FF22" s="292"/>
      <c r="FG22" s="292"/>
      <c r="FH22" s="35"/>
      <c r="FI22" s="291"/>
      <c r="FJ22" s="291"/>
      <c r="FK22" s="291"/>
      <c r="FL22" s="291"/>
      <c r="FM22" s="291"/>
      <c r="FN22" s="291"/>
      <c r="FO22" s="292"/>
      <c r="FP22" s="292"/>
      <c r="FQ22" s="292"/>
      <c r="FR22" s="292"/>
      <c r="FS22" s="292"/>
      <c r="FT22" s="35"/>
      <c r="FU22" s="291"/>
      <c r="FV22" s="291"/>
      <c r="FW22" s="291"/>
      <c r="FX22" s="291"/>
      <c r="FY22" s="291"/>
      <c r="FZ22" s="291"/>
      <c r="GA22" s="292"/>
      <c r="GB22" s="292"/>
      <c r="GC22" s="292"/>
      <c r="GD22" s="292"/>
      <c r="GE22" s="292"/>
      <c r="GF22" s="35"/>
      <c r="GG22" s="291"/>
      <c r="GH22" s="291"/>
      <c r="GI22" s="291"/>
      <c r="GJ22" s="291"/>
      <c r="GK22" s="291"/>
      <c r="GL22" s="291"/>
      <c r="GM22" s="292"/>
      <c r="GN22" s="292"/>
      <c r="GO22" s="292"/>
      <c r="GP22" s="292"/>
      <c r="GQ22" s="292"/>
      <c r="GR22" s="35"/>
      <c r="GS22" s="291"/>
      <c r="GT22" s="291"/>
      <c r="GU22" s="291"/>
      <c r="GV22" s="291"/>
      <c r="GW22" s="291"/>
      <c r="GX22" s="291"/>
      <c r="GY22" s="292"/>
      <c r="GZ22" s="292"/>
      <c r="HA22" s="292"/>
      <c r="HB22" s="292"/>
      <c r="HC22" s="292"/>
      <c r="HD22" s="35"/>
      <c r="HE22" s="291"/>
      <c r="HF22" s="291"/>
      <c r="HG22" s="291"/>
      <c r="HH22" s="291"/>
      <c r="HI22" s="291"/>
      <c r="HJ22" s="291"/>
      <c r="HK22" s="292"/>
      <c r="HL22" s="292"/>
      <c r="HM22" s="292"/>
      <c r="HN22" s="292"/>
      <c r="HO22" s="292"/>
      <c r="HP22" s="35"/>
      <c r="HQ22" s="291"/>
      <c r="HR22" s="291"/>
      <c r="HS22" s="291"/>
      <c r="HT22" s="291"/>
      <c r="HU22" s="291"/>
      <c r="HV22" s="291"/>
      <c r="HW22" s="292"/>
      <c r="HX22" s="292"/>
      <c r="HY22" s="292"/>
      <c r="HZ22" s="292"/>
      <c r="IA22" s="292"/>
      <c r="IB22" s="35"/>
      <c r="IC22" s="291"/>
      <c r="ID22" s="291"/>
      <c r="IE22" s="291"/>
      <c r="IF22" s="291"/>
      <c r="IG22" s="291"/>
      <c r="IH22" s="291"/>
      <c r="II22" s="292"/>
      <c r="IJ22" s="292"/>
      <c r="IK22" s="292"/>
      <c r="IL22" s="292"/>
      <c r="IM22" s="292"/>
      <c r="IN22" s="35"/>
      <c r="IO22" s="291"/>
      <c r="IP22" s="291"/>
      <c r="IQ22" s="291"/>
    </row>
    <row r="23" spans="1:251" s="5" customFormat="1" ht="14.25">
      <c r="A23" s="35" t="s">
        <v>16</v>
      </c>
      <c r="B23" s="291">
        <v>6.9</v>
      </c>
      <c r="C23" s="291">
        <v>3.3</v>
      </c>
      <c r="D23" s="291">
        <v>-7.8</v>
      </c>
      <c r="E23" s="291">
        <v>1.2</v>
      </c>
      <c r="F23" s="291">
        <v>0.6</v>
      </c>
      <c r="G23" s="397">
        <v>-2.6</v>
      </c>
      <c r="H23" s="291">
        <v>-1</v>
      </c>
      <c r="I23" s="291">
        <v>2.6</v>
      </c>
      <c r="J23" s="291">
        <v>2.2999999999999998</v>
      </c>
      <c r="K23" s="291">
        <v>2.1</v>
      </c>
      <c r="L23" s="292"/>
      <c r="M23" s="291"/>
      <c r="N23" s="291"/>
      <c r="O23" s="292"/>
      <c r="P23" s="292"/>
      <c r="Q23" s="292"/>
      <c r="R23" s="292"/>
      <c r="S23" s="292"/>
      <c r="T23" s="35"/>
      <c r="U23" s="291"/>
      <c r="V23" s="291"/>
      <c r="W23" s="291"/>
      <c r="X23" s="292"/>
      <c r="Y23" s="291"/>
      <c r="Z23" s="291"/>
      <c r="AA23" s="292"/>
      <c r="AB23" s="292"/>
      <c r="AC23" s="292"/>
      <c r="AD23" s="292"/>
      <c r="AE23" s="292"/>
      <c r="AF23" s="35"/>
      <c r="AG23" s="291"/>
      <c r="AH23" s="291"/>
      <c r="AI23" s="291"/>
      <c r="AJ23" s="292"/>
      <c r="AK23" s="291"/>
      <c r="AL23" s="291"/>
      <c r="AM23" s="292"/>
      <c r="AN23" s="292"/>
      <c r="AO23" s="292"/>
      <c r="AP23" s="292"/>
      <c r="AQ23" s="292"/>
      <c r="AR23" s="35"/>
      <c r="AS23" s="291"/>
      <c r="AT23" s="291"/>
      <c r="AU23" s="291"/>
      <c r="AV23" s="292"/>
      <c r="AW23" s="291"/>
      <c r="AX23" s="291"/>
      <c r="AY23" s="292"/>
      <c r="AZ23" s="292"/>
      <c r="BA23" s="292"/>
      <c r="BB23" s="292"/>
      <c r="BC23" s="292"/>
      <c r="BD23" s="35"/>
      <c r="BE23" s="291"/>
      <c r="BF23" s="291"/>
      <c r="BG23" s="291"/>
      <c r="BH23" s="292"/>
      <c r="BI23" s="291"/>
      <c r="BJ23" s="291"/>
      <c r="BK23" s="292"/>
      <c r="BL23" s="292"/>
      <c r="BM23" s="292"/>
      <c r="BN23" s="292"/>
      <c r="BO23" s="292"/>
      <c r="BP23" s="35"/>
      <c r="BQ23" s="291"/>
      <c r="BR23" s="291"/>
      <c r="BS23" s="291"/>
      <c r="BT23" s="292"/>
      <c r="BU23" s="291"/>
      <c r="BV23" s="291"/>
      <c r="BW23" s="292"/>
      <c r="BX23" s="292"/>
      <c r="BY23" s="292"/>
      <c r="BZ23" s="292"/>
      <c r="CA23" s="292"/>
      <c r="CB23" s="35"/>
      <c r="CC23" s="291"/>
      <c r="CD23" s="291"/>
      <c r="CE23" s="291"/>
      <c r="CF23" s="292"/>
      <c r="CG23" s="291"/>
      <c r="CH23" s="291"/>
      <c r="CI23" s="292"/>
      <c r="CJ23" s="292"/>
      <c r="CK23" s="292"/>
      <c r="CL23" s="292"/>
      <c r="CM23" s="292"/>
      <c r="CN23" s="35"/>
      <c r="CO23" s="291"/>
      <c r="CP23" s="291"/>
      <c r="CQ23" s="291"/>
      <c r="CR23" s="292"/>
      <c r="CS23" s="291"/>
      <c r="CT23" s="291"/>
      <c r="CU23" s="292"/>
      <c r="CV23" s="292"/>
      <c r="CW23" s="292"/>
      <c r="CX23" s="292"/>
      <c r="CY23" s="292"/>
      <c r="CZ23" s="35"/>
      <c r="DA23" s="291"/>
      <c r="DB23" s="291"/>
      <c r="DC23" s="291"/>
      <c r="DD23" s="292"/>
      <c r="DE23" s="291"/>
      <c r="DF23" s="291"/>
      <c r="DG23" s="292"/>
      <c r="DH23" s="292"/>
      <c r="DI23" s="292"/>
      <c r="DJ23" s="292"/>
      <c r="DK23" s="292"/>
      <c r="DL23" s="35"/>
      <c r="DM23" s="291"/>
      <c r="DN23" s="291"/>
      <c r="DO23" s="291"/>
      <c r="DP23" s="292"/>
      <c r="DQ23" s="291"/>
      <c r="DR23" s="291"/>
      <c r="DS23" s="292"/>
      <c r="DT23" s="292"/>
      <c r="DU23" s="292"/>
      <c r="DV23" s="292"/>
      <c r="DW23" s="292"/>
      <c r="DX23" s="35"/>
      <c r="DY23" s="291"/>
      <c r="DZ23" s="291"/>
      <c r="EA23" s="291"/>
      <c r="EB23" s="292"/>
      <c r="EC23" s="291"/>
      <c r="ED23" s="291"/>
      <c r="EE23" s="292"/>
      <c r="EF23" s="292"/>
      <c r="EG23" s="292"/>
      <c r="EH23" s="292"/>
      <c r="EI23" s="292"/>
      <c r="EJ23" s="35"/>
      <c r="EK23" s="291"/>
      <c r="EL23" s="291"/>
      <c r="EM23" s="291"/>
      <c r="EN23" s="292"/>
      <c r="EO23" s="291"/>
      <c r="EP23" s="291"/>
      <c r="EQ23" s="292"/>
      <c r="ER23" s="292"/>
      <c r="ES23" s="292"/>
      <c r="ET23" s="292"/>
      <c r="EU23" s="292"/>
      <c r="EV23" s="35"/>
      <c r="EW23" s="291"/>
      <c r="EX23" s="291"/>
      <c r="EY23" s="291"/>
      <c r="EZ23" s="292"/>
      <c r="FA23" s="291"/>
      <c r="FB23" s="291"/>
      <c r="FC23" s="292"/>
      <c r="FD23" s="292"/>
      <c r="FE23" s="292"/>
      <c r="FF23" s="292"/>
      <c r="FG23" s="292"/>
      <c r="FH23" s="35"/>
      <c r="FI23" s="291"/>
      <c r="FJ23" s="291"/>
      <c r="FK23" s="291"/>
      <c r="FL23" s="292"/>
      <c r="FM23" s="291"/>
      <c r="FN23" s="291"/>
      <c r="FO23" s="292"/>
      <c r="FP23" s="292"/>
      <c r="FQ23" s="292"/>
      <c r="FR23" s="292"/>
      <c r="FS23" s="292"/>
      <c r="FT23" s="35"/>
      <c r="FU23" s="291"/>
      <c r="FV23" s="291"/>
      <c r="FW23" s="291"/>
      <c r="FX23" s="292"/>
      <c r="FY23" s="291"/>
      <c r="FZ23" s="291"/>
      <c r="GA23" s="292"/>
      <c r="GB23" s="292"/>
      <c r="GC23" s="292"/>
      <c r="GD23" s="292"/>
      <c r="GE23" s="292"/>
      <c r="GF23" s="35"/>
      <c r="GG23" s="291"/>
      <c r="GH23" s="291"/>
      <c r="GI23" s="291"/>
      <c r="GJ23" s="292"/>
      <c r="GK23" s="291"/>
      <c r="GL23" s="291"/>
      <c r="GM23" s="292"/>
      <c r="GN23" s="292"/>
      <c r="GO23" s="292"/>
      <c r="GP23" s="292"/>
      <c r="GQ23" s="292"/>
      <c r="GR23" s="35"/>
      <c r="GS23" s="291"/>
      <c r="GT23" s="291"/>
      <c r="GU23" s="291"/>
      <c r="GV23" s="292"/>
      <c r="GW23" s="291"/>
      <c r="GX23" s="291"/>
      <c r="GY23" s="292"/>
      <c r="GZ23" s="292"/>
      <c r="HA23" s="292"/>
      <c r="HB23" s="292"/>
      <c r="HC23" s="292"/>
      <c r="HD23" s="35"/>
      <c r="HE23" s="291"/>
      <c r="HF23" s="291"/>
      <c r="HG23" s="291"/>
      <c r="HH23" s="292"/>
      <c r="HI23" s="291"/>
      <c r="HJ23" s="291"/>
      <c r="HK23" s="292"/>
      <c r="HL23" s="292"/>
      <c r="HM23" s="292"/>
      <c r="HN23" s="292"/>
      <c r="HO23" s="292"/>
      <c r="HP23" s="35"/>
      <c r="HQ23" s="291"/>
      <c r="HR23" s="291"/>
      <c r="HS23" s="291"/>
      <c r="HT23" s="292"/>
      <c r="HU23" s="291"/>
      <c r="HV23" s="291"/>
      <c r="HW23" s="292"/>
      <c r="HX23" s="292"/>
      <c r="HY23" s="292"/>
      <c r="HZ23" s="292"/>
      <c r="IA23" s="292"/>
      <c r="IB23" s="35"/>
      <c r="IC23" s="291"/>
      <c r="ID23" s="291"/>
      <c r="IE23" s="291"/>
      <c r="IF23" s="292"/>
      <c r="IG23" s="291"/>
      <c r="IH23" s="291"/>
      <c r="II23" s="292"/>
      <c r="IJ23" s="292"/>
      <c r="IK23" s="292"/>
      <c r="IL23" s="292"/>
      <c r="IM23" s="292"/>
      <c r="IN23" s="35"/>
      <c r="IO23" s="291"/>
      <c r="IP23" s="291"/>
      <c r="IQ23" s="291"/>
    </row>
    <row r="24" spans="1:251" s="38" customFormat="1" ht="14.25">
      <c r="A24" s="35" t="s">
        <v>15</v>
      </c>
      <c r="B24" s="291">
        <v>10.7</v>
      </c>
      <c r="C24" s="291">
        <v>5.4</v>
      </c>
      <c r="D24" s="291">
        <v>-5.3</v>
      </c>
      <c r="E24" s="291">
        <v>4.8</v>
      </c>
      <c r="F24" s="291">
        <v>2.7</v>
      </c>
      <c r="G24" s="397">
        <v>1.6</v>
      </c>
      <c r="H24" s="291">
        <v>1.4</v>
      </c>
      <c r="I24" s="291">
        <v>2.4</v>
      </c>
      <c r="J24" s="291">
        <v>3</v>
      </c>
      <c r="K24" s="291">
        <v>3.4</v>
      </c>
      <c r="L24" s="295"/>
      <c r="M24" s="295"/>
      <c r="N24" s="295"/>
      <c r="O24" s="295"/>
      <c r="P24" s="295"/>
      <c r="Q24" s="295"/>
      <c r="R24" s="295"/>
      <c r="S24" s="295"/>
      <c r="T24" s="39"/>
      <c r="U24" s="295"/>
      <c r="V24" s="295"/>
      <c r="W24" s="295"/>
      <c r="X24" s="295"/>
      <c r="Y24" s="295"/>
      <c r="Z24" s="295"/>
      <c r="AA24" s="295"/>
      <c r="AB24" s="295"/>
      <c r="AC24" s="295"/>
      <c r="AD24" s="295"/>
      <c r="AE24" s="295"/>
      <c r="AF24" s="39"/>
      <c r="AG24" s="295"/>
      <c r="AH24" s="295"/>
      <c r="AI24" s="295"/>
      <c r="AJ24" s="295"/>
      <c r="AK24" s="295"/>
      <c r="AL24" s="295"/>
      <c r="AM24" s="295"/>
      <c r="AN24" s="295"/>
      <c r="AO24" s="295"/>
      <c r="AP24" s="295"/>
      <c r="AQ24" s="295"/>
      <c r="AR24" s="39"/>
      <c r="AS24" s="295"/>
      <c r="AT24" s="295"/>
      <c r="AU24" s="295"/>
      <c r="AV24" s="295"/>
      <c r="AW24" s="295"/>
      <c r="AX24" s="295"/>
      <c r="AY24" s="295"/>
      <c r="AZ24" s="295"/>
      <c r="BA24" s="295"/>
      <c r="BB24" s="295"/>
      <c r="BC24" s="295"/>
      <c r="BD24" s="39"/>
      <c r="BE24" s="295"/>
      <c r="BF24" s="295"/>
      <c r="BG24" s="295"/>
      <c r="BH24" s="295"/>
      <c r="BI24" s="295"/>
      <c r="BJ24" s="295"/>
      <c r="BK24" s="295"/>
      <c r="BL24" s="295"/>
      <c r="BM24" s="295"/>
      <c r="BN24" s="295"/>
      <c r="BO24" s="295"/>
      <c r="BP24" s="39"/>
      <c r="BQ24" s="295"/>
      <c r="BR24" s="295"/>
      <c r="BS24" s="295"/>
      <c r="BT24" s="295"/>
      <c r="BU24" s="295"/>
      <c r="BV24" s="295"/>
      <c r="BW24" s="295"/>
      <c r="BX24" s="295"/>
      <c r="BY24" s="295"/>
      <c r="BZ24" s="295"/>
      <c r="CA24" s="295"/>
      <c r="CB24" s="39"/>
      <c r="CC24" s="295"/>
      <c r="CD24" s="295"/>
      <c r="CE24" s="295"/>
      <c r="CF24" s="295"/>
      <c r="CG24" s="295"/>
      <c r="CH24" s="295"/>
      <c r="CI24" s="295"/>
      <c r="CJ24" s="295"/>
      <c r="CK24" s="295"/>
      <c r="CL24" s="295"/>
      <c r="CM24" s="295"/>
      <c r="CN24" s="39"/>
      <c r="CO24" s="295"/>
      <c r="CP24" s="295"/>
      <c r="CQ24" s="295"/>
      <c r="CR24" s="295"/>
      <c r="CS24" s="295"/>
      <c r="CT24" s="295"/>
      <c r="CU24" s="295"/>
      <c r="CV24" s="295"/>
      <c r="CW24" s="295"/>
      <c r="CX24" s="295"/>
      <c r="CY24" s="295"/>
      <c r="CZ24" s="39"/>
      <c r="DA24" s="295"/>
      <c r="DB24" s="295"/>
      <c r="DC24" s="295"/>
      <c r="DD24" s="295"/>
      <c r="DE24" s="295"/>
      <c r="DF24" s="295"/>
      <c r="DG24" s="295"/>
      <c r="DH24" s="295"/>
      <c r="DI24" s="295"/>
      <c r="DJ24" s="295"/>
      <c r="DK24" s="295"/>
      <c r="DL24" s="39"/>
      <c r="DM24" s="295"/>
      <c r="DN24" s="295"/>
      <c r="DO24" s="295"/>
      <c r="DP24" s="295"/>
      <c r="DQ24" s="295"/>
      <c r="DR24" s="295"/>
      <c r="DS24" s="295"/>
      <c r="DT24" s="295"/>
      <c r="DU24" s="295"/>
      <c r="DV24" s="295"/>
      <c r="DW24" s="295"/>
      <c r="DX24" s="39"/>
      <c r="DY24" s="295"/>
      <c r="DZ24" s="295"/>
      <c r="EA24" s="295"/>
      <c r="EB24" s="295"/>
      <c r="EC24" s="295"/>
      <c r="ED24" s="295"/>
      <c r="EE24" s="295"/>
      <c r="EF24" s="295"/>
      <c r="EG24" s="295"/>
      <c r="EH24" s="295"/>
      <c r="EI24" s="295"/>
      <c r="EJ24" s="39"/>
      <c r="EK24" s="295"/>
      <c r="EL24" s="295"/>
      <c r="EM24" s="295"/>
      <c r="EN24" s="295"/>
      <c r="EO24" s="295"/>
      <c r="EP24" s="295"/>
      <c r="EQ24" s="295"/>
      <c r="ER24" s="295"/>
      <c r="ES24" s="295"/>
      <c r="ET24" s="295"/>
      <c r="EU24" s="295"/>
      <c r="EV24" s="39"/>
      <c r="EW24" s="295"/>
      <c r="EX24" s="295"/>
      <c r="EY24" s="295"/>
      <c r="EZ24" s="295"/>
      <c r="FA24" s="295"/>
      <c r="FB24" s="295"/>
      <c r="FC24" s="295"/>
      <c r="FD24" s="295"/>
      <c r="FE24" s="295"/>
      <c r="FF24" s="295"/>
      <c r="FG24" s="295"/>
      <c r="FH24" s="39"/>
      <c r="FI24" s="295"/>
      <c r="FJ24" s="295"/>
      <c r="FK24" s="295"/>
      <c r="FL24" s="295"/>
      <c r="FM24" s="295"/>
      <c r="FN24" s="295"/>
      <c r="FO24" s="295"/>
      <c r="FP24" s="295"/>
      <c r="FQ24" s="295"/>
      <c r="FR24" s="295"/>
      <c r="FS24" s="295"/>
      <c r="FT24" s="39"/>
      <c r="FU24" s="295"/>
      <c r="FV24" s="295"/>
      <c r="FW24" s="295"/>
      <c r="FX24" s="295"/>
      <c r="FY24" s="295"/>
      <c r="FZ24" s="295"/>
      <c r="GA24" s="295"/>
      <c r="GB24" s="295"/>
      <c r="GC24" s="295"/>
      <c r="GD24" s="295"/>
      <c r="GE24" s="295"/>
      <c r="GF24" s="39"/>
      <c r="GG24" s="295"/>
      <c r="GH24" s="295"/>
      <c r="GI24" s="295"/>
      <c r="GJ24" s="295"/>
      <c r="GK24" s="295"/>
      <c r="GL24" s="295"/>
      <c r="GM24" s="295"/>
      <c r="GN24" s="295"/>
      <c r="GO24" s="295"/>
      <c r="GP24" s="295"/>
      <c r="GQ24" s="295"/>
      <c r="GR24" s="39"/>
      <c r="GS24" s="295"/>
      <c r="GT24" s="295"/>
      <c r="GU24" s="295"/>
      <c r="GV24" s="295"/>
      <c r="GW24" s="295"/>
      <c r="GX24" s="295"/>
      <c r="GY24" s="295"/>
      <c r="GZ24" s="295"/>
      <c r="HA24" s="295"/>
      <c r="HB24" s="295"/>
      <c r="HC24" s="295"/>
      <c r="HD24" s="39"/>
      <c r="HE24" s="295"/>
      <c r="HF24" s="295"/>
      <c r="HG24" s="295"/>
      <c r="HH24" s="295"/>
      <c r="HI24" s="295"/>
      <c r="HJ24" s="295"/>
      <c r="HK24" s="295"/>
      <c r="HL24" s="295"/>
      <c r="HM24" s="295"/>
      <c r="HN24" s="295"/>
      <c r="HO24" s="295"/>
      <c r="HP24" s="39"/>
      <c r="HQ24" s="295"/>
      <c r="HR24" s="295"/>
      <c r="HS24" s="295"/>
      <c r="HT24" s="295"/>
      <c r="HU24" s="295"/>
      <c r="HV24" s="295"/>
      <c r="HW24" s="295"/>
      <c r="HX24" s="295"/>
      <c r="HY24" s="295"/>
      <c r="HZ24" s="295"/>
      <c r="IA24" s="295"/>
      <c r="IB24" s="39"/>
      <c r="IC24" s="295"/>
      <c r="ID24" s="295"/>
      <c r="IE24" s="295"/>
      <c r="IF24" s="295"/>
      <c r="IG24" s="295"/>
      <c r="IH24" s="295"/>
      <c r="II24" s="295"/>
      <c r="IJ24" s="295"/>
      <c r="IK24" s="295"/>
      <c r="IL24" s="295"/>
      <c r="IM24" s="295"/>
      <c r="IN24" s="39"/>
      <c r="IO24" s="295"/>
      <c r="IP24" s="295"/>
      <c r="IQ24" s="295"/>
    </row>
    <row r="25" spans="1:251" s="5" customFormat="1" ht="14.25">
      <c r="A25" s="35" t="s">
        <v>14</v>
      </c>
      <c r="B25" s="291">
        <v>5.2</v>
      </c>
      <c r="C25" s="291">
        <v>0.7</v>
      </c>
      <c r="D25" s="291">
        <v>-8.3000000000000007</v>
      </c>
      <c r="E25" s="291">
        <v>3</v>
      </c>
      <c r="F25" s="291">
        <v>2.6</v>
      </c>
      <c r="G25" s="397">
        <v>-1.4</v>
      </c>
      <c r="H25" s="291">
        <v>-1.3</v>
      </c>
      <c r="I25" s="291">
        <v>-0.1</v>
      </c>
      <c r="J25" s="291">
        <v>0.3</v>
      </c>
      <c r="K25" s="291">
        <v>1</v>
      </c>
      <c r="L25" s="291"/>
      <c r="M25" s="291"/>
      <c r="N25" s="291"/>
      <c r="O25" s="291"/>
      <c r="P25" s="291"/>
      <c r="Q25" s="291"/>
      <c r="R25" s="291"/>
      <c r="S25" s="291"/>
      <c r="T25" s="35"/>
      <c r="U25" s="291"/>
      <c r="V25" s="291"/>
      <c r="W25" s="291"/>
      <c r="X25" s="291"/>
      <c r="Y25" s="291"/>
      <c r="Z25" s="291"/>
      <c r="AA25" s="291"/>
      <c r="AB25" s="291"/>
      <c r="AC25" s="291"/>
      <c r="AD25" s="291"/>
      <c r="AE25" s="291"/>
      <c r="AF25" s="35"/>
      <c r="AG25" s="291"/>
      <c r="AH25" s="291"/>
      <c r="AI25" s="291"/>
      <c r="AJ25" s="291"/>
      <c r="AK25" s="291"/>
      <c r="AL25" s="291"/>
      <c r="AM25" s="291"/>
      <c r="AN25" s="291"/>
      <c r="AO25" s="291"/>
      <c r="AP25" s="291"/>
      <c r="AQ25" s="291"/>
      <c r="AR25" s="35"/>
      <c r="AS25" s="291"/>
      <c r="AT25" s="291"/>
      <c r="AU25" s="291"/>
      <c r="AV25" s="291"/>
      <c r="AW25" s="291"/>
      <c r="AX25" s="291"/>
      <c r="AY25" s="291"/>
      <c r="AZ25" s="291"/>
      <c r="BA25" s="291"/>
      <c r="BB25" s="291"/>
      <c r="BC25" s="291"/>
      <c r="BD25" s="35"/>
      <c r="BE25" s="291"/>
      <c r="BF25" s="291"/>
      <c r="BG25" s="291"/>
      <c r="BH25" s="291"/>
      <c r="BI25" s="291"/>
      <c r="BJ25" s="291"/>
      <c r="BK25" s="291"/>
      <c r="BL25" s="291"/>
      <c r="BM25" s="291"/>
      <c r="BN25" s="291"/>
      <c r="BO25" s="291"/>
      <c r="BP25" s="35"/>
      <c r="BQ25" s="291"/>
      <c r="BR25" s="291"/>
      <c r="BS25" s="291"/>
      <c r="BT25" s="291"/>
      <c r="BU25" s="291"/>
      <c r="BV25" s="291"/>
      <c r="BW25" s="291"/>
      <c r="BX25" s="291"/>
      <c r="BY25" s="291"/>
      <c r="BZ25" s="291"/>
      <c r="CA25" s="291"/>
      <c r="CB25" s="35"/>
      <c r="CC25" s="291"/>
      <c r="CD25" s="291"/>
      <c r="CE25" s="291"/>
      <c r="CF25" s="291"/>
      <c r="CG25" s="291"/>
      <c r="CH25" s="291"/>
      <c r="CI25" s="291"/>
      <c r="CJ25" s="291"/>
      <c r="CK25" s="291"/>
      <c r="CL25" s="291"/>
      <c r="CM25" s="291"/>
      <c r="CN25" s="35"/>
      <c r="CO25" s="291"/>
      <c r="CP25" s="291"/>
      <c r="CQ25" s="291"/>
      <c r="CR25" s="291"/>
      <c r="CS25" s="291"/>
      <c r="CT25" s="291"/>
      <c r="CU25" s="291"/>
      <c r="CV25" s="291"/>
      <c r="CW25" s="291"/>
      <c r="CX25" s="291"/>
      <c r="CY25" s="291"/>
      <c r="CZ25" s="35"/>
      <c r="DA25" s="291"/>
      <c r="DB25" s="291"/>
      <c r="DC25" s="291"/>
      <c r="DD25" s="291"/>
      <c r="DE25" s="291"/>
      <c r="DF25" s="291"/>
      <c r="DG25" s="291"/>
      <c r="DH25" s="291"/>
      <c r="DI25" s="291"/>
      <c r="DJ25" s="291"/>
      <c r="DK25" s="291"/>
      <c r="DL25" s="35"/>
      <c r="DM25" s="291"/>
      <c r="DN25" s="291"/>
      <c r="DO25" s="291"/>
      <c r="DP25" s="291"/>
      <c r="DQ25" s="291"/>
      <c r="DR25" s="291"/>
      <c r="DS25" s="291"/>
      <c r="DT25" s="291"/>
      <c r="DU25" s="291"/>
      <c r="DV25" s="291"/>
      <c r="DW25" s="291"/>
      <c r="DX25" s="35"/>
      <c r="DY25" s="291"/>
      <c r="DZ25" s="291"/>
      <c r="EA25" s="291"/>
      <c r="EB25" s="291"/>
      <c r="EC25" s="291"/>
      <c r="ED25" s="291"/>
      <c r="EE25" s="291"/>
      <c r="EF25" s="291"/>
      <c r="EG25" s="291"/>
      <c r="EH25" s="291"/>
      <c r="EI25" s="291"/>
      <c r="EJ25" s="35"/>
      <c r="EK25" s="291"/>
      <c r="EL25" s="291"/>
      <c r="EM25" s="291"/>
      <c r="EN25" s="291"/>
      <c r="EO25" s="291"/>
      <c r="EP25" s="291"/>
      <c r="EQ25" s="291"/>
      <c r="ER25" s="291"/>
      <c r="ES25" s="291"/>
      <c r="ET25" s="291"/>
      <c r="EU25" s="291"/>
      <c r="EV25" s="35"/>
      <c r="EW25" s="291"/>
      <c r="EX25" s="291"/>
      <c r="EY25" s="291"/>
      <c r="EZ25" s="291"/>
      <c r="FA25" s="291"/>
      <c r="FB25" s="291"/>
      <c r="FC25" s="291"/>
      <c r="FD25" s="291"/>
      <c r="FE25" s="291"/>
      <c r="FF25" s="291"/>
      <c r="FG25" s="291"/>
      <c r="FH25" s="35"/>
      <c r="FI25" s="291"/>
      <c r="FJ25" s="291"/>
      <c r="FK25" s="291"/>
      <c r="FL25" s="291"/>
      <c r="FM25" s="291"/>
      <c r="FN25" s="291"/>
      <c r="FO25" s="291"/>
      <c r="FP25" s="291"/>
      <c r="FQ25" s="291"/>
      <c r="FR25" s="291"/>
      <c r="FS25" s="291"/>
      <c r="FT25" s="35"/>
      <c r="FU25" s="291"/>
      <c r="FV25" s="291"/>
      <c r="FW25" s="291"/>
      <c r="FX25" s="291"/>
      <c r="FY25" s="291"/>
      <c r="FZ25" s="291"/>
      <c r="GA25" s="291"/>
      <c r="GB25" s="291"/>
      <c r="GC25" s="291"/>
      <c r="GD25" s="291"/>
      <c r="GE25" s="291"/>
      <c r="GF25" s="35"/>
      <c r="GG25" s="291"/>
      <c r="GH25" s="291"/>
      <c r="GI25" s="291"/>
      <c r="GJ25" s="291"/>
      <c r="GK25" s="291"/>
      <c r="GL25" s="291"/>
      <c r="GM25" s="291"/>
      <c r="GN25" s="291"/>
      <c r="GO25" s="291"/>
      <c r="GP25" s="291"/>
      <c r="GQ25" s="291"/>
      <c r="GR25" s="35"/>
      <c r="GS25" s="291"/>
      <c r="GT25" s="291"/>
      <c r="GU25" s="291"/>
      <c r="GV25" s="291"/>
      <c r="GW25" s="291"/>
      <c r="GX25" s="291"/>
      <c r="GY25" s="291"/>
      <c r="GZ25" s="291"/>
      <c r="HA25" s="291"/>
      <c r="HB25" s="291"/>
      <c r="HC25" s="291"/>
      <c r="HD25" s="35"/>
      <c r="HE25" s="291"/>
      <c r="HF25" s="291"/>
      <c r="HG25" s="291"/>
      <c r="HH25" s="291"/>
      <c r="HI25" s="291"/>
      <c r="HJ25" s="291"/>
      <c r="HK25" s="291"/>
      <c r="HL25" s="291"/>
      <c r="HM25" s="291"/>
      <c r="HN25" s="291"/>
      <c r="HO25" s="291"/>
      <c r="HP25" s="35"/>
      <c r="HQ25" s="291"/>
      <c r="HR25" s="291"/>
      <c r="HS25" s="291"/>
      <c r="HT25" s="291"/>
      <c r="HU25" s="291"/>
      <c r="HV25" s="291"/>
      <c r="HW25" s="291"/>
      <c r="HX25" s="291"/>
      <c r="HY25" s="291"/>
      <c r="HZ25" s="291"/>
      <c r="IA25" s="291"/>
      <c r="IB25" s="35"/>
      <c r="IC25" s="291"/>
      <c r="ID25" s="291"/>
      <c r="IE25" s="291"/>
      <c r="IF25" s="291"/>
      <c r="IG25" s="291"/>
      <c r="IH25" s="291"/>
      <c r="II25" s="291"/>
      <c r="IJ25" s="291"/>
      <c r="IK25" s="291"/>
      <c r="IL25" s="291"/>
      <c r="IM25" s="291"/>
      <c r="IN25" s="35"/>
      <c r="IO25" s="291"/>
      <c r="IP25" s="291"/>
      <c r="IQ25" s="291"/>
    </row>
    <row r="26" spans="1:251" s="5" customFormat="1" ht="14.25">
      <c r="A26" s="34" t="s">
        <v>12</v>
      </c>
      <c r="B26" s="295">
        <v>3.1</v>
      </c>
      <c r="C26" s="295">
        <v>0.5</v>
      </c>
      <c r="D26" s="295">
        <v>-4.5</v>
      </c>
      <c r="E26" s="295">
        <v>2</v>
      </c>
      <c r="F26" s="295">
        <v>1.6</v>
      </c>
      <c r="G26" s="296">
        <v>-0.8</v>
      </c>
      <c r="H26" s="295">
        <v>-0.4</v>
      </c>
      <c r="I26" s="295">
        <v>0.9</v>
      </c>
      <c r="J26" s="295">
        <v>1.5</v>
      </c>
      <c r="K26" s="295">
        <v>1.9</v>
      </c>
      <c r="L26" s="291"/>
      <c r="M26" s="291"/>
      <c r="N26" s="291"/>
      <c r="O26" s="292"/>
      <c r="P26" s="292"/>
      <c r="Q26" s="292"/>
      <c r="R26" s="292"/>
      <c r="S26" s="292"/>
      <c r="T26" s="35"/>
      <c r="U26" s="291"/>
      <c r="V26" s="291"/>
      <c r="W26" s="291"/>
      <c r="X26" s="291"/>
      <c r="Y26" s="291"/>
      <c r="Z26" s="291"/>
      <c r="AA26" s="292"/>
      <c r="AB26" s="292"/>
      <c r="AC26" s="292"/>
      <c r="AD26" s="292"/>
      <c r="AE26" s="292"/>
      <c r="AF26" s="35"/>
      <c r="AG26" s="291"/>
      <c r="AH26" s="291"/>
      <c r="AI26" s="291"/>
      <c r="AJ26" s="291"/>
      <c r="AK26" s="291"/>
      <c r="AL26" s="291"/>
      <c r="AM26" s="292"/>
      <c r="AN26" s="292"/>
      <c r="AO26" s="292"/>
      <c r="AP26" s="292"/>
      <c r="AQ26" s="292"/>
      <c r="AR26" s="35"/>
      <c r="AS26" s="291"/>
      <c r="AT26" s="291"/>
      <c r="AU26" s="291"/>
      <c r="AV26" s="291"/>
      <c r="AW26" s="291"/>
      <c r="AX26" s="291"/>
      <c r="AY26" s="292"/>
      <c r="AZ26" s="292"/>
      <c r="BA26" s="292"/>
      <c r="BB26" s="292"/>
      <c r="BC26" s="292"/>
      <c r="BD26" s="35"/>
      <c r="BE26" s="291"/>
      <c r="BF26" s="291"/>
      <c r="BG26" s="291"/>
      <c r="BH26" s="291"/>
      <c r="BI26" s="291"/>
      <c r="BJ26" s="291"/>
      <c r="BK26" s="292"/>
      <c r="BL26" s="292"/>
      <c r="BM26" s="292"/>
      <c r="BN26" s="292"/>
      <c r="BO26" s="292"/>
      <c r="BP26" s="35"/>
      <c r="BQ26" s="291"/>
      <c r="BR26" s="291"/>
      <c r="BS26" s="291"/>
      <c r="BT26" s="291"/>
      <c r="BU26" s="291"/>
      <c r="BV26" s="291"/>
      <c r="BW26" s="292"/>
      <c r="BX26" s="292"/>
      <c r="BY26" s="292"/>
      <c r="BZ26" s="292"/>
      <c r="CA26" s="292"/>
      <c r="CB26" s="35"/>
      <c r="CC26" s="291"/>
      <c r="CD26" s="291"/>
      <c r="CE26" s="291"/>
      <c r="CF26" s="291"/>
      <c r="CG26" s="291"/>
      <c r="CH26" s="291"/>
      <c r="CI26" s="292"/>
      <c r="CJ26" s="292"/>
      <c r="CK26" s="292"/>
      <c r="CL26" s="292"/>
      <c r="CM26" s="292"/>
      <c r="CN26" s="35"/>
      <c r="CO26" s="291"/>
      <c r="CP26" s="291"/>
      <c r="CQ26" s="291"/>
      <c r="CR26" s="291"/>
      <c r="CS26" s="291"/>
      <c r="CT26" s="291"/>
      <c r="CU26" s="292"/>
      <c r="CV26" s="292"/>
      <c r="CW26" s="292"/>
      <c r="CX26" s="292"/>
      <c r="CY26" s="292"/>
      <c r="CZ26" s="35"/>
      <c r="DA26" s="291"/>
      <c r="DB26" s="291"/>
      <c r="DC26" s="291"/>
      <c r="DD26" s="291"/>
      <c r="DE26" s="291"/>
      <c r="DF26" s="291"/>
      <c r="DG26" s="292"/>
      <c r="DH26" s="292"/>
      <c r="DI26" s="292"/>
      <c r="DJ26" s="292"/>
      <c r="DK26" s="292"/>
      <c r="DL26" s="35"/>
      <c r="DM26" s="291"/>
      <c r="DN26" s="291"/>
      <c r="DO26" s="291"/>
      <c r="DP26" s="291"/>
      <c r="DQ26" s="291"/>
      <c r="DR26" s="291"/>
      <c r="DS26" s="292"/>
      <c r="DT26" s="292"/>
      <c r="DU26" s="292"/>
      <c r="DV26" s="292"/>
      <c r="DW26" s="292"/>
      <c r="DX26" s="35"/>
      <c r="DY26" s="291"/>
      <c r="DZ26" s="291"/>
      <c r="EA26" s="291"/>
      <c r="EB26" s="291"/>
      <c r="EC26" s="291"/>
      <c r="ED26" s="291"/>
      <c r="EE26" s="292"/>
      <c r="EF26" s="292"/>
      <c r="EG26" s="292"/>
      <c r="EH26" s="292"/>
      <c r="EI26" s="292"/>
      <c r="EJ26" s="35"/>
      <c r="EK26" s="291"/>
      <c r="EL26" s="291"/>
      <c r="EM26" s="291"/>
      <c r="EN26" s="291"/>
      <c r="EO26" s="291"/>
      <c r="EP26" s="291"/>
      <c r="EQ26" s="292"/>
      <c r="ER26" s="292"/>
      <c r="ES26" s="292"/>
      <c r="ET26" s="292"/>
      <c r="EU26" s="292"/>
      <c r="EV26" s="35"/>
      <c r="EW26" s="291"/>
      <c r="EX26" s="291"/>
      <c r="EY26" s="291"/>
      <c r="EZ26" s="291"/>
      <c r="FA26" s="291"/>
      <c r="FB26" s="291"/>
      <c r="FC26" s="292"/>
      <c r="FD26" s="292"/>
      <c r="FE26" s="292"/>
      <c r="FF26" s="292"/>
      <c r="FG26" s="292"/>
      <c r="FH26" s="35"/>
      <c r="FI26" s="291"/>
      <c r="FJ26" s="291"/>
      <c r="FK26" s="291"/>
      <c r="FL26" s="291"/>
      <c r="FM26" s="291"/>
      <c r="FN26" s="291"/>
      <c r="FO26" s="292"/>
      <c r="FP26" s="292"/>
      <c r="FQ26" s="292"/>
      <c r="FR26" s="292"/>
      <c r="FS26" s="292"/>
      <c r="FT26" s="35"/>
      <c r="FU26" s="291"/>
      <c r="FV26" s="291"/>
      <c r="FW26" s="291"/>
      <c r="FX26" s="291"/>
      <c r="FY26" s="291"/>
      <c r="FZ26" s="291"/>
      <c r="GA26" s="292"/>
      <c r="GB26" s="292"/>
      <c r="GC26" s="292"/>
      <c r="GD26" s="292"/>
      <c r="GE26" s="292"/>
      <c r="GF26" s="35"/>
      <c r="GG26" s="291"/>
      <c r="GH26" s="291"/>
      <c r="GI26" s="291"/>
      <c r="GJ26" s="291"/>
      <c r="GK26" s="291"/>
      <c r="GL26" s="291"/>
      <c r="GM26" s="292"/>
      <c r="GN26" s="292"/>
      <c r="GO26" s="292"/>
      <c r="GP26" s="292"/>
      <c r="GQ26" s="292"/>
      <c r="GR26" s="35"/>
      <c r="GS26" s="291"/>
      <c r="GT26" s="291"/>
      <c r="GU26" s="291"/>
      <c r="GV26" s="291"/>
      <c r="GW26" s="291"/>
      <c r="GX26" s="291"/>
      <c r="GY26" s="292"/>
      <c r="GZ26" s="292"/>
      <c r="HA26" s="292"/>
      <c r="HB26" s="292"/>
      <c r="HC26" s="292"/>
      <c r="HD26" s="35"/>
      <c r="HE26" s="291"/>
      <c r="HF26" s="291"/>
      <c r="HG26" s="291"/>
      <c r="HH26" s="291"/>
      <c r="HI26" s="291"/>
      <c r="HJ26" s="291"/>
      <c r="HK26" s="292"/>
      <c r="HL26" s="292"/>
      <c r="HM26" s="292"/>
      <c r="HN26" s="292"/>
      <c r="HO26" s="292"/>
      <c r="HP26" s="35"/>
      <c r="HQ26" s="291"/>
      <c r="HR26" s="291"/>
      <c r="HS26" s="291"/>
      <c r="HT26" s="291"/>
      <c r="HU26" s="291"/>
      <c r="HV26" s="291"/>
      <c r="HW26" s="292"/>
      <c r="HX26" s="292"/>
      <c r="HY26" s="292"/>
      <c r="HZ26" s="292"/>
      <c r="IA26" s="292"/>
      <c r="IB26" s="35"/>
      <c r="IC26" s="291"/>
      <c r="ID26" s="291"/>
      <c r="IE26" s="291"/>
      <c r="IF26" s="291"/>
      <c r="IG26" s="291"/>
      <c r="IH26" s="291"/>
      <c r="II26" s="292"/>
      <c r="IJ26" s="292"/>
      <c r="IK26" s="292"/>
      <c r="IL26" s="292"/>
      <c r="IM26" s="292"/>
      <c r="IN26" s="35"/>
      <c r="IO26" s="291"/>
      <c r="IP26" s="291"/>
      <c r="IQ26" s="291"/>
    </row>
    <row r="27" spans="1:251" s="5" customFormat="1" ht="14.25">
      <c r="A27" s="35" t="s">
        <v>11</v>
      </c>
      <c r="B27" s="291">
        <v>6.9</v>
      </c>
      <c r="C27" s="291">
        <v>5.8</v>
      </c>
      <c r="D27" s="291">
        <v>-5</v>
      </c>
      <c r="E27" s="291">
        <v>0.7</v>
      </c>
      <c r="F27" s="291">
        <v>2</v>
      </c>
      <c r="G27" s="397">
        <v>0.5</v>
      </c>
      <c r="H27" s="291">
        <v>1.1000000000000001</v>
      </c>
      <c r="I27" s="291">
        <v>1.7</v>
      </c>
      <c r="J27" s="291">
        <v>1</v>
      </c>
      <c r="K27" s="291">
        <v>1.3</v>
      </c>
      <c r="L27" s="291"/>
      <c r="M27" s="291"/>
      <c r="N27" s="291"/>
      <c r="O27" s="292"/>
      <c r="P27" s="292"/>
      <c r="Q27" s="292"/>
      <c r="R27" s="292"/>
      <c r="S27" s="292"/>
      <c r="T27" s="35"/>
      <c r="U27" s="291"/>
      <c r="V27" s="291"/>
      <c r="W27" s="291"/>
      <c r="X27" s="291"/>
      <c r="Y27" s="291"/>
      <c r="Z27" s="291"/>
      <c r="AA27" s="292"/>
      <c r="AB27" s="292"/>
      <c r="AC27" s="292"/>
      <c r="AD27" s="292"/>
      <c r="AE27" s="292"/>
      <c r="AF27" s="35"/>
      <c r="AG27" s="291"/>
      <c r="AH27" s="291"/>
      <c r="AI27" s="291"/>
      <c r="AJ27" s="291"/>
      <c r="AK27" s="291"/>
      <c r="AL27" s="291"/>
      <c r="AM27" s="292"/>
      <c r="AN27" s="292"/>
      <c r="AO27" s="292"/>
      <c r="AP27" s="292"/>
      <c r="AQ27" s="292"/>
      <c r="AR27" s="35"/>
      <c r="AS27" s="291"/>
      <c r="AT27" s="291"/>
      <c r="AU27" s="291"/>
      <c r="AV27" s="291"/>
      <c r="AW27" s="291"/>
      <c r="AX27" s="291"/>
      <c r="AY27" s="292"/>
      <c r="AZ27" s="292"/>
      <c r="BA27" s="292"/>
      <c r="BB27" s="292"/>
      <c r="BC27" s="292"/>
      <c r="BD27" s="35"/>
      <c r="BE27" s="291"/>
      <c r="BF27" s="291"/>
      <c r="BG27" s="291"/>
      <c r="BH27" s="291"/>
      <c r="BI27" s="291"/>
      <c r="BJ27" s="291"/>
      <c r="BK27" s="292"/>
      <c r="BL27" s="292"/>
      <c r="BM27" s="292"/>
      <c r="BN27" s="292"/>
      <c r="BO27" s="292"/>
      <c r="BP27" s="35"/>
      <c r="BQ27" s="291"/>
      <c r="BR27" s="291"/>
      <c r="BS27" s="291"/>
      <c r="BT27" s="291"/>
      <c r="BU27" s="291"/>
      <c r="BV27" s="291"/>
      <c r="BW27" s="292"/>
      <c r="BX27" s="292"/>
      <c r="BY27" s="292"/>
      <c r="BZ27" s="292"/>
      <c r="CA27" s="292"/>
      <c r="CB27" s="35"/>
      <c r="CC27" s="291"/>
      <c r="CD27" s="291"/>
      <c r="CE27" s="291"/>
      <c r="CF27" s="291"/>
      <c r="CG27" s="291"/>
      <c r="CH27" s="291"/>
      <c r="CI27" s="292"/>
      <c r="CJ27" s="292"/>
      <c r="CK27" s="292"/>
      <c r="CL27" s="292"/>
      <c r="CM27" s="292"/>
      <c r="CN27" s="35"/>
      <c r="CO27" s="291"/>
      <c r="CP27" s="291"/>
      <c r="CQ27" s="291"/>
      <c r="CR27" s="291"/>
      <c r="CS27" s="291"/>
      <c r="CT27" s="291"/>
      <c r="CU27" s="292"/>
      <c r="CV27" s="292"/>
      <c r="CW27" s="292"/>
      <c r="CX27" s="292"/>
      <c r="CY27" s="292"/>
      <c r="CZ27" s="35"/>
      <c r="DA27" s="291"/>
      <c r="DB27" s="291"/>
      <c r="DC27" s="291"/>
      <c r="DD27" s="291"/>
      <c r="DE27" s="291"/>
      <c r="DF27" s="291"/>
      <c r="DG27" s="292"/>
      <c r="DH27" s="292"/>
      <c r="DI27" s="292"/>
      <c r="DJ27" s="292"/>
      <c r="DK27" s="292"/>
      <c r="DL27" s="35"/>
      <c r="DM27" s="291"/>
      <c r="DN27" s="291"/>
      <c r="DO27" s="291"/>
      <c r="DP27" s="291"/>
      <c r="DQ27" s="291"/>
      <c r="DR27" s="291"/>
      <c r="DS27" s="292"/>
      <c r="DT27" s="292"/>
      <c r="DU27" s="292"/>
      <c r="DV27" s="292"/>
      <c r="DW27" s="292"/>
      <c r="DX27" s="35"/>
      <c r="DY27" s="291"/>
      <c r="DZ27" s="291"/>
      <c r="EA27" s="291"/>
      <c r="EB27" s="291"/>
      <c r="EC27" s="291"/>
      <c r="ED27" s="291"/>
      <c r="EE27" s="292"/>
      <c r="EF27" s="292"/>
      <c r="EG27" s="292"/>
      <c r="EH27" s="292"/>
      <c r="EI27" s="292"/>
      <c r="EJ27" s="35"/>
      <c r="EK27" s="291"/>
      <c r="EL27" s="291"/>
      <c r="EM27" s="291"/>
      <c r="EN27" s="291"/>
      <c r="EO27" s="291"/>
      <c r="EP27" s="291"/>
      <c r="EQ27" s="292"/>
      <c r="ER27" s="292"/>
      <c r="ES27" s="292"/>
      <c r="ET27" s="292"/>
      <c r="EU27" s="292"/>
      <c r="EV27" s="35"/>
      <c r="EW27" s="291"/>
      <c r="EX27" s="291"/>
      <c r="EY27" s="291"/>
      <c r="EZ27" s="291"/>
      <c r="FA27" s="291"/>
      <c r="FB27" s="291"/>
      <c r="FC27" s="292"/>
      <c r="FD27" s="292"/>
      <c r="FE27" s="292"/>
      <c r="FF27" s="292"/>
      <c r="FG27" s="292"/>
      <c r="FH27" s="35"/>
      <c r="FI27" s="291"/>
      <c r="FJ27" s="291"/>
      <c r="FK27" s="291"/>
      <c r="FL27" s="291"/>
      <c r="FM27" s="291"/>
      <c r="FN27" s="291"/>
      <c r="FO27" s="292"/>
      <c r="FP27" s="292"/>
      <c r="FQ27" s="292"/>
      <c r="FR27" s="292"/>
      <c r="FS27" s="292"/>
      <c r="FT27" s="35"/>
      <c r="FU27" s="291"/>
      <c r="FV27" s="291"/>
      <c r="FW27" s="291"/>
      <c r="FX27" s="291"/>
      <c r="FY27" s="291"/>
      <c r="FZ27" s="291"/>
      <c r="GA27" s="292"/>
      <c r="GB27" s="292"/>
      <c r="GC27" s="292"/>
      <c r="GD27" s="292"/>
      <c r="GE27" s="292"/>
      <c r="GF27" s="35"/>
      <c r="GG27" s="291"/>
      <c r="GH27" s="291"/>
      <c r="GI27" s="291"/>
      <c r="GJ27" s="291"/>
      <c r="GK27" s="291"/>
      <c r="GL27" s="291"/>
      <c r="GM27" s="292"/>
      <c r="GN27" s="292"/>
      <c r="GO27" s="292"/>
      <c r="GP27" s="292"/>
      <c r="GQ27" s="292"/>
      <c r="GR27" s="35"/>
      <c r="GS27" s="291"/>
      <c r="GT27" s="291"/>
      <c r="GU27" s="291"/>
      <c r="GV27" s="291"/>
      <c r="GW27" s="291"/>
      <c r="GX27" s="291"/>
      <c r="GY27" s="292"/>
      <c r="GZ27" s="292"/>
      <c r="HA27" s="292"/>
      <c r="HB27" s="292"/>
      <c r="HC27" s="292"/>
      <c r="HD27" s="35"/>
      <c r="HE27" s="291"/>
      <c r="HF27" s="291"/>
      <c r="HG27" s="291"/>
      <c r="HH27" s="291"/>
      <c r="HI27" s="291"/>
      <c r="HJ27" s="291"/>
      <c r="HK27" s="292"/>
      <c r="HL27" s="292"/>
      <c r="HM27" s="292"/>
      <c r="HN27" s="292"/>
      <c r="HO27" s="292"/>
      <c r="HP27" s="35"/>
      <c r="HQ27" s="291"/>
      <c r="HR27" s="291"/>
      <c r="HS27" s="291"/>
      <c r="HT27" s="291"/>
      <c r="HU27" s="291"/>
      <c r="HV27" s="291"/>
      <c r="HW27" s="292"/>
      <c r="HX27" s="292"/>
      <c r="HY27" s="292"/>
      <c r="HZ27" s="292"/>
      <c r="IA27" s="292"/>
      <c r="IB27" s="35"/>
      <c r="IC27" s="291"/>
      <c r="ID27" s="291"/>
      <c r="IE27" s="291"/>
      <c r="IF27" s="291"/>
      <c r="IG27" s="291"/>
      <c r="IH27" s="291"/>
      <c r="II27" s="292"/>
      <c r="IJ27" s="292"/>
      <c r="IK27" s="292"/>
      <c r="IL27" s="292"/>
      <c r="IM27" s="292"/>
      <c r="IN27" s="35"/>
      <c r="IO27" s="291"/>
      <c r="IP27" s="291"/>
      <c r="IQ27" s="291"/>
    </row>
    <row r="28" spans="1:251" s="5" customFormat="1" ht="14.25">
      <c r="A28" s="35" t="s">
        <v>33</v>
      </c>
      <c r="B28" s="291">
        <v>5.5</v>
      </c>
      <c r="C28" s="291">
        <v>2.7</v>
      </c>
      <c r="D28" s="291">
        <v>-4.8</v>
      </c>
      <c r="E28" s="291">
        <v>2.2999999999999998</v>
      </c>
      <c r="F28" s="291">
        <v>2</v>
      </c>
      <c r="G28" s="397">
        <v>-0.8</v>
      </c>
      <c r="H28" s="291">
        <v>-0.7</v>
      </c>
      <c r="I28" s="291">
        <v>2</v>
      </c>
      <c r="J28" s="291">
        <v>2.5</v>
      </c>
      <c r="K28" s="291">
        <v>2.6</v>
      </c>
      <c r="L28" s="292"/>
      <c r="M28" s="291"/>
      <c r="N28" s="291"/>
      <c r="O28" s="292"/>
      <c r="P28" s="292"/>
      <c r="Q28" s="292"/>
      <c r="R28" s="292"/>
      <c r="S28" s="292"/>
      <c r="T28" s="35"/>
      <c r="U28" s="291"/>
      <c r="V28" s="291"/>
      <c r="W28" s="291"/>
      <c r="X28" s="292"/>
      <c r="Y28" s="291"/>
      <c r="Z28" s="291"/>
      <c r="AA28" s="292"/>
      <c r="AB28" s="292"/>
      <c r="AC28" s="292"/>
      <c r="AD28" s="292"/>
      <c r="AE28" s="292"/>
      <c r="AF28" s="35"/>
      <c r="AG28" s="291"/>
      <c r="AH28" s="291"/>
      <c r="AI28" s="291"/>
      <c r="AJ28" s="292"/>
      <c r="AK28" s="291"/>
      <c r="AL28" s="291"/>
      <c r="AM28" s="292"/>
      <c r="AN28" s="292"/>
      <c r="AO28" s="292"/>
      <c r="AP28" s="292"/>
      <c r="AQ28" s="292"/>
      <c r="AR28" s="35"/>
      <c r="AS28" s="291"/>
      <c r="AT28" s="291"/>
      <c r="AU28" s="291"/>
      <c r="AV28" s="292"/>
      <c r="AW28" s="291"/>
      <c r="AX28" s="291"/>
      <c r="AY28" s="292"/>
      <c r="AZ28" s="292"/>
      <c r="BA28" s="292"/>
      <c r="BB28" s="292"/>
      <c r="BC28" s="292"/>
      <c r="BD28" s="35"/>
      <c r="BE28" s="291"/>
      <c r="BF28" s="291"/>
      <c r="BG28" s="291"/>
      <c r="BH28" s="292"/>
      <c r="BI28" s="291"/>
      <c r="BJ28" s="291"/>
      <c r="BK28" s="292"/>
      <c r="BL28" s="292"/>
      <c r="BM28" s="292"/>
      <c r="BN28" s="292"/>
      <c r="BO28" s="292"/>
      <c r="BP28" s="35"/>
      <c r="BQ28" s="291"/>
      <c r="BR28" s="291"/>
      <c r="BS28" s="291"/>
      <c r="BT28" s="292"/>
      <c r="BU28" s="291"/>
      <c r="BV28" s="291"/>
      <c r="BW28" s="292"/>
      <c r="BX28" s="292"/>
      <c r="BY28" s="292"/>
      <c r="BZ28" s="292"/>
      <c r="CA28" s="292"/>
      <c r="CB28" s="35"/>
      <c r="CC28" s="291"/>
      <c r="CD28" s="291"/>
      <c r="CE28" s="291"/>
      <c r="CF28" s="292"/>
      <c r="CG28" s="291"/>
      <c r="CH28" s="291"/>
      <c r="CI28" s="292"/>
      <c r="CJ28" s="292"/>
      <c r="CK28" s="292"/>
      <c r="CL28" s="292"/>
      <c r="CM28" s="292"/>
      <c r="CN28" s="35"/>
      <c r="CO28" s="291"/>
      <c r="CP28" s="291"/>
      <c r="CQ28" s="291"/>
      <c r="CR28" s="292"/>
      <c r="CS28" s="291"/>
      <c r="CT28" s="291"/>
      <c r="CU28" s="292"/>
      <c r="CV28" s="292"/>
      <c r="CW28" s="292"/>
      <c r="CX28" s="292"/>
      <c r="CY28" s="292"/>
      <c r="CZ28" s="35"/>
      <c r="DA28" s="291"/>
      <c r="DB28" s="291"/>
      <c r="DC28" s="291"/>
      <c r="DD28" s="292"/>
      <c r="DE28" s="291"/>
      <c r="DF28" s="291"/>
      <c r="DG28" s="292"/>
      <c r="DH28" s="292"/>
      <c r="DI28" s="292"/>
      <c r="DJ28" s="292"/>
      <c r="DK28" s="292"/>
      <c r="DL28" s="35"/>
      <c r="DM28" s="291"/>
      <c r="DN28" s="291"/>
      <c r="DO28" s="291"/>
      <c r="DP28" s="292"/>
      <c r="DQ28" s="291"/>
      <c r="DR28" s="291"/>
      <c r="DS28" s="292"/>
      <c r="DT28" s="292"/>
      <c r="DU28" s="292"/>
      <c r="DV28" s="292"/>
      <c r="DW28" s="292"/>
      <c r="DX28" s="35"/>
      <c r="DY28" s="291"/>
      <c r="DZ28" s="291"/>
      <c r="EA28" s="291"/>
      <c r="EB28" s="292"/>
      <c r="EC28" s="291"/>
      <c r="ED28" s="291"/>
      <c r="EE28" s="292"/>
      <c r="EF28" s="292"/>
      <c r="EG28" s="292"/>
      <c r="EH28" s="292"/>
      <c r="EI28" s="292"/>
      <c r="EJ28" s="35"/>
      <c r="EK28" s="291"/>
      <c r="EL28" s="291"/>
      <c r="EM28" s="291"/>
      <c r="EN28" s="292"/>
      <c r="EO28" s="291"/>
      <c r="EP28" s="291"/>
      <c r="EQ28" s="292"/>
      <c r="ER28" s="292"/>
      <c r="ES28" s="292"/>
      <c r="ET28" s="292"/>
      <c r="EU28" s="292"/>
      <c r="EV28" s="35"/>
      <c r="EW28" s="291"/>
      <c r="EX28" s="291"/>
      <c r="EY28" s="291"/>
      <c r="EZ28" s="292"/>
      <c r="FA28" s="291"/>
      <c r="FB28" s="291"/>
      <c r="FC28" s="292"/>
      <c r="FD28" s="292"/>
      <c r="FE28" s="292"/>
      <c r="FF28" s="292"/>
      <c r="FG28" s="292"/>
      <c r="FH28" s="35"/>
      <c r="FI28" s="291"/>
      <c r="FJ28" s="291"/>
      <c r="FK28" s="291"/>
      <c r="FL28" s="292"/>
      <c r="FM28" s="291"/>
      <c r="FN28" s="291"/>
      <c r="FO28" s="292"/>
      <c r="FP28" s="292"/>
      <c r="FQ28" s="292"/>
      <c r="FR28" s="292"/>
      <c r="FS28" s="292"/>
      <c r="FT28" s="35"/>
      <c r="FU28" s="291"/>
      <c r="FV28" s="291"/>
      <c r="FW28" s="291"/>
      <c r="FX28" s="292"/>
      <c r="FY28" s="291"/>
      <c r="FZ28" s="291"/>
      <c r="GA28" s="292"/>
      <c r="GB28" s="292"/>
      <c r="GC28" s="292"/>
      <c r="GD28" s="292"/>
      <c r="GE28" s="292"/>
      <c r="GF28" s="35"/>
      <c r="GG28" s="291"/>
      <c r="GH28" s="291"/>
      <c r="GI28" s="291"/>
      <c r="GJ28" s="292"/>
      <c r="GK28" s="291"/>
      <c r="GL28" s="291"/>
      <c r="GM28" s="292"/>
      <c r="GN28" s="292"/>
      <c r="GO28" s="292"/>
      <c r="GP28" s="292"/>
      <c r="GQ28" s="292"/>
      <c r="GR28" s="35"/>
      <c r="GS28" s="291"/>
      <c r="GT28" s="291"/>
      <c r="GU28" s="291"/>
      <c r="GV28" s="292"/>
      <c r="GW28" s="291"/>
      <c r="GX28" s="291"/>
      <c r="GY28" s="292"/>
      <c r="GZ28" s="292"/>
      <c r="HA28" s="292"/>
      <c r="HB28" s="292"/>
      <c r="HC28" s="292"/>
      <c r="HD28" s="35"/>
      <c r="HE28" s="291"/>
      <c r="HF28" s="291"/>
      <c r="HG28" s="291"/>
      <c r="HH28" s="292"/>
      <c r="HI28" s="291"/>
      <c r="HJ28" s="291"/>
      <c r="HK28" s="292"/>
      <c r="HL28" s="292"/>
      <c r="HM28" s="292"/>
      <c r="HN28" s="292"/>
      <c r="HO28" s="292"/>
      <c r="HP28" s="35"/>
      <c r="HQ28" s="291"/>
      <c r="HR28" s="291"/>
      <c r="HS28" s="291"/>
      <c r="HT28" s="292"/>
      <c r="HU28" s="291"/>
      <c r="HV28" s="291"/>
      <c r="HW28" s="292"/>
      <c r="HX28" s="292"/>
      <c r="HY28" s="292"/>
      <c r="HZ28" s="292"/>
      <c r="IA28" s="292"/>
      <c r="IB28" s="35"/>
      <c r="IC28" s="291"/>
      <c r="ID28" s="291"/>
      <c r="IE28" s="291"/>
      <c r="IF28" s="292"/>
      <c r="IG28" s="291"/>
      <c r="IH28" s="291"/>
      <c r="II28" s="292"/>
      <c r="IJ28" s="292"/>
      <c r="IK28" s="292"/>
      <c r="IL28" s="292"/>
      <c r="IM28" s="292"/>
      <c r="IN28" s="35"/>
      <c r="IO28" s="291"/>
      <c r="IP28" s="291"/>
      <c r="IQ28" s="291"/>
    </row>
    <row r="29" spans="1:251" s="5" customFormat="1" ht="14.25">
      <c r="A29" s="35" t="s">
        <v>10</v>
      </c>
      <c r="B29" s="291">
        <v>0.8</v>
      </c>
      <c r="C29" s="291">
        <v>-0.7</v>
      </c>
      <c r="D29" s="291">
        <v>-5.0999999999999996</v>
      </c>
      <c r="E29" s="291">
        <v>1.6</v>
      </c>
      <c r="F29" s="291">
        <v>1.2</v>
      </c>
      <c r="G29" s="397">
        <v>-0.7</v>
      </c>
      <c r="H29" s="291">
        <v>-0.5</v>
      </c>
      <c r="I29" s="291">
        <v>1.1000000000000001</v>
      </c>
      <c r="J29" s="291">
        <v>1.8</v>
      </c>
      <c r="K29" s="291">
        <v>2.1</v>
      </c>
      <c r="L29" s="291"/>
      <c r="M29" s="291"/>
      <c r="N29" s="291"/>
      <c r="O29" s="291"/>
      <c r="P29" s="291"/>
      <c r="Q29" s="291"/>
      <c r="R29" s="291"/>
      <c r="S29" s="291"/>
      <c r="T29" s="36"/>
      <c r="U29" s="291"/>
      <c r="V29" s="291"/>
      <c r="W29" s="291"/>
      <c r="X29" s="291"/>
      <c r="Y29" s="291"/>
      <c r="Z29" s="291"/>
      <c r="AA29" s="291"/>
      <c r="AB29" s="291"/>
      <c r="AC29" s="291"/>
      <c r="AD29" s="291"/>
      <c r="AE29" s="291"/>
      <c r="AF29" s="36"/>
      <c r="AG29" s="291"/>
      <c r="AH29" s="291"/>
      <c r="AI29" s="291"/>
      <c r="AJ29" s="291"/>
      <c r="AK29" s="291"/>
      <c r="AL29" s="291"/>
      <c r="AM29" s="291"/>
      <c r="AN29" s="291"/>
      <c r="AO29" s="291"/>
      <c r="AP29" s="291"/>
      <c r="AQ29" s="291"/>
      <c r="AR29" s="36"/>
      <c r="AS29" s="291"/>
      <c r="AT29" s="291"/>
      <c r="AU29" s="291"/>
      <c r="AV29" s="291"/>
      <c r="AW29" s="291"/>
      <c r="AX29" s="291"/>
      <c r="AY29" s="291"/>
      <c r="AZ29" s="291"/>
      <c r="BA29" s="291"/>
      <c r="BB29" s="291"/>
      <c r="BC29" s="291"/>
      <c r="BD29" s="36"/>
      <c r="BE29" s="291"/>
      <c r="BF29" s="291"/>
      <c r="BG29" s="291"/>
      <c r="BH29" s="291"/>
      <c r="BI29" s="291"/>
      <c r="BJ29" s="291"/>
      <c r="BK29" s="291"/>
      <c r="BL29" s="291"/>
      <c r="BM29" s="291"/>
      <c r="BN29" s="291"/>
      <c r="BO29" s="291"/>
      <c r="BP29" s="36"/>
      <c r="BQ29" s="291"/>
      <c r="BR29" s="291"/>
      <c r="BS29" s="291"/>
      <c r="BT29" s="291"/>
      <c r="BU29" s="291"/>
      <c r="BV29" s="291"/>
      <c r="BW29" s="291"/>
      <c r="BX29" s="291"/>
      <c r="BY29" s="291"/>
      <c r="BZ29" s="291"/>
      <c r="CA29" s="291"/>
      <c r="CB29" s="36"/>
      <c r="CC29" s="291"/>
      <c r="CD29" s="291"/>
      <c r="CE29" s="291"/>
      <c r="CF29" s="291"/>
      <c r="CG29" s="291"/>
      <c r="CH29" s="291"/>
      <c r="CI29" s="291"/>
      <c r="CJ29" s="291"/>
      <c r="CK29" s="291"/>
      <c r="CL29" s="291"/>
      <c r="CM29" s="291"/>
      <c r="CN29" s="36"/>
      <c r="CO29" s="291"/>
      <c r="CP29" s="291"/>
      <c r="CQ29" s="291"/>
      <c r="CR29" s="291"/>
      <c r="CS29" s="291"/>
      <c r="CT29" s="291"/>
      <c r="CU29" s="291"/>
      <c r="CV29" s="291"/>
      <c r="CW29" s="291"/>
      <c r="CX29" s="291"/>
      <c r="CY29" s="291"/>
      <c r="CZ29" s="36"/>
      <c r="DA29" s="291"/>
      <c r="DB29" s="291"/>
      <c r="DC29" s="291"/>
      <c r="DD29" s="291"/>
      <c r="DE29" s="291"/>
      <c r="DF29" s="291"/>
      <c r="DG29" s="291"/>
      <c r="DH29" s="291"/>
      <c r="DI29" s="291"/>
      <c r="DJ29" s="291"/>
      <c r="DK29" s="291"/>
      <c r="DL29" s="36"/>
      <c r="DM29" s="291"/>
      <c r="DN29" s="291"/>
      <c r="DO29" s="291"/>
      <c r="DP29" s="291"/>
      <c r="DQ29" s="291"/>
      <c r="DR29" s="291"/>
      <c r="DS29" s="291"/>
      <c r="DT29" s="291"/>
      <c r="DU29" s="291"/>
      <c r="DV29" s="291"/>
      <c r="DW29" s="291"/>
      <c r="DX29" s="36"/>
      <c r="DY29" s="291"/>
      <c r="DZ29" s="291"/>
      <c r="EA29" s="291"/>
      <c r="EB29" s="291"/>
      <c r="EC29" s="291"/>
      <c r="ED29" s="291"/>
      <c r="EE29" s="291"/>
      <c r="EF29" s="291"/>
      <c r="EG29" s="291"/>
      <c r="EH29" s="291"/>
      <c r="EI29" s="291"/>
      <c r="EJ29" s="36"/>
      <c r="EK29" s="291"/>
      <c r="EL29" s="291"/>
      <c r="EM29" s="291"/>
      <c r="EN29" s="291"/>
      <c r="EO29" s="291"/>
      <c r="EP29" s="291"/>
      <c r="EQ29" s="291"/>
      <c r="ER29" s="291"/>
      <c r="ES29" s="291"/>
      <c r="ET29" s="291"/>
      <c r="EU29" s="291"/>
      <c r="EV29" s="36"/>
      <c r="EW29" s="291"/>
      <c r="EX29" s="291"/>
      <c r="EY29" s="291"/>
      <c r="EZ29" s="291"/>
      <c r="FA29" s="291"/>
      <c r="FB29" s="291"/>
      <c r="FC29" s="291"/>
      <c r="FD29" s="291"/>
      <c r="FE29" s="291"/>
      <c r="FF29" s="291"/>
      <c r="FG29" s="291"/>
      <c r="FH29" s="36"/>
      <c r="FI29" s="291"/>
      <c r="FJ29" s="291"/>
      <c r="FK29" s="291"/>
      <c r="FL29" s="291"/>
      <c r="FM29" s="291"/>
      <c r="FN29" s="291"/>
      <c r="FO29" s="291"/>
      <c r="FP29" s="291"/>
      <c r="FQ29" s="291"/>
      <c r="FR29" s="291"/>
      <c r="FS29" s="291"/>
      <c r="FT29" s="36"/>
      <c r="FU29" s="291"/>
      <c r="FV29" s="291"/>
      <c r="FW29" s="291"/>
      <c r="FX29" s="291"/>
      <c r="FY29" s="291"/>
      <c r="FZ29" s="291"/>
      <c r="GA29" s="291"/>
      <c r="GB29" s="291"/>
      <c r="GC29" s="291"/>
      <c r="GD29" s="291"/>
      <c r="GE29" s="291"/>
      <c r="GF29" s="36"/>
      <c r="GG29" s="291"/>
      <c r="GH29" s="291"/>
      <c r="GI29" s="291"/>
      <c r="GJ29" s="291"/>
      <c r="GK29" s="291"/>
      <c r="GL29" s="291"/>
      <c r="GM29" s="291"/>
      <c r="GN29" s="291"/>
      <c r="GO29" s="291"/>
      <c r="GP29" s="291"/>
      <c r="GQ29" s="291"/>
      <c r="GR29" s="36"/>
      <c r="GS29" s="291"/>
      <c r="GT29" s="291"/>
      <c r="GU29" s="291"/>
      <c r="GV29" s="291"/>
      <c r="GW29" s="291"/>
      <c r="GX29" s="291"/>
      <c r="GY29" s="291"/>
      <c r="GZ29" s="291"/>
      <c r="HA29" s="291"/>
      <c r="HB29" s="291"/>
      <c r="HC29" s="291"/>
      <c r="HD29" s="36"/>
      <c r="HE29" s="291"/>
      <c r="HF29" s="291"/>
      <c r="HG29" s="291"/>
      <c r="HH29" s="291"/>
      <c r="HI29" s="291"/>
      <c r="HJ29" s="291"/>
      <c r="HK29" s="291"/>
      <c r="HL29" s="291"/>
      <c r="HM29" s="291"/>
      <c r="HN29" s="291"/>
      <c r="HO29" s="291"/>
      <c r="HP29" s="36"/>
      <c r="HQ29" s="291"/>
      <c r="HR29" s="291"/>
      <c r="HS29" s="291"/>
      <c r="HT29" s="291"/>
      <c r="HU29" s="291"/>
      <c r="HV29" s="291"/>
      <c r="HW29" s="291"/>
      <c r="HX29" s="291"/>
      <c r="HY29" s="291"/>
      <c r="HZ29" s="291"/>
      <c r="IA29" s="291"/>
      <c r="IB29" s="36"/>
      <c r="IC29" s="291"/>
      <c r="ID29" s="291"/>
      <c r="IE29" s="291"/>
      <c r="IF29" s="291"/>
      <c r="IG29" s="291"/>
      <c r="IH29" s="291"/>
      <c r="II29" s="291"/>
      <c r="IJ29" s="291"/>
      <c r="IK29" s="291"/>
      <c r="IL29" s="291"/>
      <c r="IM29" s="291"/>
      <c r="IN29" s="36"/>
      <c r="IO29" s="291"/>
      <c r="IP29" s="291"/>
      <c r="IQ29" s="291"/>
    </row>
    <row r="30" spans="1:251" s="5" customFormat="1" ht="14.25">
      <c r="A30" s="35" t="s">
        <v>816</v>
      </c>
      <c r="B30" s="291">
        <v>5.0999999999999996</v>
      </c>
      <c r="C30" s="291">
        <v>2.1</v>
      </c>
      <c r="D30" s="291">
        <v>-7.4</v>
      </c>
      <c r="E30" s="291">
        <v>-1.7</v>
      </c>
      <c r="F30" s="291">
        <v>-0.3</v>
      </c>
      <c r="G30" s="397">
        <v>-2.2000000000000002</v>
      </c>
      <c r="H30" s="291">
        <v>-0.9</v>
      </c>
      <c r="I30" s="291">
        <v>-0.4</v>
      </c>
      <c r="J30" s="291">
        <v>0.3</v>
      </c>
      <c r="K30" s="291">
        <v>1.2</v>
      </c>
      <c r="L30" s="291"/>
      <c r="M30" s="291"/>
      <c r="N30" s="291"/>
      <c r="O30" s="291"/>
      <c r="P30" s="291"/>
      <c r="Q30" s="291"/>
      <c r="R30" s="291"/>
      <c r="S30" s="291"/>
      <c r="T30" s="35"/>
      <c r="U30" s="291"/>
      <c r="V30" s="291"/>
      <c r="W30" s="291"/>
      <c r="X30" s="291"/>
      <c r="Y30" s="291"/>
      <c r="Z30" s="291"/>
      <c r="AA30" s="291"/>
      <c r="AB30" s="291"/>
      <c r="AC30" s="291"/>
      <c r="AD30" s="291"/>
      <c r="AE30" s="291"/>
      <c r="AF30" s="35"/>
      <c r="AG30" s="291"/>
      <c r="AH30" s="291"/>
      <c r="AI30" s="291"/>
      <c r="AJ30" s="291"/>
      <c r="AK30" s="291"/>
      <c r="AL30" s="291"/>
      <c r="AM30" s="291"/>
      <c r="AN30" s="291"/>
      <c r="AO30" s="291"/>
      <c r="AP30" s="291"/>
      <c r="AQ30" s="291"/>
      <c r="AR30" s="35"/>
      <c r="AS30" s="291"/>
      <c r="AT30" s="291"/>
      <c r="AU30" s="291"/>
      <c r="AV30" s="291"/>
      <c r="AW30" s="291"/>
      <c r="AX30" s="291"/>
      <c r="AY30" s="291"/>
      <c r="AZ30" s="291"/>
      <c r="BA30" s="291"/>
      <c r="BB30" s="291"/>
      <c r="BC30" s="291"/>
      <c r="BD30" s="35"/>
      <c r="BE30" s="291"/>
      <c r="BF30" s="291"/>
      <c r="BG30" s="291"/>
      <c r="BH30" s="291"/>
      <c r="BI30" s="291"/>
      <c r="BJ30" s="291"/>
      <c r="BK30" s="291"/>
      <c r="BL30" s="291"/>
      <c r="BM30" s="291"/>
      <c r="BN30" s="291"/>
      <c r="BO30" s="291"/>
      <c r="BP30" s="35"/>
      <c r="BQ30" s="291"/>
      <c r="BR30" s="291"/>
      <c r="BS30" s="291"/>
      <c r="BT30" s="291"/>
      <c r="BU30" s="291"/>
      <c r="BV30" s="291"/>
      <c r="BW30" s="291"/>
      <c r="BX30" s="291"/>
      <c r="BY30" s="291"/>
      <c r="BZ30" s="291"/>
      <c r="CA30" s="291"/>
      <c r="CB30" s="35"/>
      <c r="CC30" s="291"/>
      <c r="CD30" s="291"/>
      <c r="CE30" s="291"/>
      <c r="CF30" s="291"/>
      <c r="CG30" s="291"/>
      <c r="CH30" s="291"/>
      <c r="CI30" s="291"/>
      <c r="CJ30" s="291"/>
      <c r="CK30" s="291"/>
      <c r="CL30" s="291"/>
      <c r="CM30" s="291"/>
      <c r="CN30" s="35"/>
      <c r="CO30" s="291"/>
      <c r="CP30" s="291"/>
      <c r="CQ30" s="291"/>
      <c r="CR30" s="291"/>
      <c r="CS30" s="291"/>
      <c r="CT30" s="291"/>
      <c r="CU30" s="291"/>
      <c r="CV30" s="291"/>
      <c r="CW30" s="291"/>
      <c r="CX30" s="291"/>
      <c r="CY30" s="291"/>
      <c r="CZ30" s="35"/>
      <c r="DA30" s="291"/>
      <c r="DB30" s="291"/>
      <c r="DC30" s="291"/>
      <c r="DD30" s="291"/>
      <c r="DE30" s="291"/>
      <c r="DF30" s="291"/>
      <c r="DG30" s="291"/>
      <c r="DH30" s="291"/>
      <c r="DI30" s="291"/>
      <c r="DJ30" s="291"/>
      <c r="DK30" s="291"/>
      <c r="DL30" s="35"/>
      <c r="DM30" s="291"/>
      <c r="DN30" s="291"/>
      <c r="DO30" s="291"/>
      <c r="DP30" s="291"/>
      <c r="DQ30" s="291"/>
      <c r="DR30" s="291"/>
      <c r="DS30" s="291"/>
      <c r="DT30" s="291"/>
      <c r="DU30" s="291"/>
      <c r="DV30" s="291"/>
      <c r="DW30" s="291"/>
      <c r="DX30" s="35"/>
      <c r="DY30" s="291"/>
      <c r="DZ30" s="291"/>
      <c r="EA30" s="291"/>
      <c r="EB30" s="291"/>
      <c r="EC30" s="291"/>
      <c r="ED30" s="291"/>
      <c r="EE30" s="291"/>
      <c r="EF30" s="291"/>
      <c r="EG30" s="291"/>
      <c r="EH30" s="291"/>
      <c r="EI30" s="291"/>
      <c r="EJ30" s="35"/>
      <c r="EK30" s="291"/>
      <c r="EL30" s="291"/>
      <c r="EM30" s="291"/>
      <c r="EN30" s="291"/>
      <c r="EO30" s="291"/>
      <c r="EP30" s="291"/>
      <c r="EQ30" s="291"/>
      <c r="ER30" s="291"/>
      <c r="ES30" s="291"/>
      <c r="ET30" s="291"/>
      <c r="EU30" s="291"/>
      <c r="EV30" s="35"/>
      <c r="EW30" s="291"/>
      <c r="EX30" s="291"/>
      <c r="EY30" s="291"/>
      <c r="EZ30" s="291"/>
      <c r="FA30" s="291"/>
      <c r="FB30" s="291"/>
      <c r="FC30" s="291"/>
      <c r="FD30" s="291"/>
      <c r="FE30" s="291"/>
      <c r="FF30" s="291"/>
      <c r="FG30" s="291"/>
      <c r="FH30" s="35"/>
      <c r="FI30" s="291"/>
      <c r="FJ30" s="291"/>
      <c r="FK30" s="291"/>
      <c r="FL30" s="291"/>
      <c r="FM30" s="291"/>
      <c r="FN30" s="291"/>
      <c r="FO30" s="291"/>
      <c r="FP30" s="291"/>
      <c r="FQ30" s="291"/>
      <c r="FR30" s="291"/>
      <c r="FS30" s="291"/>
      <c r="FT30" s="35"/>
      <c r="FU30" s="291"/>
      <c r="FV30" s="291"/>
      <c r="FW30" s="291"/>
      <c r="FX30" s="291"/>
      <c r="FY30" s="291"/>
      <c r="FZ30" s="291"/>
      <c r="GA30" s="291"/>
      <c r="GB30" s="291"/>
      <c r="GC30" s="291"/>
      <c r="GD30" s="291"/>
      <c r="GE30" s="291"/>
      <c r="GF30" s="35"/>
      <c r="GG30" s="291"/>
      <c r="GH30" s="291"/>
      <c r="GI30" s="291"/>
      <c r="GJ30" s="291"/>
      <c r="GK30" s="291"/>
      <c r="GL30" s="291"/>
      <c r="GM30" s="291"/>
      <c r="GN30" s="291"/>
      <c r="GO30" s="291"/>
      <c r="GP30" s="291"/>
      <c r="GQ30" s="291"/>
      <c r="GR30" s="35"/>
      <c r="GS30" s="291"/>
      <c r="GT30" s="291"/>
      <c r="GU30" s="291"/>
      <c r="GV30" s="291"/>
      <c r="GW30" s="291"/>
      <c r="GX30" s="291"/>
      <c r="GY30" s="291"/>
      <c r="GZ30" s="291"/>
      <c r="HA30" s="291"/>
      <c r="HB30" s="291"/>
      <c r="HC30" s="291"/>
      <c r="HD30" s="35"/>
      <c r="HE30" s="291"/>
      <c r="HF30" s="291"/>
      <c r="HG30" s="291"/>
      <c r="HH30" s="291"/>
      <c r="HI30" s="291"/>
      <c r="HJ30" s="291"/>
      <c r="HK30" s="291"/>
      <c r="HL30" s="291"/>
      <c r="HM30" s="291"/>
      <c r="HN30" s="291"/>
      <c r="HO30" s="291"/>
      <c r="HP30" s="35"/>
      <c r="HQ30" s="291"/>
      <c r="HR30" s="291"/>
      <c r="HS30" s="291"/>
      <c r="HT30" s="291"/>
      <c r="HU30" s="291"/>
      <c r="HV30" s="291"/>
      <c r="HW30" s="291"/>
      <c r="HX30" s="291"/>
      <c r="HY30" s="291"/>
      <c r="HZ30" s="291"/>
      <c r="IA30" s="291"/>
      <c r="IB30" s="35"/>
      <c r="IC30" s="291"/>
      <c r="ID30" s="291"/>
      <c r="IE30" s="291"/>
      <c r="IF30" s="291"/>
      <c r="IG30" s="291"/>
      <c r="IH30" s="291"/>
      <c r="II30" s="291"/>
      <c r="IJ30" s="291"/>
      <c r="IK30" s="291"/>
      <c r="IL30" s="291"/>
      <c r="IM30" s="291"/>
      <c r="IN30" s="35"/>
      <c r="IO30" s="291"/>
      <c r="IP30" s="291"/>
      <c r="IQ30" s="291"/>
    </row>
    <row r="31" spans="1:251" s="5" customFormat="1" ht="14.25">
      <c r="A31" s="35" t="s">
        <v>7</v>
      </c>
      <c r="B31" s="291">
        <v>0.5</v>
      </c>
      <c r="C31" s="291">
        <v>0.9</v>
      </c>
      <c r="D31" s="291">
        <v>-6.6</v>
      </c>
      <c r="E31" s="291">
        <v>0.8</v>
      </c>
      <c r="F31" s="291">
        <v>1.8</v>
      </c>
      <c r="G31" s="292">
        <v>-1.5</v>
      </c>
      <c r="H31" s="291">
        <v>1.5</v>
      </c>
      <c r="I31" s="291">
        <v>3.6</v>
      </c>
      <c r="J31" s="291">
        <v>2.8</v>
      </c>
      <c r="K31" s="291">
        <v>2.2000000000000002</v>
      </c>
      <c r="L31" s="291"/>
      <c r="M31" s="291"/>
      <c r="N31" s="291"/>
      <c r="O31" s="292"/>
      <c r="P31" s="292"/>
      <c r="Q31" s="292"/>
      <c r="R31" s="292"/>
      <c r="S31" s="292"/>
      <c r="T31" s="35"/>
      <c r="U31" s="291"/>
      <c r="V31" s="291"/>
      <c r="W31" s="291"/>
      <c r="X31" s="291"/>
      <c r="Y31" s="291"/>
      <c r="Z31" s="291"/>
      <c r="AA31" s="292"/>
      <c r="AB31" s="292"/>
      <c r="AC31" s="292"/>
      <c r="AD31" s="292"/>
      <c r="AE31" s="292"/>
      <c r="AF31" s="35"/>
      <c r="AG31" s="291"/>
      <c r="AH31" s="291"/>
      <c r="AI31" s="291"/>
      <c r="AJ31" s="291"/>
      <c r="AK31" s="291"/>
      <c r="AL31" s="291"/>
      <c r="AM31" s="292"/>
      <c r="AN31" s="292"/>
      <c r="AO31" s="292"/>
      <c r="AP31" s="292"/>
      <c r="AQ31" s="292"/>
      <c r="AR31" s="35"/>
      <c r="AS31" s="291"/>
      <c r="AT31" s="291"/>
      <c r="AU31" s="291"/>
      <c r="AV31" s="291"/>
      <c r="AW31" s="291"/>
      <c r="AX31" s="291"/>
      <c r="AY31" s="292"/>
      <c r="AZ31" s="292"/>
      <c r="BA31" s="292"/>
      <c r="BB31" s="292"/>
      <c r="BC31" s="292"/>
      <c r="BD31" s="35"/>
      <c r="BE31" s="291"/>
      <c r="BF31" s="291"/>
      <c r="BG31" s="291"/>
      <c r="BH31" s="291"/>
      <c r="BI31" s="291"/>
      <c r="BJ31" s="291"/>
      <c r="BK31" s="292"/>
      <c r="BL31" s="292"/>
      <c r="BM31" s="292"/>
      <c r="BN31" s="292"/>
      <c r="BO31" s="292"/>
      <c r="BP31" s="35"/>
      <c r="BQ31" s="291"/>
      <c r="BR31" s="291"/>
      <c r="BS31" s="291"/>
      <c r="BT31" s="291"/>
      <c r="BU31" s="291"/>
      <c r="BV31" s="291"/>
      <c r="BW31" s="292"/>
      <c r="BX31" s="292"/>
      <c r="BY31" s="292"/>
      <c r="BZ31" s="292"/>
      <c r="CA31" s="292"/>
      <c r="CB31" s="35"/>
      <c r="CC31" s="291"/>
      <c r="CD31" s="291"/>
      <c r="CE31" s="291"/>
      <c r="CF31" s="291"/>
      <c r="CG31" s="291"/>
      <c r="CH31" s="291"/>
      <c r="CI31" s="292"/>
      <c r="CJ31" s="292"/>
      <c r="CK31" s="292"/>
      <c r="CL31" s="292"/>
      <c r="CM31" s="292"/>
      <c r="CN31" s="35"/>
      <c r="CO31" s="291"/>
      <c r="CP31" s="291"/>
      <c r="CQ31" s="291"/>
      <c r="CR31" s="291"/>
      <c r="CS31" s="291"/>
      <c r="CT31" s="291"/>
      <c r="CU31" s="292"/>
      <c r="CV31" s="292"/>
      <c r="CW31" s="292"/>
      <c r="CX31" s="292"/>
      <c r="CY31" s="292"/>
      <c r="CZ31" s="35"/>
      <c r="DA31" s="291"/>
      <c r="DB31" s="291"/>
      <c r="DC31" s="291"/>
      <c r="DD31" s="291"/>
      <c r="DE31" s="291"/>
      <c r="DF31" s="291"/>
      <c r="DG31" s="292"/>
      <c r="DH31" s="292"/>
      <c r="DI31" s="292"/>
      <c r="DJ31" s="292"/>
      <c r="DK31" s="292"/>
      <c r="DL31" s="35"/>
      <c r="DM31" s="291"/>
      <c r="DN31" s="291"/>
      <c r="DO31" s="291"/>
      <c r="DP31" s="291"/>
      <c r="DQ31" s="291"/>
      <c r="DR31" s="291"/>
      <c r="DS31" s="292"/>
      <c r="DT31" s="292"/>
      <c r="DU31" s="292"/>
      <c r="DV31" s="292"/>
      <c r="DW31" s="292"/>
      <c r="DX31" s="35"/>
      <c r="DY31" s="291"/>
      <c r="DZ31" s="291"/>
      <c r="EA31" s="291"/>
      <c r="EB31" s="291"/>
      <c r="EC31" s="291"/>
      <c r="ED31" s="291"/>
      <c r="EE31" s="292"/>
      <c r="EF31" s="292"/>
      <c r="EG31" s="292"/>
      <c r="EH31" s="292"/>
      <c r="EI31" s="292"/>
      <c r="EJ31" s="35"/>
      <c r="EK31" s="291"/>
      <c r="EL31" s="291"/>
      <c r="EM31" s="291"/>
      <c r="EN31" s="291"/>
      <c r="EO31" s="291"/>
      <c r="EP31" s="291"/>
      <c r="EQ31" s="292"/>
      <c r="ER31" s="292"/>
      <c r="ES31" s="292"/>
      <c r="ET31" s="292"/>
      <c r="EU31" s="292"/>
      <c r="EV31" s="35"/>
      <c r="EW31" s="291"/>
      <c r="EX31" s="291"/>
      <c r="EY31" s="291"/>
      <c r="EZ31" s="291"/>
      <c r="FA31" s="291"/>
      <c r="FB31" s="291"/>
      <c r="FC31" s="292"/>
      <c r="FD31" s="292"/>
      <c r="FE31" s="292"/>
      <c r="FF31" s="292"/>
      <c r="FG31" s="292"/>
      <c r="FH31" s="35"/>
      <c r="FI31" s="291"/>
      <c r="FJ31" s="291"/>
      <c r="FK31" s="291"/>
      <c r="FL31" s="291"/>
      <c r="FM31" s="291"/>
      <c r="FN31" s="291"/>
      <c r="FO31" s="292"/>
      <c r="FP31" s="292"/>
      <c r="FQ31" s="292"/>
      <c r="FR31" s="292"/>
      <c r="FS31" s="292"/>
      <c r="FT31" s="35"/>
      <c r="FU31" s="291"/>
      <c r="FV31" s="291"/>
      <c r="FW31" s="291"/>
      <c r="FX31" s="291"/>
      <c r="FY31" s="291"/>
      <c r="FZ31" s="291"/>
      <c r="GA31" s="292"/>
      <c r="GB31" s="292"/>
      <c r="GC31" s="292"/>
      <c r="GD31" s="292"/>
      <c r="GE31" s="292"/>
      <c r="GF31" s="35"/>
      <c r="GG31" s="291"/>
      <c r="GH31" s="291"/>
      <c r="GI31" s="291"/>
      <c r="GJ31" s="291"/>
      <c r="GK31" s="291"/>
      <c r="GL31" s="291"/>
      <c r="GM31" s="292"/>
      <c r="GN31" s="292"/>
      <c r="GO31" s="292"/>
      <c r="GP31" s="292"/>
      <c r="GQ31" s="292"/>
      <c r="GR31" s="35"/>
      <c r="GS31" s="291"/>
      <c r="GT31" s="291"/>
      <c r="GU31" s="291"/>
      <c r="GV31" s="291"/>
      <c r="GW31" s="291"/>
      <c r="GX31" s="291"/>
      <c r="GY31" s="292"/>
      <c r="GZ31" s="292"/>
      <c r="HA31" s="292"/>
      <c r="HB31" s="292"/>
      <c r="HC31" s="292"/>
      <c r="HD31" s="35"/>
      <c r="HE31" s="291"/>
      <c r="HF31" s="291"/>
      <c r="HG31" s="291"/>
      <c r="HH31" s="291"/>
      <c r="HI31" s="291"/>
      <c r="HJ31" s="291"/>
      <c r="HK31" s="292"/>
      <c r="HL31" s="292"/>
      <c r="HM31" s="292"/>
      <c r="HN31" s="292"/>
      <c r="HO31" s="292"/>
      <c r="HP31" s="35"/>
      <c r="HQ31" s="291"/>
      <c r="HR31" s="291"/>
      <c r="HS31" s="291"/>
      <c r="HT31" s="291"/>
      <c r="HU31" s="291"/>
      <c r="HV31" s="291"/>
      <c r="HW31" s="292"/>
      <c r="HX31" s="292"/>
      <c r="HY31" s="292"/>
      <c r="HZ31" s="292"/>
      <c r="IA31" s="292"/>
      <c r="IB31" s="35"/>
      <c r="IC31" s="291"/>
      <c r="ID31" s="291"/>
      <c r="IE31" s="291"/>
      <c r="IF31" s="291"/>
      <c r="IG31" s="291"/>
      <c r="IH31" s="291"/>
      <c r="II31" s="292"/>
      <c r="IJ31" s="292"/>
      <c r="IK31" s="292"/>
      <c r="IL31" s="292"/>
      <c r="IM31" s="292"/>
      <c r="IN31" s="35"/>
      <c r="IO31" s="291"/>
      <c r="IP31" s="291"/>
      <c r="IQ31" s="291"/>
    </row>
    <row r="32" spans="1:251" s="5" customFormat="1" ht="14.25">
      <c r="A32" s="35" t="s">
        <v>6</v>
      </c>
      <c r="B32" s="291">
        <v>7.2</v>
      </c>
      <c r="C32" s="291">
        <v>3.9</v>
      </c>
      <c r="D32" s="291">
        <v>2.6</v>
      </c>
      <c r="E32" s="291">
        <v>3.7</v>
      </c>
      <c r="F32" s="291">
        <v>4.8</v>
      </c>
      <c r="G32" s="292">
        <v>1.8</v>
      </c>
      <c r="H32" s="291">
        <v>1.7</v>
      </c>
      <c r="I32" s="291">
        <v>3.4</v>
      </c>
      <c r="J32" s="291">
        <v>3.3</v>
      </c>
      <c r="K32" s="291">
        <v>3.4</v>
      </c>
      <c r="L32" s="291"/>
      <c r="M32" s="291"/>
      <c r="N32" s="291"/>
      <c r="O32" s="292"/>
      <c r="P32" s="292"/>
      <c r="Q32" s="292"/>
      <c r="R32" s="292"/>
      <c r="S32" s="292"/>
      <c r="T32" s="35"/>
      <c r="U32" s="291"/>
      <c r="V32" s="291"/>
      <c r="W32" s="291"/>
      <c r="X32" s="291"/>
      <c r="Y32" s="291"/>
      <c r="Z32" s="291"/>
      <c r="AA32" s="292"/>
      <c r="AB32" s="292"/>
      <c r="AC32" s="292"/>
      <c r="AD32" s="292"/>
      <c r="AE32" s="292"/>
      <c r="AF32" s="35"/>
      <c r="AG32" s="291"/>
      <c r="AH32" s="291"/>
      <c r="AI32" s="291"/>
      <c r="AJ32" s="291"/>
      <c r="AK32" s="291"/>
      <c r="AL32" s="291"/>
      <c r="AM32" s="292"/>
      <c r="AN32" s="292"/>
      <c r="AO32" s="292"/>
      <c r="AP32" s="292"/>
      <c r="AQ32" s="292"/>
      <c r="AR32" s="35"/>
      <c r="AS32" s="291"/>
      <c r="AT32" s="291"/>
      <c r="AU32" s="291"/>
      <c r="AV32" s="291"/>
      <c r="AW32" s="291"/>
      <c r="AX32" s="291"/>
      <c r="AY32" s="292"/>
      <c r="AZ32" s="292"/>
      <c r="BA32" s="292"/>
      <c r="BB32" s="292"/>
      <c r="BC32" s="292"/>
      <c r="BD32" s="35"/>
      <c r="BE32" s="291"/>
      <c r="BF32" s="291"/>
      <c r="BG32" s="291"/>
      <c r="BH32" s="291"/>
      <c r="BI32" s="291"/>
      <c r="BJ32" s="291"/>
      <c r="BK32" s="292"/>
      <c r="BL32" s="292"/>
      <c r="BM32" s="292"/>
      <c r="BN32" s="292"/>
      <c r="BO32" s="292"/>
      <c r="BP32" s="35"/>
      <c r="BQ32" s="291"/>
      <c r="BR32" s="291"/>
      <c r="BS32" s="291"/>
      <c r="BT32" s="291"/>
      <c r="BU32" s="291"/>
      <c r="BV32" s="291"/>
      <c r="BW32" s="292"/>
      <c r="BX32" s="292"/>
      <c r="BY32" s="292"/>
      <c r="BZ32" s="292"/>
      <c r="CA32" s="292"/>
      <c r="CB32" s="35"/>
      <c r="CC32" s="291"/>
      <c r="CD32" s="291"/>
      <c r="CE32" s="291"/>
      <c r="CF32" s="291"/>
      <c r="CG32" s="291"/>
      <c r="CH32" s="291"/>
      <c r="CI32" s="292"/>
      <c r="CJ32" s="292"/>
      <c r="CK32" s="292"/>
      <c r="CL32" s="292"/>
      <c r="CM32" s="292"/>
      <c r="CN32" s="35"/>
      <c r="CO32" s="291"/>
      <c r="CP32" s="291"/>
      <c r="CQ32" s="291"/>
      <c r="CR32" s="291"/>
      <c r="CS32" s="291"/>
      <c r="CT32" s="291"/>
      <c r="CU32" s="292"/>
      <c r="CV32" s="292"/>
      <c r="CW32" s="292"/>
      <c r="CX32" s="292"/>
      <c r="CY32" s="292"/>
      <c r="CZ32" s="35"/>
      <c r="DA32" s="291"/>
      <c r="DB32" s="291"/>
      <c r="DC32" s="291"/>
      <c r="DD32" s="291"/>
      <c r="DE32" s="291"/>
      <c r="DF32" s="291"/>
      <c r="DG32" s="292"/>
      <c r="DH32" s="292"/>
      <c r="DI32" s="292"/>
      <c r="DJ32" s="292"/>
      <c r="DK32" s="292"/>
      <c r="DL32" s="35"/>
      <c r="DM32" s="291"/>
      <c r="DN32" s="291"/>
      <c r="DO32" s="291"/>
      <c r="DP32" s="291"/>
      <c r="DQ32" s="291"/>
      <c r="DR32" s="291"/>
      <c r="DS32" s="292"/>
      <c r="DT32" s="292"/>
      <c r="DU32" s="292"/>
      <c r="DV32" s="292"/>
      <c r="DW32" s="292"/>
      <c r="DX32" s="35"/>
      <c r="DY32" s="291"/>
      <c r="DZ32" s="291"/>
      <c r="EA32" s="291"/>
      <c r="EB32" s="291"/>
      <c r="EC32" s="291"/>
      <c r="ED32" s="291"/>
      <c r="EE32" s="292"/>
      <c r="EF32" s="292"/>
      <c r="EG32" s="292"/>
      <c r="EH32" s="292"/>
      <c r="EI32" s="292"/>
      <c r="EJ32" s="35"/>
      <c r="EK32" s="291"/>
      <c r="EL32" s="291"/>
      <c r="EM32" s="291"/>
      <c r="EN32" s="291"/>
      <c r="EO32" s="291"/>
      <c r="EP32" s="291"/>
      <c r="EQ32" s="292"/>
      <c r="ER32" s="292"/>
      <c r="ES32" s="292"/>
      <c r="ET32" s="292"/>
      <c r="EU32" s="292"/>
      <c r="EV32" s="35"/>
      <c r="EW32" s="291"/>
      <c r="EX32" s="291"/>
      <c r="EY32" s="291"/>
      <c r="EZ32" s="291"/>
      <c r="FA32" s="291"/>
      <c r="FB32" s="291"/>
      <c r="FC32" s="292"/>
      <c r="FD32" s="292"/>
      <c r="FE32" s="292"/>
      <c r="FF32" s="292"/>
      <c r="FG32" s="292"/>
      <c r="FH32" s="35"/>
      <c r="FI32" s="291"/>
      <c r="FJ32" s="291"/>
      <c r="FK32" s="291"/>
      <c r="FL32" s="291"/>
      <c r="FM32" s="291"/>
      <c r="FN32" s="291"/>
      <c r="FO32" s="292"/>
      <c r="FP32" s="292"/>
      <c r="FQ32" s="292"/>
      <c r="FR32" s="292"/>
      <c r="FS32" s="292"/>
      <c r="FT32" s="35"/>
      <c r="FU32" s="291"/>
      <c r="FV32" s="291"/>
      <c r="FW32" s="291"/>
      <c r="FX32" s="291"/>
      <c r="FY32" s="291"/>
      <c r="FZ32" s="291"/>
      <c r="GA32" s="292"/>
      <c r="GB32" s="292"/>
      <c r="GC32" s="292"/>
      <c r="GD32" s="292"/>
      <c r="GE32" s="292"/>
      <c r="GF32" s="35"/>
      <c r="GG32" s="291"/>
      <c r="GH32" s="291"/>
      <c r="GI32" s="291"/>
      <c r="GJ32" s="291"/>
      <c r="GK32" s="291"/>
      <c r="GL32" s="291"/>
      <c r="GM32" s="292"/>
      <c r="GN32" s="292"/>
      <c r="GO32" s="292"/>
      <c r="GP32" s="292"/>
      <c r="GQ32" s="292"/>
      <c r="GR32" s="35"/>
      <c r="GS32" s="291"/>
      <c r="GT32" s="291"/>
      <c r="GU32" s="291"/>
      <c r="GV32" s="291"/>
      <c r="GW32" s="291"/>
      <c r="GX32" s="291"/>
      <c r="GY32" s="292"/>
      <c r="GZ32" s="292"/>
      <c r="HA32" s="292"/>
      <c r="HB32" s="292"/>
      <c r="HC32" s="292"/>
      <c r="HD32" s="35"/>
      <c r="HE32" s="291"/>
      <c r="HF32" s="291"/>
      <c r="HG32" s="291"/>
      <c r="HH32" s="291"/>
      <c r="HI32" s="291"/>
      <c r="HJ32" s="291"/>
      <c r="HK32" s="292"/>
      <c r="HL32" s="292"/>
      <c r="HM32" s="292"/>
      <c r="HN32" s="292"/>
      <c r="HO32" s="292"/>
      <c r="HP32" s="35"/>
      <c r="HQ32" s="291"/>
      <c r="HR32" s="291"/>
      <c r="HS32" s="291"/>
      <c r="HT32" s="291"/>
      <c r="HU32" s="291"/>
      <c r="HV32" s="291"/>
      <c r="HW32" s="292"/>
      <c r="HX32" s="292"/>
      <c r="HY32" s="292"/>
      <c r="HZ32" s="292"/>
      <c r="IA32" s="292"/>
      <c r="IB32" s="35"/>
      <c r="IC32" s="291"/>
      <c r="ID32" s="291"/>
      <c r="IE32" s="291"/>
      <c r="IF32" s="291"/>
      <c r="IG32" s="291"/>
      <c r="IH32" s="291"/>
      <c r="II32" s="292"/>
      <c r="IJ32" s="292"/>
      <c r="IK32" s="292"/>
      <c r="IL32" s="292"/>
      <c r="IM32" s="292"/>
      <c r="IN32" s="35"/>
      <c r="IO32" s="291"/>
      <c r="IP32" s="291"/>
      <c r="IQ32" s="291"/>
    </row>
    <row r="33" spans="1:251" s="5" customFormat="1" ht="14.25">
      <c r="A33" s="35" t="s">
        <v>5</v>
      </c>
      <c r="B33" s="291">
        <v>6.9</v>
      </c>
      <c r="C33" s="291">
        <v>8.5</v>
      </c>
      <c r="D33" s="291">
        <v>-7.1</v>
      </c>
      <c r="E33" s="291">
        <v>-0.8</v>
      </c>
      <c r="F33" s="291">
        <v>1.1000000000000001</v>
      </c>
      <c r="G33" s="292">
        <v>0.6</v>
      </c>
      <c r="H33" s="291">
        <v>3.4</v>
      </c>
      <c r="I33" s="291">
        <v>2.8</v>
      </c>
      <c r="J33" s="291">
        <v>2.8</v>
      </c>
      <c r="K33" s="291">
        <v>3.3</v>
      </c>
      <c r="L33" s="292"/>
      <c r="M33" s="291"/>
      <c r="N33" s="291"/>
      <c r="O33" s="292"/>
      <c r="P33" s="292"/>
      <c r="Q33" s="292"/>
      <c r="R33" s="292"/>
      <c r="S33" s="292"/>
      <c r="T33" s="35"/>
      <c r="U33" s="291"/>
      <c r="V33" s="291"/>
      <c r="W33" s="291"/>
      <c r="X33" s="292"/>
      <c r="Y33" s="291"/>
      <c r="Z33" s="291"/>
      <c r="AA33" s="292"/>
      <c r="AB33" s="292"/>
      <c r="AC33" s="292"/>
      <c r="AD33" s="292"/>
      <c r="AE33" s="292"/>
      <c r="AF33" s="35"/>
      <c r="AG33" s="291"/>
      <c r="AH33" s="291"/>
      <c r="AI33" s="291"/>
      <c r="AJ33" s="292"/>
      <c r="AK33" s="291"/>
      <c r="AL33" s="291"/>
      <c r="AM33" s="292"/>
      <c r="AN33" s="292"/>
      <c r="AO33" s="292"/>
      <c r="AP33" s="292"/>
      <c r="AQ33" s="292"/>
      <c r="AR33" s="35"/>
      <c r="AS33" s="291"/>
      <c r="AT33" s="291"/>
      <c r="AU33" s="291"/>
      <c r="AV33" s="292"/>
      <c r="AW33" s="291"/>
      <c r="AX33" s="291"/>
      <c r="AY33" s="292"/>
      <c r="AZ33" s="292"/>
      <c r="BA33" s="292"/>
      <c r="BB33" s="292"/>
      <c r="BC33" s="292"/>
      <c r="BD33" s="35"/>
      <c r="BE33" s="291"/>
      <c r="BF33" s="291"/>
      <c r="BG33" s="291"/>
      <c r="BH33" s="292"/>
      <c r="BI33" s="291"/>
      <c r="BJ33" s="291"/>
      <c r="BK33" s="292"/>
      <c r="BL33" s="292"/>
      <c r="BM33" s="292"/>
      <c r="BN33" s="292"/>
      <c r="BO33" s="292"/>
      <c r="BP33" s="35"/>
      <c r="BQ33" s="291"/>
      <c r="BR33" s="291"/>
      <c r="BS33" s="291"/>
      <c r="BT33" s="292"/>
      <c r="BU33" s="291"/>
      <c r="BV33" s="291"/>
      <c r="BW33" s="292"/>
      <c r="BX33" s="292"/>
      <c r="BY33" s="292"/>
      <c r="BZ33" s="292"/>
      <c r="CA33" s="292"/>
      <c r="CB33" s="35"/>
      <c r="CC33" s="291"/>
      <c r="CD33" s="291"/>
      <c r="CE33" s="291"/>
      <c r="CF33" s="292"/>
      <c r="CG33" s="291"/>
      <c r="CH33" s="291"/>
      <c r="CI33" s="292"/>
      <c r="CJ33" s="292"/>
      <c r="CK33" s="292"/>
      <c r="CL33" s="292"/>
      <c r="CM33" s="292"/>
      <c r="CN33" s="35"/>
      <c r="CO33" s="291"/>
      <c r="CP33" s="291"/>
      <c r="CQ33" s="291"/>
      <c r="CR33" s="292"/>
      <c r="CS33" s="291"/>
      <c r="CT33" s="291"/>
      <c r="CU33" s="292"/>
      <c r="CV33" s="292"/>
      <c r="CW33" s="292"/>
      <c r="CX33" s="292"/>
      <c r="CY33" s="292"/>
      <c r="CZ33" s="35"/>
      <c r="DA33" s="291"/>
      <c r="DB33" s="291"/>
      <c r="DC33" s="291"/>
      <c r="DD33" s="292"/>
      <c r="DE33" s="291"/>
      <c r="DF33" s="291"/>
      <c r="DG33" s="292"/>
      <c r="DH33" s="292"/>
      <c r="DI33" s="292"/>
      <c r="DJ33" s="292"/>
      <c r="DK33" s="292"/>
      <c r="DL33" s="35"/>
      <c r="DM33" s="291"/>
      <c r="DN33" s="291"/>
      <c r="DO33" s="291"/>
      <c r="DP33" s="292"/>
      <c r="DQ33" s="291"/>
      <c r="DR33" s="291"/>
      <c r="DS33" s="292"/>
      <c r="DT33" s="292"/>
      <c r="DU33" s="292"/>
      <c r="DV33" s="292"/>
      <c r="DW33" s="292"/>
      <c r="DX33" s="35"/>
      <c r="DY33" s="291"/>
      <c r="DZ33" s="291"/>
      <c r="EA33" s="291"/>
      <c r="EB33" s="292"/>
      <c r="EC33" s="291"/>
      <c r="ED33" s="291"/>
      <c r="EE33" s="292"/>
      <c r="EF33" s="292"/>
      <c r="EG33" s="292"/>
      <c r="EH33" s="292"/>
      <c r="EI33" s="292"/>
      <c r="EJ33" s="35"/>
      <c r="EK33" s="291"/>
      <c r="EL33" s="291"/>
      <c r="EM33" s="291"/>
      <c r="EN33" s="292"/>
      <c r="EO33" s="291"/>
      <c r="EP33" s="291"/>
      <c r="EQ33" s="292"/>
      <c r="ER33" s="292"/>
      <c r="ES33" s="292"/>
      <c r="ET33" s="292"/>
      <c r="EU33" s="292"/>
      <c r="EV33" s="35"/>
      <c r="EW33" s="291"/>
      <c r="EX33" s="291"/>
      <c r="EY33" s="291"/>
      <c r="EZ33" s="292"/>
      <c r="FA33" s="291"/>
      <c r="FB33" s="291"/>
      <c r="FC33" s="292"/>
      <c r="FD33" s="292"/>
      <c r="FE33" s="292"/>
      <c r="FF33" s="292"/>
      <c r="FG33" s="292"/>
      <c r="FH33" s="35"/>
      <c r="FI33" s="291"/>
      <c r="FJ33" s="291"/>
      <c r="FK33" s="291"/>
      <c r="FL33" s="292"/>
      <c r="FM33" s="291"/>
      <c r="FN33" s="291"/>
      <c r="FO33" s="292"/>
      <c r="FP33" s="292"/>
      <c r="FQ33" s="292"/>
      <c r="FR33" s="292"/>
      <c r="FS33" s="292"/>
      <c r="FT33" s="35"/>
      <c r="FU33" s="291"/>
      <c r="FV33" s="291"/>
      <c r="FW33" s="291"/>
      <c r="FX33" s="292"/>
      <c r="FY33" s="291"/>
      <c r="FZ33" s="291"/>
      <c r="GA33" s="292"/>
      <c r="GB33" s="292"/>
      <c r="GC33" s="292"/>
      <c r="GD33" s="292"/>
      <c r="GE33" s="292"/>
      <c r="GF33" s="35"/>
      <c r="GG33" s="291"/>
      <c r="GH33" s="291"/>
      <c r="GI33" s="291"/>
      <c r="GJ33" s="292"/>
      <c r="GK33" s="291"/>
      <c r="GL33" s="291"/>
      <c r="GM33" s="292"/>
      <c r="GN33" s="292"/>
      <c r="GO33" s="292"/>
      <c r="GP33" s="292"/>
      <c r="GQ33" s="292"/>
      <c r="GR33" s="35"/>
      <c r="GS33" s="291"/>
      <c r="GT33" s="291"/>
      <c r="GU33" s="291"/>
      <c r="GV33" s="292"/>
      <c r="GW33" s="291"/>
      <c r="GX33" s="291"/>
      <c r="GY33" s="292"/>
      <c r="GZ33" s="292"/>
      <c r="HA33" s="292"/>
      <c r="HB33" s="292"/>
      <c r="HC33" s="292"/>
      <c r="HD33" s="35"/>
      <c r="HE33" s="291"/>
      <c r="HF33" s="291"/>
      <c r="HG33" s="291"/>
      <c r="HH33" s="292"/>
      <c r="HI33" s="291"/>
      <c r="HJ33" s="291"/>
      <c r="HK33" s="292"/>
      <c r="HL33" s="292"/>
      <c r="HM33" s="292"/>
      <c r="HN33" s="292"/>
      <c r="HO33" s="292"/>
      <c r="HP33" s="35"/>
      <c r="HQ33" s="291"/>
      <c r="HR33" s="291"/>
      <c r="HS33" s="291"/>
      <c r="HT33" s="292"/>
      <c r="HU33" s="291"/>
      <c r="HV33" s="291"/>
      <c r="HW33" s="292"/>
      <c r="HX33" s="292"/>
      <c r="HY33" s="292"/>
      <c r="HZ33" s="292"/>
      <c r="IA33" s="292"/>
      <c r="IB33" s="35"/>
      <c r="IC33" s="291"/>
      <c r="ID33" s="291"/>
      <c r="IE33" s="291"/>
      <c r="IF33" s="292"/>
      <c r="IG33" s="291"/>
      <c r="IH33" s="291"/>
      <c r="II33" s="292"/>
      <c r="IJ33" s="292"/>
      <c r="IK33" s="292"/>
      <c r="IL33" s="292"/>
      <c r="IM33" s="292"/>
      <c r="IN33" s="35"/>
      <c r="IO33" s="291"/>
      <c r="IP33" s="291"/>
      <c r="IQ33" s="291"/>
    </row>
    <row r="34" spans="1:251" s="5" customFormat="1" ht="14.25">
      <c r="A34" s="36" t="s">
        <v>4</v>
      </c>
      <c r="B34" s="291">
        <v>3.4</v>
      </c>
      <c r="C34" s="291">
        <v>-0.6</v>
      </c>
      <c r="D34" s="291">
        <v>-5.2</v>
      </c>
      <c r="E34" s="291">
        <v>6</v>
      </c>
      <c r="F34" s="291">
        <v>2.7</v>
      </c>
      <c r="G34" s="291">
        <v>-0.3</v>
      </c>
      <c r="H34" s="291">
        <v>1.3</v>
      </c>
      <c r="I34" s="291">
        <v>2.1</v>
      </c>
      <c r="J34" s="291">
        <v>2.5</v>
      </c>
      <c r="K34" s="291">
        <v>2.8</v>
      </c>
      <c r="L34" s="291"/>
      <c r="M34" s="291"/>
      <c r="N34" s="291"/>
      <c r="O34" s="291"/>
      <c r="P34" s="291"/>
      <c r="Q34" s="291"/>
      <c r="R34" s="291"/>
      <c r="S34" s="291"/>
      <c r="T34" s="36"/>
      <c r="U34" s="291"/>
      <c r="V34" s="291"/>
      <c r="W34" s="291"/>
      <c r="X34" s="291"/>
      <c r="Y34" s="291"/>
      <c r="Z34" s="291"/>
      <c r="AA34" s="291"/>
      <c r="AB34" s="291"/>
      <c r="AC34" s="291"/>
      <c r="AD34" s="291"/>
      <c r="AE34" s="291"/>
      <c r="AF34" s="36"/>
      <c r="AG34" s="291"/>
      <c r="AH34" s="291"/>
      <c r="AI34" s="291"/>
      <c r="AJ34" s="291"/>
      <c r="AK34" s="291"/>
      <c r="AL34" s="291"/>
      <c r="AM34" s="291"/>
      <c r="AN34" s="291"/>
      <c r="AO34" s="291"/>
      <c r="AP34" s="291"/>
      <c r="AQ34" s="291"/>
      <c r="AR34" s="36"/>
      <c r="AS34" s="291"/>
      <c r="AT34" s="291"/>
      <c r="AU34" s="291"/>
      <c r="AV34" s="291"/>
      <c r="AW34" s="291"/>
      <c r="AX34" s="291"/>
      <c r="AY34" s="291"/>
      <c r="AZ34" s="291"/>
      <c r="BA34" s="291"/>
      <c r="BB34" s="291"/>
      <c r="BC34" s="291"/>
      <c r="BD34" s="36"/>
      <c r="BE34" s="291"/>
      <c r="BF34" s="291"/>
      <c r="BG34" s="291"/>
      <c r="BH34" s="291"/>
      <c r="BI34" s="291"/>
      <c r="BJ34" s="291"/>
      <c r="BK34" s="291"/>
      <c r="BL34" s="291"/>
      <c r="BM34" s="291"/>
      <c r="BN34" s="291"/>
      <c r="BO34" s="291"/>
      <c r="BP34" s="36"/>
      <c r="BQ34" s="291"/>
      <c r="BR34" s="291"/>
      <c r="BS34" s="291"/>
      <c r="BT34" s="291"/>
      <c r="BU34" s="291"/>
      <c r="BV34" s="291"/>
      <c r="BW34" s="291"/>
      <c r="BX34" s="291"/>
      <c r="BY34" s="291"/>
      <c r="BZ34" s="291"/>
      <c r="CA34" s="291"/>
      <c r="CB34" s="36"/>
      <c r="CC34" s="291"/>
      <c r="CD34" s="291"/>
      <c r="CE34" s="291"/>
      <c r="CF34" s="291"/>
      <c r="CG34" s="291"/>
      <c r="CH34" s="291"/>
      <c r="CI34" s="291"/>
      <c r="CJ34" s="291"/>
      <c r="CK34" s="291"/>
      <c r="CL34" s="291"/>
      <c r="CM34" s="291"/>
      <c r="CN34" s="36"/>
      <c r="CO34" s="291"/>
      <c r="CP34" s="291"/>
      <c r="CQ34" s="291"/>
      <c r="CR34" s="291"/>
      <c r="CS34" s="291"/>
      <c r="CT34" s="291"/>
      <c r="CU34" s="291"/>
      <c r="CV34" s="291"/>
      <c r="CW34" s="291"/>
      <c r="CX34" s="291"/>
      <c r="CY34" s="291"/>
      <c r="CZ34" s="36"/>
      <c r="DA34" s="291"/>
      <c r="DB34" s="291"/>
      <c r="DC34" s="291"/>
      <c r="DD34" s="291"/>
      <c r="DE34" s="291"/>
      <c r="DF34" s="291"/>
      <c r="DG34" s="291"/>
      <c r="DH34" s="291"/>
      <c r="DI34" s="291"/>
      <c r="DJ34" s="291"/>
      <c r="DK34" s="291"/>
      <c r="DL34" s="36"/>
      <c r="DM34" s="291"/>
      <c r="DN34" s="291"/>
      <c r="DO34" s="291"/>
      <c r="DP34" s="291"/>
      <c r="DQ34" s="291"/>
      <c r="DR34" s="291"/>
      <c r="DS34" s="291"/>
      <c r="DT34" s="291"/>
      <c r="DU34" s="291"/>
      <c r="DV34" s="291"/>
      <c r="DW34" s="291"/>
      <c r="DX34" s="36"/>
      <c r="DY34" s="291"/>
      <c r="DZ34" s="291"/>
      <c r="EA34" s="291"/>
      <c r="EB34" s="291"/>
      <c r="EC34" s="291"/>
      <c r="ED34" s="291"/>
      <c r="EE34" s="291"/>
      <c r="EF34" s="291"/>
      <c r="EG34" s="291"/>
      <c r="EH34" s="291"/>
      <c r="EI34" s="291"/>
      <c r="EJ34" s="36"/>
      <c r="EK34" s="291"/>
      <c r="EL34" s="291"/>
      <c r="EM34" s="291"/>
      <c r="EN34" s="291"/>
      <c r="EO34" s="291"/>
      <c r="EP34" s="291"/>
      <c r="EQ34" s="291"/>
      <c r="ER34" s="291"/>
      <c r="ES34" s="291"/>
      <c r="ET34" s="291"/>
      <c r="EU34" s="291"/>
      <c r="EV34" s="36"/>
      <c r="EW34" s="291"/>
      <c r="EX34" s="291"/>
      <c r="EY34" s="291"/>
      <c r="EZ34" s="291"/>
      <c r="FA34" s="291"/>
      <c r="FB34" s="291"/>
      <c r="FC34" s="291"/>
      <c r="FD34" s="291"/>
      <c r="FE34" s="291"/>
      <c r="FF34" s="291"/>
      <c r="FG34" s="291"/>
      <c r="FH34" s="36"/>
      <c r="FI34" s="291"/>
      <c r="FJ34" s="291"/>
      <c r="FK34" s="291"/>
      <c r="FL34" s="291"/>
      <c r="FM34" s="291"/>
      <c r="FN34" s="291"/>
      <c r="FO34" s="291"/>
      <c r="FP34" s="291"/>
      <c r="FQ34" s="291"/>
      <c r="FR34" s="291"/>
      <c r="FS34" s="291"/>
      <c r="FT34" s="36"/>
      <c r="FU34" s="291"/>
      <c r="FV34" s="291"/>
      <c r="FW34" s="291"/>
      <c r="FX34" s="291"/>
      <c r="FY34" s="291"/>
      <c r="FZ34" s="291"/>
      <c r="GA34" s="291"/>
      <c r="GB34" s="291"/>
      <c r="GC34" s="291"/>
      <c r="GD34" s="291"/>
      <c r="GE34" s="291"/>
      <c r="GF34" s="36"/>
      <c r="GG34" s="291"/>
      <c r="GH34" s="291"/>
      <c r="GI34" s="291"/>
      <c r="GJ34" s="291"/>
      <c r="GK34" s="291"/>
      <c r="GL34" s="291"/>
      <c r="GM34" s="291"/>
      <c r="GN34" s="291"/>
      <c r="GO34" s="291"/>
      <c r="GP34" s="291"/>
      <c r="GQ34" s="291"/>
      <c r="GR34" s="36"/>
      <c r="GS34" s="291"/>
      <c r="GT34" s="291"/>
      <c r="GU34" s="291"/>
      <c r="GV34" s="291"/>
      <c r="GW34" s="291"/>
      <c r="GX34" s="291"/>
      <c r="GY34" s="291"/>
      <c r="GZ34" s="291"/>
      <c r="HA34" s="291"/>
      <c r="HB34" s="291"/>
      <c r="HC34" s="291"/>
      <c r="HD34" s="36"/>
      <c r="HE34" s="291"/>
      <c r="HF34" s="291"/>
      <c r="HG34" s="291"/>
      <c r="HH34" s="291"/>
      <c r="HI34" s="291"/>
      <c r="HJ34" s="291"/>
      <c r="HK34" s="291"/>
      <c r="HL34" s="291"/>
      <c r="HM34" s="291"/>
      <c r="HN34" s="291"/>
      <c r="HO34" s="291"/>
      <c r="HP34" s="36"/>
      <c r="HQ34" s="291"/>
      <c r="HR34" s="291"/>
      <c r="HS34" s="291"/>
      <c r="HT34" s="291"/>
      <c r="HU34" s="291"/>
      <c r="HV34" s="291"/>
      <c r="HW34" s="291"/>
      <c r="HX34" s="291"/>
      <c r="HY34" s="291"/>
      <c r="HZ34" s="291"/>
      <c r="IA34" s="291"/>
      <c r="IB34" s="36"/>
      <c r="IC34" s="291"/>
      <c r="ID34" s="291"/>
      <c r="IE34" s="291"/>
      <c r="IF34" s="291"/>
      <c r="IG34" s="291"/>
      <c r="IH34" s="291"/>
      <c r="II34" s="291"/>
      <c r="IJ34" s="291"/>
      <c r="IK34" s="291"/>
      <c r="IL34" s="291"/>
      <c r="IM34" s="291"/>
      <c r="IN34" s="36"/>
      <c r="IO34" s="291"/>
      <c r="IP34" s="291"/>
      <c r="IQ34" s="291"/>
    </row>
    <row r="35" spans="1:251" s="38" customFormat="1" ht="14.25">
      <c r="A35" s="35" t="s">
        <v>3</v>
      </c>
      <c r="B35" s="291">
        <v>2.6</v>
      </c>
      <c r="C35" s="291">
        <v>-0.3</v>
      </c>
      <c r="D35" s="291">
        <v>-4.3</v>
      </c>
      <c r="E35" s="291">
        <v>1.9</v>
      </c>
      <c r="F35" s="291">
        <v>1.6</v>
      </c>
      <c r="G35" s="291">
        <v>0.7</v>
      </c>
      <c r="H35" s="291">
        <v>1.7</v>
      </c>
      <c r="I35" s="291">
        <v>2.8</v>
      </c>
      <c r="J35" s="291">
        <v>2.6</v>
      </c>
      <c r="K35" s="291">
        <v>2.4</v>
      </c>
      <c r="L35" s="295"/>
      <c r="M35" s="295"/>
      <c r="N35" s="295"/>
      <c r="O35" s="295"/>
      <c r="P35" s="295"/>
      <c r="Q35" s="295"/>
      <c r="R35" s="295"/>
      <c r="S35" s="295"/>
      <c r="T35" s="34"/>
      <c r="U35" s="295"/>
      <c r="V35" s="295"/>
      <c r="W35" s="295"/>
      <c r="X35" s="295"/>
      <c r="Y35" s="295"/>
      <c r="Z35" s="295"/>
      <c r="AA35" s="295"/>
      <c r="AB35" s="295"/>
      <c r="AC35" s="295"/>
      <c r="AD35" s="295"/>
      <c r="AE35" s="295"/>
      <c r="AF35" s="34"/>
      <c r="AG35" s="295"/>
      <c r="AH35" s="295"/>
      <c r="AI35" s="295"/>
      <c r="AJ35" s="295"/>
      <c r="AK35" s="295"/>
      <c r="AL35" s="295"/>
      <c r="AM35" s="295"/>
      <c r="AN35" s="295"/>
      <c r="AO35" s="295"/>
      <c r="AP35" s="295"/>
      <c r="AQ35" s="295"/>
      <c r="AR35" s="34"/>
      <c r="AS35" s="295"/>
      <c r="AT35" s="295"/>
      <c r="AU35" s="295"/>
      <c r="AV35" s="295"/>
      <c r="AW35" s="295"/>
      <c r="AX35" s="295"/>
      <c r="AY35" s="295"/>
      <c r="AZ35" s="295"/>
      <c r="BA35" s="295"/>
      <c r="BB35" s="295"/>
      <c r="BC35" s="295"/>
      <c r="BD35" s="34"/>
      <c r="BE35" s="295"/>
      <c r="BF35" s="295"/>
      <c r="BG35" s="295"/>
      <c r="BH35" s="295"/>
      <c r="BI35" s="295"/>
      <c r="BJ35" s="295"/>
      <c r="BK35" s="295"/>
      <c r="BL35" s="295"/>
      <c r="BM35" s="295"/>
      <c r="BN35" s="295"/>
      <c r="BO35" s="295"/>
      <c r="BP35" s="34"/>
      <c r="BQ35" s="295"/>
      <c r="BR35" s="295"/>
      <c r="BS35" s="295"/>
      <c r="BT35" s="295"/>
      <c r="BU35" s="295"/>
      <c r="BV35" s="295"/>
      <c r="BW35" s="295"/>
      <c r="BX35" s="295"/>
      <c r="BY35" s="295"/>
      <c r="BZ35" s="295"/>
      <c r="CA35" s="295"/>
      <c r="CB35" s="34"/>
      <c r="CC35" s="295"/>
      <c r="CD35" s="295"/>
      <c r="CE35" s="295"/>
      <c r="CF35" s="295"/>
      <c r="CG35" s="295"/>
      <c r="CH35" s="295"/>
      <c r="CI35" s="295"/>
      <c r="CJ35" s="295"/>
      <c r="CK35" s="295"/>
      <c r="CL35" s="295"/>
      <c r="CM35" s="295"/>
      <c r="CN35" s="34"/>
      <c r="CO35" s="295"/>
      <c r="CP35" s="295"/>
      <c r="CQ35" s="295"/>
      <c r="CR35" s="295"/>
      <c r="CS35" s="295"/>
      <c r="CT35" s="295"/>
      <c r="CU35" s="295"/>
      <c r="CV35" s="295"/>
      <c r="CW35" s="295"/>
      <c r="CX35" s="295"/>
      <c r="CY35" s="295"/>
      <c r="CZ35" s="34"/>
      <c r="DA35" s="295"/>
      <c r="DB35" s="295"/>
      <c r="DC35" s="295"/>
      <c r="DD35" s="295"/>
      <c r="DE35" s="295"/>
      <c r="DF35" s="295"/>
      <c r="DG35" s="295"/>
      <c r="DH35" s="295"/>
      <c r="DI35" s="295"/>
      <c r="DJ35" s="295"/>
      <c r="DK35" s="295"/>
      <c r="DL35" s="34"/>
      <c r="DM35" s="295"/>
      <c r="DN35" s="295"/>
      <c r="DO35" s="295"/>
      <c r="DP35" s="295"/>
      <c r="DQ35" s="295"/>
      <c r="DR35" s="295"/>
      <c r="DS35" s="295"/>
      <c r="DT35" s="295"/>
      <c r="DU35" s="295"/>
      <c r="DV35" s="295"/>
      <c r="DW35" s="295"/>
      <c r="DX35" s="34"/>
      <c r="DY35" s="295"/>
      <c r="DZ35" s="295"/>
      <c r="EA35" s="295"/>
      <c r="EB35" s="295"/>
      <c r="EC35" s="295"/>
      <c r="ED35" s="295"/>
      <c r="EE35" s="295"/>
      <c r="EF35" s="295"/>
      <c r="EG35" s="295"/>
      <c r="EH35" s="295"/>
      <c r="EI35" s="295"/>
      <c r="EJ35" s="34"/>
      <c r="EK35" s="295"/>
      <c r="EL35" s="295"/>
      <c r="EM35" s="295"/>
      <c r="EN35" s="295"/>
      <c r="EO35" s="295"/>
      <c r="EP35" s="295"/>
      <c r="EQ35" s="295"/>
      <c r="ER35" s="295"/>
      <c r="ES35" s="295"/>
      <c r="ET35" s="295"/>
      <c r="EU35" s="295"/>
      <c r="EV35" s="34"/>
      <c r="EW35" s="295"/>
      <c r="EX35" s="295"/>
      <c r="EY35" s="295"/>
      <c r="EZ35" s="295"/>
      <c r="FA35" s="295"/>
      <c r="FB35" s="295"/>
      <c r="FC35" s="295"/>
      <c r="FD35" s="295"/>
      <c r="FE35" s="295"/>
      <c r="FF35" s="295"/>
      <c r="FG35" s="295"/>
      <c r="FH35" s="34"/>
      <c r="FI35" s="295"/>
      <c r="FJ35" s="295"/>
      <c r="FK35" s="295"/>
      <c r="FL35" s="295"/>
      <c r="FM35" s="295"/>
      <c r="FN35" s="295"/>
      <c r="FO35" s="295"/>
      <c r="FP35" s="295"/>
      <c r="FQ35" s="295"/>
      <c r="FR35" s="295"/>
      <c r="FS35" s="295"/>
      <c r="FT35" s="34"/>
      <c r="FU35" s="295"/>
      <c r="FV35" s="295"/>
      <c r="FW35" s="295"/>
      <c r="FX35" s="295"/>
      <c r="FY35" s="295"/>
      <c r="FZ35" s="295"/>
      <c r="GA35" s="295"/>
      <c r="GB35" s="295"/>
      <c r="GC35" s="295"/>
      <c r="GD35" s="295"/>
      <c r="GE35" s="295"/>
      <c r="GF35" s="34"/>
      <c r="GG35" s="295"/>
      <c r="GH35" s="295"/>
      <c r="GI35" s="295"/>
      <c r="GJ35" s="295"/>
      <c r="GK35" s="295"/>
      <c r="GL35" s="295"/>
      <c r="GM35" s="295"/>
      <c r="GN35" s="295"/>
      <c r="GO35" s="295"/>
      <c r="GP35" s="295"/>
      <c r="GQ35" s="295"/>
      <c r="GR35" s="34"/>
      <c r="GS35" s="295"/>
      <c r="GT35" s="295"/>
      <c r="GU35" s="295"/>
      <c r="GV35" s="295"/>
      <c r="GW35" s="295"/>
      <c r="GX35" s="295"/>
      <c r="GY35" s="295"/>
      <c r="GZ35" s="295"/>
      <c r="HA35" s="295"/>
      <c r="HB35" s="295"/>
      <c r="HC35" s="295"/>
      <c r="HD35" s="34"/>
      <c r="HE35" s="295"/>
      <c r="HF35" s="295"/>
      <c r="HG35" s="295"/>
      <c r="HH35" s="295"/>
      <c r="HI35" s="295"/>
      <c r="HJ35" s="295"/>
      <c r="HK35" s="295"/>
      <c r="HL35" s="295"/>
      <c r="HM35" s="295"/>
      <c r="HN35" s="295"/>
      <c r="HO35" s="295"/>
      <c r="HP35" s="34"/>
      <c r="HQ35" s="295"/>
      <c r="HR35" s="295"/>
      <c r="HS35" s="295"/>
      <c r="HT35" s="295"/>
      <c r="HU35" s="295"/>
      <c r="HV35" s="295"/>
      <c r="HW35" s="295"/>
      <c r="HX35" s="295"/>
      <c r="HY35" s="295"/>
      <c r="HZ35" s="295"/>
      <c r="IA35" s="295"/>
      <c r="IB35" s="34"/>
      <c r="IC35" s="295"/>
      <c r="ID35" s="295"/>
      <c r="IE35" s="295"/>
      <c r="IF35" s="295"/>
      <c r="IG35" s="295"/>
      <c r="IH35" s="295"/>
      <c r="II35" s="295"/>
      <c r="IJ35" s="295"/>
      <c r="IK35" s="295"/>
      <c r="IL35" s="295"/>
      <c r="IM35" s="295"/>
      <c r="IN35" s="34"/>
      <c r="IO35" s="295"/>
      <c r="IP35" s="295"/>
      <c r="IQ35" s="295"/>
    </row>
    <row r="36" spans="1:251" s="5" customFormat="1" ht="14.25">
      <c r="A36" s="34" t="s">
        <v>817</v>
      </c>
      <c r="B36" s="295">
        <v>3.1</v>
      </c>
      <c r="C36" s="295">
        <v>0.5</v>
      </c>
      <c r="D36" s="295">
        <v>-4.4000000000000004</v>
      </c>
      <c r="E36" s="295">
        <v>2.1</v>
      </c>
      <c r="F36" s="295">
        <v>1.7</v>
      </c>
      <c r="G36" s="296">
        <v>-0.5</v>
      </c>
      <c r="H36" s="295">
        <v>0</v>
      </c>
      <c r="I36" s="295">
        <v>1.4</v>
      </c>
      <c r="J36" s="295">
        <v>1.8</v>
      </c>
      <c r="K36" s="295">
        <v>2.1</v>
      </c>
      <c r="L36" s="291"/>
      <c r="M36" s="291"/>
      <c r="N36" s="291"/>
      <c r="O36" s="292"/>
      <c r="P36" s="292"/>
      <c r="Q36" s="292"/>
      <c r="R36" s="292"/>
      <c r="S36" s="292"/>
      <c r="T36" s="35"/>
      <c r="U36" s="291"/>
      <c r="V36" s="291"/>
      <c r="W36" s="291"/>
      <c r="X36" s="291"/>
      <c r="Y36" s="291"/>
      <c r="Z36" s="291"/>
      <c r="AA36" s="292"/>
      <c r="AB36" s="292"/>
      <c r="AC36" s="292"/>
      <c r="AD36" s="292"/>
      <c r="AE36" s="292"/>
      <c r="AF36" s="35"/>
      <c r="AG36" s="291"/>
      <c r="AH36" s="291"/>
      <c r="AI36" s="291"/>
      <c r="AJ36" s="291"/>
      <c r="AK36" s="291"/>
      <c r="AL36" s="291"/>
      <c r="AM36" s="292"/>
      <c r="AN36" s="292"/>
      <c r="AO36" s="292"/>
      <c r="AP36" s="292"/>
      <c r="AQ36" s="292"/>
      <c r="AR36" s="35"/>
      <c r="AS36" s="291"/>
      <c r="AT36" s="291"/>
      <c r="AU36" s="291"/>
      <c r="AV36" s="291"/>
      <c r="AW36" s="291"/>
      <c r="AX36" s="291"/>
      <c r="AY36" s="292"/>
      <c r="AZ36" s="292"/>
      <c r="BA36" s="292"/>
      <c r="BB36" s="292"/>
      <c r="BC36" s="292"/>
      <c r="BD36" s="35"/>
      <c r="BE36" s="291"/>
      <c r="BF36" s="291"/>
      <c r="BG36" s="291"/>
      <c r="BH36" s="291"/>
      <c r="BI36" s="291"/>
      <c r="BJ36" s="291"/>
      <c r="BK36" s="292"/>
      <c r="BL36" s="292"/>
      <c r="BM36" s="292"/>
      <c r="BN36" s="292"/>
      <c r="BO36" s="292"/>
      <c r="BP36" s="35"/>
      <c r="BQ36" s="291"/>
      <c r="BR36" s="291"/>
      <c r="BS36" s="291"/>
      <c r="BT36" s="291"/>
      <c r="BU36" s="291"/>
      <c r="BV36" s="291"/>
      <c r="BW36" s="292"/>
      <c r="BX36" s="292"/>
      <c r="BY36" s="292"/>
      <c r="BZ36" s="292"/>
      <c r="CA36" s="292"/>
      <c r="CB36" s="35"/>
      <c r="CC36" s="291"/>
      <c r="CD36" s="291"/>
      <c r="CE36" s="291"/>
      <c r="CF36" s="291"/>
      <c r="CG36" s="291"/>
      <c r="CH36" s="291"/>
      <c r="CI36" s="292"/>
      <c r="CJ36" s="292"/>
      <c r="CK36" s="292"/>
      <c r="CL36" s="292"/>
      <c r="CM36" s="292"/>
      <c r="CN36" s="35"/>
      <c r="CO36" s="291"/>
      <c r="CP36" s="291"/>
      <c r="CQ36" s="291"/>
      <c r="CR36" s="291"/>
      <c r="CS36" s="291"/>
      <c r="CT36" s="291"/>
      <c r="CU36" s="292"/>
      <c r="CV36" s="292"/>
      <c r="CW36" s="292"/>
      <c r="CX36" s="292"/>
      <c r="CY36" s="292"/>
      <c r="CZ36" s="35"/>
      <c r="DA36" s="291"/>
      <c r="DB36" s="291"/>
      <c r="DC36" s="291"/>
      <c r="DD36" s="291"/>
      <c r="DE36" s="291"/>
      <c r="DF36" s="291"/>
      <c r="DG36" s="292"/>
      <c r="DH36" s="292"/>
      <c r="DI36" s="292"/>
      <c r="DJ36" s="292"/>
      <c r="DK36" s="292"/>
      <c r="DL36" s="35"/>
      <c r="DM36" s="291"/>
      <c r="DN36" s="291"/>
      <c r="DO36" s="291"/>
      <c r="DP36" s="291"/>
      <c r="DQ36" s="291"/>
      <c r="DR36" s="291"/>
      <c r="DS36" s="292"/>
      <c r="DT36" s="292"/>
      <c r="DU36" s="292"/>
      <c r="DV36" s="292"/>
      <c r="DW36" s="292"/>
      <c r="DX36" s="35"/>
      <c r="DY36" s="291"/>
      <c r="DZ36" s="291"/>
      <c r="EA36" s="291"/>
      <c r="EB36" s="291"/>
      <c r="EC36" s="291"/>
      <c r="ED36" s="291"/>
      <c r="EE36" s="292"/>
      <c r="EF36" s="292"/>
      <c r="EG36" s="292"/>
      <c r="EH36" s="292"/>
      <c r="EI36" s="292"/>
      <c r="EJ36" s="35"/>
      <c r="EK36" s="291"/>
      <c r="EL36" s="291"/>
      <c r="EM36" s="291"/>
      <c r="EN36" s="291"/>
      <c r="EO36" s="291"/>
      <c r="EP36" s="291"/>
      <c r="EQ36" s="292"/>
      <c r="ER36" s="292"/>
      <c r="ES36" s="292"/>
      <c r="ET36" s="292"/>
      <c r="EU36" s="292"/>
      <c r="EV36" s="35"/>
      <c r="EW36" s="291"/>
      <c r="EX36" s="291"/>
      <c r="EY36" s="291"/>
      <c r="EZ36" s="291"/>
      <c r="FA36" s="291"/>
      <c r="FB36" s="291"/>
      <c r="FC36" s="292"/>
      <c r="FD36" s="292"/>
      <c r="FE36" s="292"/>
      <c r="FF36" s="292"/>
      <c r="FG36" s="292"/>
      <c r="FH36" s="35"/>
      <c r="FI36" s="291"/>
      <c r="FJ36" s="291"/>
      <c r="FK36" s="291"/>
      <c r="FL36" s="291"/>
      <c r="FM36" s="291"/>
      <c r="FN36" s="291"/>
      <c r="FO36" s="292"/>
      <c r="FP36" s="292"/>
      <c r="FQ36" s="292"/>
      <c r="FR36" s="292"/>
      <c r="FS36" s="292"/>
      <c r="FT36" s="35"/>
      <c r="FU36" s="291"/>
      <c r="FV36" s="291"/>
      <c r="FW36" s="291"/>
      <c r="FX36" s="291"/>
      <c r="FY36" s="291"/>
      <c r="FZ36" s="291"/>
      <c r="GA36" s="292"/>
      <c r="GB36" s="292"/>
      <c r="GC36" s="292"/>
      <c r="GD36" s="292"/>
      <c r="GE36" s="292"/>
      <c r="GF36" s="35"/>
      <c r="GG36" s="291"/>
      <c r="GH36" s="291"/>
      <c r="GI36" s="291"/>
      <c r="GJ36" s="291"/>
      <c r="GK36" s="291"/>
      <c r="GL36" s="291"/>
      <c r="GM36" s="292"/>
      <c r="GN36" s="292"/>
      <c r="GO36" s="292"/>
      <c r="GP36" s="292"/>
      <c r="GQ36" s="292"/>
      <c r="GR36" s="35"/>
      <c r="GS36" s="291"/>
      <c r="GT36" s="291"/>
      <c r="GU36" s="291"/>
      <c r="GV36" s="291"/>
      <c r="GW36" s="291"/>
      <c r="GX36" s="291"/>
      <c r="GY36" s="292"/>
      <c r="GZ36" s="292"/>
      <c r="HA36" s="292"/>
      <c r="HB36" s="292"/>
      <c r="HC36" s="292"/>
      <c r="HD36" s="35"/>
      <c r="HE36" s="291"/>
      <c r="HF36" s="291"/>
      <c r="HG36" s="291"/>
      <c r="HH36" s="291"/>
      <c r="HI36" s="291"/>
      <c r="HJ36" s="291"/>
      <c r="HK36" s="292"/>
      <c r="HL36" s="292"/>
      <c r="HM36" s="292"/>
      <c r="HN36" s="292"/>
      <c r="HO36" s="292"/>
      <c r="HP36" s="35"/>
      <c r="HQ36" s="291"/>
      <c r="HR36" s="291"/>
      <c r="HS36" s="291"/>
      <c r="HT36" s="291"/>
      <c r="HU36" s="291"/>
      <c r="HV36" s="291"/>
      <c r="HW36" s="292"/>
      <c r="HX36" s="292"/>
      <c r="HY36" s="292"/>
      <c r="HZ36" s="292"/>
      <c r="IA36" s="292"/>
      <c r="IB36" s="35"/>
      <c r="IC36" s="291"/>
      <c r="ID36" s="291"/>
      <c r="IE36" s="291"/>
      <c r="IF36" s="291"/>
      <c r="IG36" s="291"/>
      <c r="IH36" s="291"/>
      <c r="II36" s="292"/>
      <c r="IJ36" s="292"/>
      <c r="IK36" s="292"/>
      <c r="IL36" s="292"/>
      <c r="IM36" s="292"/>
      <c r="IN36" s="35"/>
      <c r="IO36" s="291"/>
      <c r="IP36" s="291"/>
      <c r="IQ36" s="291"/>
    </row>
    <row r="37" spans="1:251" s="5" customFormat="1" ht="14.25">
      <c r="A37" s="35" t="s">
        <v>2</v>
      </c>
      <c r="B37" s="291">
        <v>1.8</v>
      </c>
      <c r="C37" s="292">
        <v>-0.3</v>
      </c>
      <c r="D37" s="292">
        <v>-2.8</v>
      </c>
      <c r="E37" s="292">
        <v>2.5</v>
      </c>
      <c r="F37" s="292">
        <v>1.6</v>
      </c>
      <c r="G37" s="292">
        <v>2.2999999999999998</v>
      </c>
      <c r="H37" s="291">
        <v>2.2000000000000002</v>
      </c>
      <c r="I37" s="291">
        <v>2.4</v>
      </c>
      <c r="J37" s="291">
        <v>3.1</v>
      </c>
      <c r="K37" s="291">
        <v>3</v>
      </c>
      <c r="L37" s="291"/>
      <c r="M37" s="291"/>
      <c r="N37" s="291"/>
      <c r="O37" s="292"/>
      <c r="P37" s="292"/>
      <c r="Q37" s="292"/>
      <c r="R37" s="292"/>
      <c r="S37" s="292"/>
      <c r="T37" s="35"/>
      <c r="U37" s="291"/>
      <c r="V37" s="291"/>
      <c r="W37" s="291"/>
      <c r="X37" s="291"/>
      <c r="Y37" s="291"/>
      <c r="Z37" s="291"/>
      <c r="AA37" s="292"/>
      <c r="AB37" s="292"/>
      <c r="AC37" s="292"/>
      <c r="AD37" s="292"/>
      <c r="AE37" s="292"/>
      <c r="AF37" s="35"/>
      <c r="AG37" s="291"/>
      <c r="AH37" s="291"/>
      <c r="AI37" s="291"/>
      <c r="AJ37" s="291"/>
      <c r="AK37" s="291"/>
      <c r="AL37" s="291"/>
      <c r="AM37" s="292"/>
      <c r="AN37" s="292"/>
      <c r="AO37" s="292"/>
      <c r="AP37" s="292"/>
      <c r="AQ37" s="292"/>
      <c r="AR37" s="35"/>
      <c r="AS37" s="291"/>
      <c r="AT37" s="291"/>
      <c r="AU37" s="291"/>
      <c r="AV37" s="291"/>
      <c r="AW37" s="291"/>
      <c r="AX37" s="291"/>
      <c r="AY37" s="292"/>
      <c r="AZ37" s="292"/>
      <c r="BA37" s="292"/>
      <c r="BB37" s="292"/>
      <c r="BC37" s="292"/>
      <c r="BD37" s="35"/>
      <c r="BE37" s="291"/>
      <c r="BF37" s="291"/>
      <c r="BG37" s="291"/>
      <c r="BH37" s="291"/>
      <c r="BI37" s="291"/>
      <c r="BJ37" s="291"/>
      <c r="BK37" s="292"/>
      <c r="BL37" s="292"/>
      <c r="BM37" s="292"/>
      <c r="BN37" s="292"/>
      <c r="BO37" s="292"/>
      <c r="BP37" s="35"/>
      <c r="BQ37" s="291"/>
      <c r="BR37" s="291"/>
      <c r="BS37" s="291"/>
      <c r="BT37" s="291"/>
      <c r="BU37" s="291"/>
      <c r="BV37" s="291"/>
      <c r="BW37" s="292"/>
      <c r="BX37" s="292"/>
      <c r="BY37" s="292"/>
      <c r="BZ37" s="292"/>
      <c r="CA37" s="292"/>
      <c r="CB37" s="35"/>
      <c r="CC37" s="291"/>
      <c r="CD37" s="291"/>
      <c r="CE37" s="291"/>
      <c r="CF37" s="291"/>
      <c r="CG37" s="291"/>
      <c r="CH37" s="291"/>
      <c r="CI37" s="292"/>
      <c r="CJ37" s="292"/>
      <c r="CK37" s="292"/>
      <c r="CL37" s="292"/>
      <c r="CM37" s="292"/>
      <c r="CN37" s="35"/>
      <c r="CO37" s="291"/>
      <c r="CP37" s="291"/>
      <c r="CQ37" s="291"/>
      <c r="CR37" s="291"/>
      <c r="CS37" s="291"/>
      <c r="CT37" s="291"/>
      <c r="CU37" s="292"/>
      <c r="CV37" s="292"/>
      <c r="CW37" s="292"/>
      <c r="CX37" s="292"/>
      <c r="CY37" s="292"/>
      <c r="CZ37" s="35"/>
      <c r="DA37" s="291"/>
      <c r="DB37" s="291"/>
      <c r="DC37" s="291"/>
      <c r="DD37" s="291"/>
      <c r="DE37" s="291"/>
      <c r="DF37" s="291"/>
      <c r="DG37" s="292"/>
      <c r="DH37" s="292"/>
      <c r="DI37" s="292"/>
      <c r="DJ37" s="292"/>
      <c r="DK37" s="292"/>
      <c r="DL37" s="35"/>
      <c r="DM37" s="291"/>
      <c r="DN37" s="291"/>
      <c r="DO37" s="291"/>
      <c r="DP37" s="291"/>
      <c r="DQ37" s="291"/>
      <c r="DR37" s="291"/>
      <c r="DS37" s="292"/>
      <c r="DT37" s="292"/>
      <c r="DU37" s="292"/>
      <c r="DV37" s="292"/>
      <c r="DW37" s="292"/>
      <c r="DX37" s="35"/>
      <c r="DY37" s="291"/>
      <c r="DZ37" s="291"/>
      <c r="EA37" s="291"/>
      <c r="EB37" s="291"/>
      <c r="EC37" s="291"/>
      <c r="ED37" s="291"/>
      <c r="EE37" s="292"/>
      <c r="EF37" s="292"/>
      <c r="EG37" s="292"/>
      <c r="EH37" s="292"/>
      <c r="EI37" s="292"/>
      <c r="EJ37" s="35"/>
      <c r="EK37" s="291"/>
      <c r="EL37" s="291"/>
      <c r="EM37" s="291"/>
      <c r="EN37" s="291"/>
      <c r="EO37" s="291"/>
      <c r="EP37" s="291"/>
      <c r="EQ37" s="292"/>
      <c r="ER37" s="292"/>
      <c r="ES37" s="292"/>
      <c r="ET37" s="292"/>
      <c r="EU37" s="292"/>
      <c r="EV37" s="35"/>
      <c r="EW37" s="291"/>
      <c r="EX37" s="291"/>
      <c r="EY37" s="291"/>
      <c r="EZ37" s="291"/>
      <c r="FA37" s="291"/>
      <c r="FB37" s="291"/>
      <c r="FC37" s="292"/>
      <c r="FD37" s="292"/>
      <c r="FE37" s="292"/>
      <c r="FF37" s="292"/>
      <c r="FG37" s="292"/>
      <c r="FH37" s="35"/>
      <c r="FI37" s="291"/>
      <c r="FJ37" s="291"/>
      <c r="FK37" s="291"/>
      <c r="FL37" s="291"/>
      <c r="FM37" s="291"/>
      <c r="FN37" s="291"/>
      <c r="FO37" s="292"/>
      <c r="FP37" s="292"/>
      <c r="FQ37" s="292"/>
      <c r="FR37" s="292"/>
      <c r="FS37" s="292"/>
      <c r="FT37" s="35"/>
      <c r="FU37" s="291"/>
      <c r="FV37" s="291"/>
      <c r="FW37" s="291"/>
      <c r="FX37" s="291"/>
      <c r="FY37" s="291"/>
      <c r="FZ37" s="291"/>
      <c r="GA37" s="292"/>
      <c r="GB37" s="292"/>
      <c r="GC37" s="292"/>
      <c r="GD37" s="292"/>
      <c r="GE37" s="292"/>
      <c r="GF37" s="35"/>
      <c r="GG37" s="291"/>
      <c r="GH37" s="291"/>
      <c r="GI37" s="291"/>
      <c r="GJ37" s="291"/>
      <c r="GK37" s="291"/>
      <c r="GL37" s="291"/>
      <c r="GM37" s="292"/>
      <c r="GN37" s="292"/>
      <c r="GO37" s="292"/>
      <c r="GP37" s="292"/>
      <c r="GQ37" s="292"/>
      <c r="GR37" s="35"/>
      <c r="GS37" s="291"/>
      <c r="GT37" s="291"/>
      <c r="GU37" s="291"/>
      <c r="GV37" s="291"/>
      <c r="GW37" s="291"/>
      <c r="GX37" s="291"/>
      <c r="GY37" s="292"/>
      <c r="GZ37" s="292"/>
      <c r="HA37" s="292"/>
      <c r="HB37" s="292"/>
      <c r="HC37" s="292"/>
      <c r="HD37" s="35"/>
      <c r="HE37" s="291"/>
      <c r="HF37" s="291"/>
      <c r="HG37" s="291"/>
      <c r="HH37" s="291"/>
      <c r="HI37" s="291"/>
      <c r="HJ37" s="291"/>
      <c r="HK37" s="292"/>
      <c r="HL37" s="292"/>
      <c r="HM37" s="292"/>
      <c r="HN37" s="292"/>
      <c r="HO37" s="292"/>
      <c r="HP37" s="35"/>
      <c r="HQ37" s="291"/>
      <c r="HR37" s="291"/>
      <c r="HS37" s="291"/>
      <c r="HT37" s="291"/>
      <c r="HU37" s="291"/>
      <c r="HV37" s="291"/>
      <c r="HW37" s="292"/>
      <c r="HX37" s="292"/>
      <c r="HY37" s="292"/>
      <c r="HZ37" s="292"/>
      <c r="IA37" s="292"/>
      <c r="IB37" s="35"/>
      <c r="IC37" s="291"/>
      <c r="ID37" s="291"/>
      <c r="IE37" s="291"/>
      <c r="IF37" s="291"/>
      <c r="IG37" s="291"/>
      <c r="IH37" s="291"/>
      <c r="II37" s="292"/>
      <c r="IJ37" s="292"/>
      <c r="IK37" s="292"/>
      <c r="IL37" s="292"/>
      <c r="IM37" s="292"/>
      <c r="IN37" s="35"/>
      <c r="IO37" s="291"/>
      <c r="IP37" s="291"/>
      <c r="IQ37" s="291"/>
    </row>
    <row r="38" spans="1:251" s="5" customFormat="1" ht="14.25" customHeight="1">
      <c r="A38" s="35" t="s">
        <v>763</v>
      </c>
      <c r="B38" s="389">
        <v>4.0999999999999996</v>
      </c>
      <c r="C38" s="389">
        <v>2.2999999999999998</v>
      </c>
      <c r="D38" s="389">
        <v>-2.1</v>
      </c>
      <c r="E38" s="389">
        <v>3</v>
      </c>
      <c r="F38" s="389">
        <v>1.8</v>
      </c>
      <c r="G38" s="389">
        <v>1.1000000000000001</v>
      </c>
      <c r="H38" s="389">
        <v>1.9</v>
      </c>
      <c r="I38" s="291">
        <v>2</v>
      </c>
      <c r="J38" s="291">
        <v>1.2</v>
      </c>
      <c r="K38" s="291">
        <v>1.3</v>
      </c>
      <c r="L38" s="291"/>
      <c r="M38" s="291"/>
      <c r="N38" s="291"/>
      <c r="O38" s="292"/>
      <c r="P38" s="292"/>
      <c r="Q38" s="292"/>
      <c r="R38" s="292"/>
      <c r="S38" s="292"/>
      <c r="T38" s="35"/>
      <c r="U38" s="291"/>
      <c r="V38" s="291"/>
      <c r="W38" s="291"/>
      <c r="X38" s="291"/>
      <c r="Y38" s="291"/>
      <c r="Z38" s="291"/>
      <c r="AA38" s="292"/>
      <c r="AB38" s="292"/>
      <c r="AC38" s="292"/>
      <c r="AD38" s="292"/>
      <c r="AE38" s="292"/>
      <c r="AF38" s="35"/>
      <c r="AG38" s="291"/>
      <c r="AH38" s="291"/>
      <c r="AI38" s="291"/>
      <c r="AJ38" s="291"/>
      <c r="AK38" s="291"/>
      <c r="AL38" s="291"/>
      <c r="AM38" s="292"/>
      <c r="AN38" s="292"/>
      <c r="AO38" s="292"/>
      <c r="AP38" s="292"/>
      <c r="AQ38" s="292"/>
      <c r="AR38" s="35"/>
      <c r="AS38" s="291"/>
      <c r="AT38" s="291"/>
      <c r="AU38" s="291"/>
      <c r="AV38" s="291"/>
      <c r="AW38" s="291"/>
      <c r="AX38" s="291"/>
      <c r="AY38" s="292"/>
      <c r="AZ38" s="292"/>
      <c r="BA38" s="292"/>
      <c r="BB38" s="292"/>
      <c r="BC38" s="292"/>
      <c r="BD38" s="35"/>
      <c r="BE38" s="291"/>
      <c r="BF38" s="291"/>
      <c r="BG38" s="291"/>
      <c r="BH38" s="291"/>
      <c r="BI38" s="291"/>
      <c r="BJ38" s="291"/>
      <c r="BK38" s="292"/>
      <c r="BL38" s="292"/>
      <c r="BM38" s="292"/>
      <c r="BN38" s="292"/>
      <c r="BO38" s="292"/>
      <c r="BP38" s="35"/>
      <c r="BQ38" s="291"/>
      <c r="BR38" s="291"/>
      <c r="BS38" s="291"/>
      <c r="BT38" s="291"/>
      <c r="BU38" s="291"/>
      <c r="BV38" s="291"/>
      <c r="BW38" s="292"/>
      <c r="BX38" s="292"/>
      <c r="BY38" s="292"/>
      <c r="BZ38" s="292"/>
      <c r="CA38" s="292"/>
      <c r="CB38" s="35"/>
      <c r="CC38" s="291"/>
      <c r="CD38" s="291"/>
      <c r="CE38" s="291"/>
      <c r="CF38" s="291"/>
      <c r="CG38" s="291"/>
      <c r="CH38" s="291"/>
      <c r="CI38" s="292"/>
      <c r="CJ38" s="292"/>
      <c r="CK38" s="292"/>
      <c r="CL38" s="292"/>
      <c r="CM38" s="292"/>
      <c r="CN38" s="35"/>
      <c r="CO38" s="291"/>
      <c r="CP38" s="291"/>
      <c r="CQ38" s="291"/>
      <c r="CR38" s="291"/>
      <c r="CS38" s="291"/>
      <c r="CT38" s="291"/>
      <c r="CU38" s="292"/>
      <c r="CV38" s="292"/>
      <c r="CW38" s="292"/>
      <c r="CX38" s="292"/>
      <c r="CY38" s="292"/>
      <c r="CZ38" s="35"/>
      <c r="DA38" s="291"/>
      <c r="DB38" s="291"/>
      <c r="DC38" s="291"/>
      <c r="DD38" s="291"/>
      <c r="DE38" s="291"/>
      <c r="DF38" s="291"/>
      <c r="DG38" s="292"/>
      <c r="DH38" s="292"/>
      <c r="DI38" s="292"/>
      <c r="DJ38" s="292"/>
      <c r="DK38" s="292"/>
      <c r="DL38" s="35"/>
      <c r="DM38" s="291"/>
      <c r="DN38" s="291"/>
      <c r="DO38" s="291"/>
      <c r="DP38" s="291"/>
      <c r="DQ38" s="291"/>
      <c r="DR38" s="291"/>
      <c r="DS38" s="292"/>
      <c r="DT38" s="292"/>
      <c r="DU38" s="292"/>
      <c r="DV38" s="292"/>
      <c r="DW38" s="292"/>
      <c r="DX38" s="35"/>
      <c r="DY38" s="291"/>
      <c r="DZ38" s="291"/>
      <c r="EA38" s="291"/>
      <c r="EB38" s="291"/>
      <c r="EC38" s="291"/>
      <c r="ED38" s="291"/>
      <c r="EE38" s="292"/>
      <c r="EF38" s="292"/>
      <c r="EG38" s="292"/>
      <c r="EH38" s="292"/>
      <c r="EI38" s="292"/>
      <c r="EJ38" s="35"/>
      <c r="EK38" s="291"/>
      <c r="EL38" s="291"/>
      <c r="EM38" s="291"/>
      <c r="EN38" s="291"/>
      <c r="EO38" s="291"/>
      <c r="EP38" s="291"/>
      <c r="EQ38" s="292"/>
      <c r="ER38" s="292"/>
      <c r="ES38" s="292"/>
      <c r="ET38" s="292"/>
      <c r="EU38" s="292"/>
      <c r="EV38" s="35"/>
      <c r="EW38" s="291"/>
      <c r="EX38" s="291"/>
      <c r="EY38" s="291"/>
      <c r="EZ38" s="291"/>
      <c r="FA38" s="291"/>
      <c r="FB38" s="291"/>
      <c r="FC38" s="292"/>
      <c r="FD38" s="292"/>
      <c r="FE38" s="292"/>
      <c r="FF38" s="292"/>
      <c r="FG38" s="292"/>
      <c r="FH38" s="35"/>
      <c r="FI38" s="291"/>
      <c r="FJ38" s="291"/>
      <c r="FK38" s="291"/>
      <c r="FL38" s="291"/>
      <c r="FM38" s="291"/>
      <c r="FN38" s="291"/>
      <c r="FO38" s="292"/>
      <c r="FP38" s="292"/>
      <c r="FQ38" s="292"/>
      <c r="FR38" s="292"/>
      <c r="FS38" s="292"/>
      <c r="FT38" s="35"/>
      <c r="FU38" s="291"/>
      <c r="FV38" s="291"/>
      <c r="FW38" s="291"/>
      <c r="FX38" s="291"/>
      <c r="FY38" s="291"/>
      <c r="FZ38" s="291"/>
      <c r="GA38" s="292"/>
      <c r="GB38" s="292"/>
      <c r="GC38" s="292"/>
      <c r="GD38" s="292"/>
      <c r="GE38" s="292"/>
      <c r="GF38" s="35"/>
      <c r="GG38" s="291"/>
      <c r="GH38" s="291"/>
      <c r="GI38" s="291"/>
      <c r="GJ38" s="291"/>
      <c r="GK38" s="291"/>
      <c r="GL38" s="291"/>
      <c r="GM38" s="292"/>
      <c r="GN38" s="292"/>
      <c r="GO38" s="292"/>
      <c r="GP38" s="292"/>
      <c r="GQ38" s="292"/>
      <c r="GR38" s="35"/>
      <c r="GS38" s="291"/>
      <c r="GT38" s="291"/>
      <c r="GU38" s="291"/>
      <c r="GV38" s="291"/>
      <c r="GW38" s="291"/>
      <c r="GX38" s="291"/>
      <c r="GY38" s="292"/>
      <c r="GZ38" s="292"/>
      <c r="HA38" s="292"/>
      <c r="HB38" s="292"/>
      <c r="HC38" s="292"/>
      <c r="HD38" s="35"/>
      <c r="HE38" s="291"/>
      <c r="HF38" s="291"/>
      <c r="HG38" s="291"/>
      <c r="HH38" s="291"/>
      <c r="HI38" s="291"/>
      <c r="HJ38" s="291"/>
      <c r="HK38" s="292"/>
      <c r="HL38" s="292"/>
      <c r="HM38" s="292"/>
      <c r="HN38" s="292"/>
      <c r="HO38" s="292"/>
      <c r="HP38" s="35"/>
      <c r="HQ38" s="291"/>
      <c r="HR38" s="291"/>
      <c r="HS38" s="291"/>
      <c r="HT38" s="291"/>
      <c r="HU38" s="291"/>
      <c r="HV38" s="291"/>
      <c r="HW38" s="292"/>
      <c r="HX38" s="292"/>
      <c r="HY38" s="292"/>
      <c r="HZ38" s="292"/>
      <c r="IA38" s="292"/>
      <c r="IB38" s="35"/>
      <c r="IC38" s="291"/>
      <c r="ID38" s="291"/>
      <c r="IE38" s="291"/>
      <c r="IF38" s="291"/>
      <c r="IG38" s="291"/>
      <c r="IH38" s="291"/>
      <c r="II38" s="292"/>
      <c r="IJ38" s="292"/>
      <c r="IK38" s="292"/>
      <c r="IL38" s="292"/>
      <c r="IM38" s="292"/>
      <c r="IN38" s="35"/>
      <c r="IO38" s="291"/>
      <c r="IP38" s="291"/>
      <c r="IQ38" s="291"/>
    </row>
    <row r="39" spans="1:251" s="5" customFormat="1" ht="14.25">
      <c r="A39" s="35" t="s">
        <v>1</v>
      </c>
      <c r="B39" s="389">
        <v>2.2000000000000002</v>
      </c>
      <c r="C39" s="389">
        <v>-1</v>
      </c>
      <c r="D39" s="389">
        <v>-5.5</v>
      </c>
      <c r="E39" s="389">
        <v>4.7</v>
      </c>
      <c r="F39" s="389">
        <v>-0.5</v>
      </c>
      <c r="G39" s="389">
        <v>1.8</v>
      </c>
      <c r="H39" s="389">
        <v>1.6</v>
      </c>
      <c r="I39" s="291">
        <v>0</v>
      </c>
      <c r="J39" s="291">
        <v>1.1000000000000001</v>
      </c>
      <c r="K39" s="291">
        <v>1.4</v>
      </c>
      <c r="L39" s="291"/>
      <c r="M39" s="291"/>
      <c r="N39" s="291"/>
      <c r="O39" s="292"/>
      <c r="P39" s="292"/>
      <c r="Q39" s="292"/>
      <c r="R39" s="292"/>
      <c r="S39" s="292"/>
      <c r="T39" s="35"/>
      <c r="U39" s="291"/>
      <c r="V39" s="291"/>
      <c r="W39" s="291"/>
      <c r="X39" s="291"/>
      <c r="Y39" s="291"/>
      <c r="Z39" s="291"/>
      <c r="AA39" s="292"/>
      <c r="AB39" s="292"/>
      <c r="AC39" s="292"/>
      <c r="AD39" s="292"/>
      <c r="AE39" s="292"/>
      <c r="AF39" s="35"/>
      <c r="AG39" s="291"/>
      <c r="AH39" s="291"/>
      <c r="AI39" s="291"/>
      <c r="AJ39" s="291"/>
      <c r="AK39" s="291"/>
      <c r="AL39" s="291"/>
      <c r="AM39" s="292"/>
      <c r="AN39" s="292"/>
      <c r="AO39" s="292"/>
      <c r="AP39" s="292"/>
      <c r="AQ39" s="292"/>
      <c r="AR39" s="35"/>
      <c r="AS39" s="291"/>
      <c r="AT39" s="291"/>
      <c r="AU39" s="291"/>
      <c r="AV39" s="291"/>
      <c r="AW39" s="291"/>
      <c r="AX39" s="291"/>
      <c r="AY39" s="292"/>
      <c r="AZ39" s="292"/>
      <c r="BA39" s="292"/>
      <c r="BB39" s="292"/>
      <c r="BC39" s="292"/>
      <c r="BD39" s="35"/>
      <c r="BE39" s="291"/>
      <c r="BF39" s="291"/>
      <c r="BG39" s="291"/>
      <c r="BH39" s="291"/>
      <c r="BI39" s="291"/>
      <c r="BJ39" s="291"/>
      <c r="BK39" s="292"/>
      <c r="BL39" s="292"/>
      <c r="BM39" s="292"/>
      <c r="BN39" s="292"/>
      <c r="BO39" s="292"/>
      <c r="BP39" s="35"/>
      <c r="BQ39" s="291"/>
      <c r="BR39" s="291"/>
      <c r="BS39" s="291"/>
      <c r="BT39" s="291"/>
      <c r="BU39" s="291"/>
      <c r="BV39" s="291"/>
      <c r="BW39" s="292"/>
      <c r="BX39" s="292"/>
      <c r="BY39" s="292"/>
      <c r="BZ39" s="292"/>
      <c r="CA39" s="292"/>
      <c r="CB39" s="35"/>
      <c r="CC39" s="291"/>
      <c r="CD39" s="291"/>
      <c r="CE39" s="291"/>
      <c r="CF39" s="291"/>
      <c r="CG39" s="291"/>
      <c r="CH39" s="291"/>
      <c r="CI39" s="292"/>
      <c r="CJ39" s="292"/>
      <c r="CK39" s="292"/>
      <c r="CL39" s="292"/>
      <c r="CM39" s="292"/>
      <c r="CN39" s="35"/>
      <c r="CO39" s="291"/>
      <c r="CP39" s="291"/>
      <c r="CQ39" s="291"/>
      <c r="CR39" s="291"/>
      <c r="CS39" s="291"/>
      <c r="CT39" s="291"/>
      <c r="CU39" s="292"/>
      <c r="CV39" s="292"/>
      <c r="CW39" s="292"/>
      <c r="CX39" s="292"/>
      <c r="CY39" s="292"/>
      <c r="CZ39" s="35"/>
      <c r="DA39" s="291"/>
      <c r="DB39" s="291"/>
      <c r="DC39" s="291"/>
      <c r="DD39" s="291"/>
      <c r="DE39" s="291"/>
      <c r="DF39" s="291"/>
      <c r="DG39" s="292"/>
      <c r="DH39" s="292"/>
      <c r="DI39" s="292"/>
      <c r="DJ39" s="292"/>
      <c r="DK39" s="292"/>
      <c r="DL39" s="35"/>
      <c r="DM39" s="291"/>
      <c r="DN39" s="291"/>
      <c r="DO39" s="291"/>
      <c r="DP39" s="291"/>
      <c r="DQ39" s="291"/>
      <c r="DR39" s="291"/>
      <c r="DS39" s="292"/>
      <c r="DT39" s="292"/>
      <c r="DU39" s="292"/>
      <c r="DV39" s="292"/>
      <c r="DW39" s="292"/>
      <c r="DX39" s="35"/>
      <c r="DY39" s="291"/>
      <c r="DZ39" s="291"/>
      <c r="EA39" s="291"/>
      <c r="EB39" s="291"/>
      <c r="EC39" s="291"/>
      <c r="ED39" s="291"/>
      <c r="EE39" s="292"/>
      <c r="EF39" s="292"/>
      <c r="EG39" s="292"/>
      <c r="EH39" s="292"/>
      <c r="EI39" s="292"/>
      <c r="EJ39" s="35"/>
      <c r="EK39" s="291"/>
      <c r="EL39" s="291"/>
      <c r="EM39" s="291"/>
      <c r="EN39" s="291"/>
      <c r="EO39" s="291"/>
      <c r="EP39" s="291"/>
      <c r="EQ39" s="292"/>
      <c r="ER39" s="292"/>
      <c r="ES39" s="292"/>
      <c r="ET39" s="292"/>
      <c r="EU39" s="292"/>
      <c r="EV39" s="35"/>
      <c r="EW39" s="291"/>
      <c r="EX39" s="291"/>
      <c r="EY39" s="291"/>
      <c r="EZ39" s="291"/>
      <c r="FA39" s="291"/>
      <c r="FB39" s="291"/>
      <c r="FC39" s="292"/>
      <c r="FD39" s="292"/>
      <c r="FE39" s="292"/>
      <c r="FF39" s="292"/>
      <c r="FG39" s="292"/>
      <c r="FH39" s="35"/>
      <c r="FI39" s="291"/>
      <c r="FJ39" s="291"/>
      <c r="FK39" s="291"/>
      <c r="FL39" s="291"/>
      <c r="FM39" s="291"/>
      <c r="FN39" s="291"/>
      <c r="FO39" s="292"/>
      <c r="FP39" s="292"/>
      <c r="FQ39" s="292"/>
      <c r="FR39" s="292"/>
      <c r="FS39" s="292"/>
      <c r="FT39" s="35"/>
      <c r="FU39" s="291"/>
      <c r="FV39" s="291"/>
      <c r="FW39" s="291"/>
      <c r="FX39" s="291"/>
      <c r="FY39" s="291"/>
      <c r="FZ39" s="291"/>
      <c r="GA39" s="292"/>
      <c r="GB39" s="292"/>
      <c r="GC39" s="292"/>
      <c r="GD39" s="292"/>
      <c r="GE39" s="292"/>
      <c r="GF39" s="35"/>
      <c r="GG39" s="291"/>
      <c r="GH39" s="291"/>
      <c r="GI39" s="291"/>
      <c r="GJ39" s="291"/>
      <c r="GK39" s="291"/>
      <c r="GL39" s="291"/>
      <c r="GM39" s="292"/>
      <c r="GN39" s="292"/>
      <c r="GO39" s="292"/>
      <c r="GP39" s="292"/>
      <c r="GQ39" s="292"/>
      <c r="GR39" s="35"/>
      <c r="GS39" s="291"/>
      <c r="GT39" s="291"/>
      <c r="GU39" s="291"/>
      <c r="GV39" s="291"/>
      <c r="GW39" s="291"/>
      <c r="GX39" s="291"/>
      <c r="GY39" s="292"/>
      <c r="GZ39" s="292"/>
      <c r="HA39" s="292"/>
      <c r="HB39" s="292"/>
      <c r="HC39" s="292"/>
      <c r="HD39" s="35"/>
      <c r="HE39" s="291"/>
      <c r="HF39" s="291"/>
      <c r="HG39" s="291"/>
      <c r="HH39" s="291"/>
      <c r="HI39" s="291"/>
      <c r="HJ39" s="291"/>
      <c r="HK39" s="292"/>
      <c r="HL39" s="292"/>
      <c r="HM39" s="292"/>
      <c r="HN39" s="292"/>
      <c r="HO39" s="292"/>
      <c r="HP39" s="35"/>
      <c r="HQ39" s="291"/>
      <c r="HR39" s="291"/>
      <c r="HS39" s="291"/>
      <c r="HT39" s="291"/>
      <c r="HU39" s="291"/>
      <c r="HV39" s="291"/>
      <c r="HW39" s="292"/>
      <c r="HX39" s="292"/>
      <c r="HY39" s="292"/>
      <c r="HZ39" s="292"/>
      <c r="IA39" s="292"/>
      <c r="IB39" s="35"/>
      <c r="IC39" s="291"/>
      <c r="ID39" s="291"/>
      <c r="IE39" s="291"/>
      <c r="IF39" s="291"/>
      <c r="IG39" s="291"/>
      <c r="IH39" s="291"/>
      <c r="II39" s="292"/>
      <c r="IJ39" s="292"/>
      <c r="IK39" s="292"/>
      <c r="IL39" s="292"/>
      <c r="IM39" s="292"/>
      <c r="IN39" s="35"/>
      <c r="IO39" s="291"/>
      <c r="IP39" s="291"/>
      <c r="IQ39" s="291"/>
    </row>
    <row r="40" spans="1:251" ht="14.25">
      <c r="A40" s="37"/>
      <c r="B40" s="293"/>
      <c r="C40" s="297"/>
      <c r="D40" s="297"/>
      <c r="E40" s="297"/>
      <c r="F40" s="297"/>
      <c r="G40" s="297"/>
      <c r="H40" s="404"/>
      <c r="I40" s="404"/>
      <c r="J40" s="404"/>
      <c r="K40" s="404"/>
    </row>
    <row r="41" spans="1:251" s="7" customFormat="1">
      <c r="A41" s="263"/>
      <c r="B41" s="263"/>
      <c r="C41" s="263"/>
      <c r="D41" s="263"/>
      <c r="E41" s="284"/>
      <c r="F41" s="284"/>
      <c r="G41" s="284"/>
    </row>
    <row r="42" spans="1:251" s="6" customFormat="1" ht="14.25">
      <c r="A42" s="44" t="s">
        <v>1020</v>
      </c>
      <c r="B42" s="7"/>
      <c r="C42" s="7"/>
      <c r="D42" s="7"/>
      <c r="E42" s="7"/>
      <c r="F42" s="7"/>
      <c r="G42" s="7"/>
    </row>
    <row r="43" spans="1:251" ht="14.25">
      <c r="A43" s="44" t="s">
        <v>1019</v>
      </c>
    </row>
    <row r="45" spans="1:251" ht="14.25">
      <c r="A45" s="44"/>
    </row>
  </sheetData>
  <pageMargins left="0.23622047244094491" right="0.23622047244094491" top="0.74803149606299213" bottom="0.74803149606299213" header="0.31496062992125984" footer="0.31496062992125984"/>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92D050"/>
    <pageSetUpPr fitToPage="1"/>
  </sheetPr>
  <dimension ref="A1:N41"/>
  <sheetViews>
    <sheetView workbookViewId="0"/>
  </sheetViews>
  <sheetFormatPr baseColWidth="10" defaultColWidth="11.42578125" defaultRowHeight="12.75"/>
  <cols>
    <col min="1" max="1" width="23.42578125" style="12" customWidth="1"/>
    <col min="2" max="9" width="6.85546875" style="12" customWidth="1"/>
    <col min="10" max="11" width="8.140625" style="12" bestFit="1" customWidth="1"/>
    <col min="12" max="16384" width="11.42578125" style="12"/>
  </cols>
  <sheetData>
    <row r="1" spans="1:11" s="18" customFormat="1" ht="15">
      <c r="A1" s="67" t="s">
        <v>999</v>
      </c>
      <c r="B1" s="45"/>
      <c r="C1" s="45"/>
      <c r="D1" s="45"/>
      <c r="E1" s="45"/>
      <c r="F1" s="45"/>
      <c r="G1" s="45"/>
      <c r="H1" s="45"/>
      <c r="I1" s="45"/>
      <c r="J1" s="45"/>
      <c r="K1" s="45"/>
    </row>
    <row r="2" spans="1:11" s="18" customFormat="1" ht="15">
      <c r="A2" s="64" t="s">
        <v>39</v>
      </c>
      <c r="B2" s="45"/>
      <c r="C2" s="45"/>
      <c r="D2" s="45"/>
      <c r="E2" s="45"/>
      <c r="F2" s="45"/>
      <c r="G2" s="45"/>
      <c r="H2" s="45"/>
      <c r="I2" s="45"/>
      <c r="J2" s="45"/>
      <c r="K2" s="45"/>
    </row>
    <row r="3" spans="1:11" s="18" customFormat="1" ht="15">
      <c r="A3" s="45"/>
      <c r="B3" s="45"/>
      <c r="C3" s="45"/>
      <c r="D3" s="45"/>
      <c r="E3" s="45"/>
      <c r="F3" s="45"/>
      <c r="G3" s="45"/>
      <c r="H3" s="45"/>
      <c r="I3" s="45"/>
      <c r="J3" s="45"/>
      <c r="K3" s="45"/>
    </row>
    <row r="4" spans="1:11" s="25" customFormat="1" ht="37.5" customHeight="1">
      <c r="A4" s="310"/>
      <c r="B4" s="311" t="s">
        <v>171</v>
      </c>
      <c r="C4" s="311" t="s">
        <v>172</v>
      </c>
      <c r="D4" s="311" t="s">
        <v>173</v>
      </c>
      <c r="E4" s="311" t="s">
        <v>174</v>
      </c>
      <c r="F4" s="311" t="s">
        <v>601</v>
      </c>
      <c r="G4" s="311" t="s">
        <v>820</v>
      </c>
      <c r="H4" s="311" t="s">
        <v>942</v>
      </c>
      <c r="I4" s="311" t="s">
        <v>943</v>
      </c>
      <c r="J4" s="311" t="s">
        <v>939</v>
      </c>
      <c r="K4" s="311" t="s">
        <v>1051</v>
      </c>
    </row>
    <row r="5" spans="1:11" s="338" customFormat="1" ht="19.5" customHeight="1">
      <c r="A5" s="379"/>
      <c r="B5" s="380"/>
      <c r="C5" s="380"/>
      <c r="D5" s="380"/>
      <c r="E5" s="380"/>
      <c r="F5" s="380"/>
      <c r="G5" s="380"/>
      <c r="H5" s="450" t="s">
        <v>808</v>
      </c>
      <c r="I5" s="450" t="s">
        <v>808</v>
      </c>
      <c r="J5" s="450" t="s">
        <v>603</v>
      </c>
      <c r="K5" s="450" t="s">
        <v>603</v>
      </c>
    </row>
    <row r="6" spans="1:11" s="46" customFormat="1" ht="15" customHeight="1">
      <c r="A6" s="84" t="s">
        <v>1037</v>
      </c>
      <c r="B6" s="97">
        <v>2628.7603770000001</v>
      </c>
      <c r="C6" s="97">
        <v>2741.7829999999999</v>
      </c>
      <c r="D6" s="97">
        <v>2605.3989999999999</v>
      </c>
      <c r="E6" s="97">
        <v>2668.3919999999998</v>
      </c>
      <c r="F6" s="97">
        <v>2678.2060000000001</v>
      </c>
      <c r="G6" s="97">
        <f>2602.951+246.859</f>
        <v>2849.81</v>
      </c>
      <c r="H6" s="97">
        <v>3120.7379999999998</v>
      </c>
      <c r="I6" s="97">
        <v>3383.9490000000001</v>
      </c>
      <c r="J6" s="97">
        <v>3500</v>
      </c>
      <c r="K6" s="97">
        <v>4150</v>
      </c>
    </row>
    <row r="7" spans="1:11" s="45" customFormat="1" ht="15" customHeight="1">
      <c r="A7" s="84" t="s">
        <v>40</v>
      </c>
      <c r="B7" s="97">
        <v>19663.583436000001</v>
      </c>
      <c r="C7" s="97">
        <v>21308.438999999998</v>
      </c>
      <c r="D7" s="97">
        <v>19897.471000000001</v>
      </c>
      <c r="E7" s="97">
        <v>20433.422999999999</v>
      </c>
      <c r="F7" s="85">
        <v>21783.868999999999</v>
      </c>
      <c r="G7" s="85">
        <v>23391.978999999999</v>
      </c>
      <c r="H7" s="85">
        <v>24597.127</v>
      </c>
      <c r="I7" s="85">
        <v>25942.261999999999</v>
      </c>
      <c r="J7" s="85">
        <v>27300</v>
      </c>
      <c r="K7" s="85">
        <v>24800</v>
      </c>
    </row>
    <row r="8" spans="1:11" s="45" customFormat="1" ht="15">
      <c r="A8" s="102" t="s">
        <v>604</v>
      </c>
      <c r="B8" s="97">
        <v>3172.6039999999998</v>
      </c>
      <c r="C8" s="97">
        <v>3750.335</v>
      </c>
      <c r="D8" s="97">
        <v>3015.1289999999999</v>
      </c>
      <c r="E8" s="97">
        <v>2556.4450000000002</v>
      </c>
      <c r="F8" s="85">
        <v>2712.2170000000001</v>
      </c>
      <c r="G8" s="85">
        <v>2511.4960000000001</v>
      </c>
      <c r="H8" s="85">
        <v>2589.9299999999998</v>
      </c>
      <c r="I8" s="85">
        <v>2769.4670000000001</v>
      </c>
      <c r="J8" s="85">
        <v>2700</v>
      </c>
      <c r="K8" s="85">
        <v>3000</v>
      </c>
    </row>
    <row r="9" spans="1:11" s="45" customFormat="1" ht="15" customHeight="1">
      <c r="A9" s="84" t="s">
        <v>41</v>
      </c>
      <c r="B9" s="97">
        <v>5741.4518859999998</v>
      </c>
      <c r="C9" s="97">
        <v>5934.4250000000002</v>
      </c>
      <c r="D9" s="97">
        <v>3834.2510000000002</v>
      </c>
      <c r="E9" s="97">
        <v>4632.6180000000004</v>
      </c>
      <c r="F9" s="85">
        <v>5277.0950000000003</v>
      </c>
      <c r="G9" s="85">
        <v>5326.6289999999999</v>
      </c>
      <c r="H9" s="85">
        <v>6018.01</v>
      </c>
      <c r="I9" s="85">
        <v>5906.0829999999996</v>
      </c>
      <c r="J9" s="85">
        <v>6600</v>
      </c>
      <c r="K9" s="85">
        <v>6300</v>
      </c>
    </row>
    <row r="10" spans="1:11" s="45" customFormat="1" ht="15" customHeight="1">
      <c r="A10" s="84" t="s">
        <v>42</v>
      </c>
      <c r="B10" s="97">
        <v>20831.597549999999</v>
      </c>
      <c r="C10" s="97">
        <v>21853.079000000002</v>
      </c>
      <c r="D10" s="97">
        <v>21628.282999999999</v>
      </c>
      <c r="E10" s="97">
        <v>22466.687000000002</v>
      </c>
      <c r="F10" s="85">
        <v>23391.392</v>
      </c>
      <c r="G10" s="85">
        <v>24602.332999999999</v>
      </c>
      <c r="H10" s="85">
        <v>24866.708999999999</v>
      </c>
      <c r="I10" s="85">
        <v>25471.523000000001</v>
      </c>
      <c r="J10" s="85">
        <v>26300</v>
      </c>
      <c r="K10" s="85">
        <v>28200</v>
      </c>
    </row>
    <row r="11" spans="1:11" s="45" customFormat="1" ht="15" customHeight="1">
      <c r="A11" s="84" t="s">
        <v>1036</v>
      </c>
      <c r="B11" s="97">
        <v>263.23504400000002</v>
      </c>
      <c r="C11" s="97">
        <v>229.708</v>
      </c>
      <c r="D11" s="539" t="s">
        <v>43</v>
      </c>
      <c r="E11" s="539" t="s">
        <v>43</v>
      </c>
      <c r="F11" s="540" t="s">
        <v>43</v>
      </c>
      <c r="G11" s="540" t="s">
        <v>43</v>
      </c>
      <c r="H11" s="540" t="s">
        <v>43</v>
      </c>
      <c r="I11" s="540" t="s">
        <v>43</v>
      </c>
      <c r="J11" s="540" t="s">
        <v>43</v>
      </c>
      <c r="K11" s="540" t="s">
        <v>43</v>
      </c>
    </row>
    <row r="12" spans="1:11" s="45" customFormat="1" ht="15" customHeight="1">
      <c r="A12" s="84" t="s">
        <v>44</v>
      </c>
      <c r="B12" s="97">
        <v>1446.158261</v>
      </c>
      <c r="C12" s="97">
        <v>1424.4880000000001</v>
      </c>
      <c r="D12" s="97">
        <v>1457.6010000000001</v>
      </c>
      <c r="E12" s="97">
        <v>1501.9880000000001</v>
      </c>
      <c r="F12" s="85">
        <v>1568.377</v>
      </c>
      <c r="G12" s="85">
        <v>1620.787</v>
      </c>
      <c r="H12" s="85">
        <v>1662.059</v>
      </c>
      <c r="I12" s="85">
        <v>1713.172</v>
      </c>
      <c r="J12" s="85">
        <v>1840</v>
      </c>
      <c r="K12" s="85">
        <v>1900</v>
      </c>
    </row>
    <row r="13" spans="1:11" s="45" customFormat="1" ht="15" customHeight="1">
      <c r="A13" s="84" t="s">
        <v>45</v>
      </c>
      <c r="B13" s="97">
        <v>3688.8281699999998</v>
      </c>
      <c r="C13" s="97">
        <v>3893.9430000000002</v>
      </c>
      <c r="D13" s="97">
        <v>3800.3850000000002</v>
      </c>
      <c r="E13" s="97">
        <v>3853.6909999999998</v>
      </c>
      <c r="F13" s="85">
        <v>4212.5150000000003</v>
      </c>
      <c r="G13" s="85">
        <v>4181.375</v>
      </c>
      <c r="H13" s="85">
        <v>4165.4709999999995</v>
      </c>
      <c r="I13" s="85">
        <v>4134.9769999999999</v>
      </c>
      <c r="J13" s="85">
        <v>4200</v>
      </c>
      <c r="K13" s="85">
        <v>4250</v>
      </c>
    </row>
    <row r="14" spans="1:11" s="45" customFormat="1" ht="15" customHeight="1">
      <c r="A14" s="84" t="s">
        <v>46</v>
      </c>
      <c r="B14" s="97">
        <v>806.319481</v>
      </c>
      <c r="C14" s="97">
        <v>810.8895</v>
      </c>
      <c r="D14" s="97">
        <v>796.58500000000004</v>
      </c>
      <c r="E14" s="97">
        <v>818.60500000000002</v>
      </c>
      <c r="F14" s="85">
        <v>466.89100000000002</v>
      </c>
      <c r="G14" s="85">
        <v>477.35199999999998</v>
      </c>
      <c r="H14" s="85">
        <v>476.43299999999999</v>
      </c>
      <c r="I14" s="85">
        <v>481.423</v>
      </c>
      <c r="J14" s="85">
        <v>500</v>
      </c>
      <c r="K14" s="85">
        <v>500</v>
      </c>
    </row>
    <row r="15" spans="1:11" s="45" customFormat="1" ht="15" customHeight="1">
      <c r="A15" s="84" t="s">
        <v>47</v>
      </c>
      <c r="B15" s="97">
        <v>764.36094800000001</v>
      </c>
      <c r="C15" s="97">
        <v>709.08799999999997</v>
      </c>
      <c r="D15" s="97">
        <v>655.32799999999997</v>
      </c>
      <c r="E15" s="97">
        <v>726.17499999999995</v>
      </c>
      <c r="F15" s="85">
        <v>791.75400000000002</v>
      </c>
      <c r="G15" s="85">
        <v>830.98800000000006</v>
      </c>
      <c r="H15" s="85">
        <v>885.81799999999998</v>
      </c>
      <c r="I15" s="85">
        <v>849.99</v>
      </c>
      <c r="J15" s="85">
        <v>900</v>
      </c>
      <c r="K15" s="85">
        <v>880</v>
      </c>
    </row>
    <row r="16" spans="1:11" s="45" customFormat="1" ht="15" customHeight="1">
      <c r="A16" s="84" t="s">
        <v>48</v>
      </c>
      <c r="B16" s="312">
        <v>456.20160199999998</v>
      </c>
      <c r="C16" s="312">
        <v>471.89</v>
      </c>
      <c r="D16" s="312">
        <v>436.99599999999998</v>
      </c>
      <c r="E16" s="312">
        <v>452.25299999999999</v>
      </c>
      <c r="F16" s="85">
        <v>481.07499999999999</v>
      </c>
      <c r="G16" s="85">
        <v>507.44900000000001</v>
      </c>
      <c r="H16" s="85">
        <v>457.38</v>
      </c>
      <c r="I16" s="85">
        <v>437.46600000000001</v>
      </c>
      <c r="J16" s="85">
        <v>560</v>
      </c>
      <c r="K16" s="85">
        <v>450</v>
      </c>
    </row>
    <row r="17" spans="1:14" s="45" customFormat="1" ht="15" customHeight="1">
      <c r="A17" s="84" t="s">
        <v>49</v>
      </c>
      <c r="B17" s="312">
        <v>993.20973000000004</v>
      </c>
      <c r="C17" s="312">
        <v>1021.7859999999999</v>
      </c>
      <c r="D17" s="312">
        <v>1033.367</v>
      </c>
      <c r="E17" s="312">
        <v>1017.356</v>
      </c>
      <c r="F17" s="85">
        <v>1071.473</v>
      </c>
      <c r="G17" s="85">
        <v>1052.6790000000001</v>
      </c>
      <c r="H17" s="85">
        <v>1055.884</v>
      </c>
      <c r="I17" s="85">
        <v>1101.133</v>
      </c>
      <c r="J17" s="85">
        <v>1080</v>
      </c>
      <c r="K17" s="85">
        <v>1130</v>
      </c>
    </row>
    <row r="18" spans="1:14" s="45" customFormat="1" ht="27">
      <c r="A18" s="102" t="s">
        <v>864</v>
      </c>
      <c r="B18" s="312">
        <v>1410.045705</v>
      </c>
      <c r="C18" s="312">
        <v>1474.787</v>
      </c>
      <c r="D18" s="312">
        <v>1520.8340000000001</v>
      </c>
      <c r="E18" s="312">
        <v>1553.952</v>
      </c>
      <c r="F18" s="85">
        <v>1661.7860000000001</v>
      </c>
      <c r="G18" s="85">
        <v>1727.94</v>
      </c>
      <c r="H18" s="85">
        <v>1782.393</v>
      </c>
      <c r="I18" s="85">
        <v>2126.3960000000002</v>
      </c>
      <c r="J18" s="85">
        <v>2150</v>
      </c>
      <c r="K18" s="85">
        <v>2320</v>
      </c>
    </row>
    <row r="19" spans="1:14" s="45" customFormat="1" ht="15" customHeight="1">
      <c r="A19" s="84" t="s">
        <v>50</v>
      </c>
      <c r="B19" s="97">
        <v>129.57176200000001</v>
      </c>
      <c r="C19" s="97">
        <v>77.162000000000006</v>
      </c>
      <c r="D19" s="97">
        <v>68.379000000000005</v>
      </c>
      <c r="E19" s="97">
        <v>69.691999999999993</v>
      </c>
      <c r="F19" s="85">
        <v>58.887</v>
      </c>
      <c r="G19" s="85">
        <v>45.384</v>
      </c>
      <c r="H19" s="85">
        <v>47.898000000000003</v>
      </c>
      <c r="I19" s="85">
        <v>51.305</v>
      </c>
      <c r="J19" s="85">
        <v>50</v>
      </c>
      <c r="K19" s="85">
        <v>51.85</v>
      </c>
    </row>
    <row r="20" spans="1:14" s="45" customFormat="1" ht="15" customHeight="1">
      <c r="A20" s="84" t="s">
        <v>51</v>
      </c>
      <c r="B20" s="97">
        <f t="shared" ref="B20:F20" si="0">B21-SUM(B6:B19)</f>
        <v>2699.2929000000076</v>
      </c>
      <c r="C20" s="97">
        <f t="shared" si="0"/>
        <v>2826.46888700001</v>
      </c>
      <c r="D20" s="97">
        <f t="shared" si="0"/>
        <v>2564.0499999999884</v>
      </c>
      <c r="E20" s="97">
        <f t="shared" si="0"/>
        <v>2740.5199999999968</v>
      </c>
      <c r="F20" s="97">
        <f t="shared" si="0"/>
        <v>3702.1440000000002</v>
      </c>
      <c r="G20" s="97">
        <f>G21-SUM(G6:G19)</f>
        <v>4026.9020000000019</v>
      </c>
      <c r="H20" s="97">
        <f t="shared" ref="H20:K20" si="1">H21-SUM(H6:H19)</f>
        <v>4644.5099999999948</v>
      </c>
      <c r="I20" s="97">
        <f t="shared" si="1"/>
        <v>4133.6320000000123</v>
      </c>
      <c r="J20" s="97">
        <f t="shared" si="1"/>
        <v>4100</v>
      </c>
      <c r="K20" s="97">
        <f t="shared" si="1"/>
        <v>3918.1499999999942</v>
      </c>
    </row>
    <row r="21" spans="1:14" s="52" customFormat="1" ht="15" customHeight="1">
      <c r="A21" s="104" t="s">
        <v>716</v>
      </c>
      <c r="B21" s="105">
        <v>64695.220851999999</v>
      </c>
      <c r="C21" s="105">
        <v>68528.271387000001</v>
      </c>
      <c r="D21" s="105">
        <v>63314.057999999997</v>
      </c>
      <c r="E21" s="105">
        <v>65491.796999999999</v>
      </c>
      <c r="F21" s="105">
        <v>69857.680999999997</v>
      </c>
      <c r="G21" s="105">
        <v>73153.103000000003</v>
      </c>
      <c r="H21" s="105">
        <v>76370.36</v>
      </c>
      <c r="I21" s="105">
        <v>78502.778000000006</v>
      </c>
      <c r="J21" s="105">
        <v>81780</v>
      </c>
      <c r="K21" s="105">
        <v>81850</v>
      </c>
    </row>
    <row r="22" spans="1:14" s="52" customFormat="1" ht="15" customHeight="1">
      <c r="A22" s="104" t="s">
        <v>34</v>
      </c>
      <c r="B22" s="283">
        <v>22.913372853970468</v>
      </c>
      <c r="C22" s="283">
        <v>23.474213471380125</v>
      </c>
      <c r="D22" s="283">
        <v>22.123239968132836</v>
      </c>
      <c r="E22" s="283">
        <v>22.228715290859288</v>
      </c>
      <c r="F22" s="283">
        <v>22.634766872954671</v>
      </c>
      <c r="G22" s="283">
        <v>23.072612724566007</v>
      </c>
      <c r="H22" s="283">
        <v>23.653008256988709</v>
      </c>
      <c r="I22" s="283">
        <v>23.839578373256888</v>
      </c>
      <c r="J22" s="283">
        <v>24.258424299952537</v>
      </c>
      <c r="K22" s="283">
        <v>23.54514857751057</v>
      </c>
    </row>
    <row r="23" spans="1:14" s="58" customFormat="1" ht="14.25" customHeight="1">
      <c r="A23" s="98"/>
      <c r="B23" s="105"/>
      <c r="C23" s="105"/>
      <c r="D23" s="105"/>
      <c r="E23" s="105"/>
      <c r="F23" s="105"/>
      <c r="G23" s="105"/>
      <c r="H23" s="105"/>
      <c r="I23" s="105"/>
      <c r="J23" s="105"/>
      <c r="K23" s="105"/>
    </row>
    <row r="24" spans="1:14" s="46" customFormat="1" ht="27">
      <c r="A24" s="102" t="s">
        <v>178</v>
      </c>
      <c r="B24" s="97">
        <v>18872.539734999998</v>
      </c>
      <c r="C24" s="97">
        <v>21517.402082000001</v>
      </c>
      <c r="D24" s="97">
        <v>23396.845000000001</v>
      </c>
      <c r="E24" s="97">
        <v>23340.35</v>
      </c>
      <c r="F24" s="97">
        <v>25414.222000000002</v>
      </c>
      <c r="G24" s="97">
        <v>26458.036</v>
      </c>
      <c r="H24" s="97">
        <v>27597.69</v>
      </c>
      <c r="I24" s="97">
        <v>28277.621999999999</v>
      </c>
      <c r="J24" s="97">
        <v>29583.184000000001</v>
      </c>
      <c r="K24" s="97">
        <v>29472.465</v>
      </c>
    </row>
    <row r="25" spans="1:14" s="46" customFormat="1" ht="15">
      <c r="A25" s="102" t="s">
        <v>451</v>
      </c>
      <c r="B25" s="97"/>
      <c r="C25" s="97"/>
      <c r="D25" s="97"/>
      <c r="E25" s="97"/>
      <c r="F25" s="97"/>
      <c r="G25" s="97"/>
      <c r="H25" s="97"/>
      <c r="I25" s="97"/>
      <c r="J25" s="97"/>
      <c r="K25" s="97"/>
    </row>
    <row r="26" spans="1:14" s="46" customFormat="1" ht="15">
      <c r="A26" s="102" t="s">
        <v>452</v>
      </c>
      <c r="B26" s="97"/>
      <c r="C26" s="97"/>
      <c r="D26" s="97"/>
      <c r="E26" s="97"/>
      <c r="F26" s="97"/>
      <c r="G26" s="97"/>
      <c r="H26" s="97"/>
      <c r="I26" s="97"/>
      <c r="J26" s="97"/>
      <c r="K26" s="97"/>
    </row>
    <row r="27" spans="1:14" s="46" customFormat="1" ht="15">
      <c r="A27" s="102" t="s">
        <v>475</v>
      </c>
      <c r="B27" s="97">
        <v>15304.698562</v>
      </c>
      <c r="C27" s="97">
        <v>17921.206230000003</v>
      </c>
      <c r="D27" s="97">
        <v>19889.907057000004</v>
      </c>
      <c r="E27" s="97">
        <v>19682.191682000004</v>
      </c>
      <c r="F27" s="97">
        <v>21663.196</v>
      </c>
      <c r="G27" s="97">
        <v>22375.53</v>
      </c>
      <c r="H27" s="97">
        <v>23406.752999999997</v>
      </c>
      <c r="I27" s="97">
        <v>24185.934000000001</v>
      </c>
      <c r="J27" s="97">
        <v>25041.911</v>
      </c>
      <c r="K27" s="97">
        <v>25005.352999999999</v>
      </c>
    </row>
    <row r="28" spans="1:14" s="46" customFormat="1" ht="27">
      <c r="A28" s="102" t="s">
        <v>179</v>
      </c>
      <c r="B28" s="312">
        <v>2187.8006650000002</v>
      </c>
      <c r="C28" s="312">
        <v>2049.6957349999998</v>
      </c>
      <c r="D28" s="312">
        <v>2279.2959999999998</v>
      </c>
      <c r="E28" s="312">
        <v>2335.8290000000002</v>
      </c>
      <c r="F28" s="312">
        <v>2512.1770000000001</v>
      </c>
      <c r="G28" s="312">
        <v>2888.3009999999999</v>
      </c>
      <c r="H28" s="312">
        <v>2971.4549999999999</v>
      </c>
      <c r="I28" s="312">
        <v>2751.9470000000001</v>
      </c>
      <c r="J28" s="312">
        <v>3000</v>
      </c>
      <c r="K28" s="312">
        <v>3000</v>
      </c>
    </row>
    <row r="29" spans="1:14" s="52" customFormat="1" ht="15" customHeight="1">
      <c r="A29" s="104" t="s">
        <v>717</v>
      </c>
      <c r="B29" s="105">
        <f t="shared" ref="B29:K29" si="2">B21-B24-B28</f>
        <v>43634.880451999998</v>
      </c>
      <c r="C29" s="105">
        <f t="shared" si="2"/>
        <v>44961.173569999999</v>
      </c>
      <c r="D29" s="105">
        <f t="shared" si="2"/>
        <v>37637.916999999994</v>
      </c>
      <c r="E29" s="105">
        <f t="shared" si="2"/>
        <v>39815.618000000002</v>
      </c>
      <c r="F29" s="105">
        <f t="shared" si="2"/>
        <v>41931.281999999992</v>
      </c>
      <c r="G29" s="105">
        <f t="shared" si="2"/>
        <v>43806.766000000003</v>
      </c>
      <c r="H29" s="105">
        <f t="shared" si="2"/>
        <v>45801.214999999997</v>
      </c>
      <c r="I29" s="105">
        <f t="shared" si="2"/>
        <v>47473.209000000003</v>
      </c>
      <c r="J29" s="105">
        <f t="shared" si="2"/>
        <v>49196.815999999999</v>
      </c>
      <c r="K29" s="105">
        <f t="shared" si="2"/>
        <v>49377.535000000003</v>
      </c>
      <c r="L29" s="118"/>
      <c r="M29" s="561"/>
      <c r="N29" s="562"/>
    </row>
    <row r="30" spans="1:14" s="52" customFormat="1" ht="15" customHeight="1">
      <c r="A30" s="104" t="s">
        <v>34</v>
      </c>
      <c r="B30" s="283">
        <v>15.45434534526664</v>
      </c>
      <c r="C30" s="283">
        <v>15.401354286986606</v>
      </c>
      <c r="D30" s="283">
        <v>13.151465819670982</v>
      </c>
      <c r="E30" s="283">
        <v>13.513906736314052</v>
      </c>
      <c r="F30" s="283">
        <v>13.586262514985577</v>
      </c>
      <c r="G30" s="283">
        <v>13.816728275131208</v>
      </c>
      <c r="H30" s="283">
        <v>14.185300639870166</v>
      </c>
      <c r="I30" s="283">
        <v>14.416576271804091</v>
      </c>
      <c r="J30" s="283">
        <v>14.593265306122449</v>
      </c>
      <c r="K30" s="283">
        <v>14.204048845036391</v>
      </c>
    </row>
    <row r="31" spans="1:14" s="52" customFormat="1" ht="15" customHeight="1">
      <c r="A31" s="99"/>
      <c r="B31" s="100"/>
      <c r="C31" s="100"/>
      <c r="D31" s="100"/>
      <c r="E31" s="100"/>
      <c r="F31" s="100"/>
      <c r="G31" s="100"/>
      <c r="H31" s="100"/>
      <c r="I31" s="100"/>
      <c r="J31" s="100"/>
      <c r="K31" s="100"/>
    </row>
    <row r="32" spans="1:14" s="45" customFormat="1" ht="15">
      <c r="A32" s="64"/>
      <c r="B32" s="64"/>
      <c r="C32" s="64"/>
      <c r="D32" s="64"/>
      <c r="E32" s="64"/>
      <c r="F32" s="64"/>
      <c r="G32" s="64"/>
      <c r="H32" s="64"/>
      <c r="I32" s="64"/>
      <c r="J32" s="64"/>
      <c r="K32" s="64"/>
    </row>
    <row r="33" spans="1:1" s="53" customFormat="1" ht="15" hidden="1">
      <c r="A33" s="29" t="s">
        <v>168</v>
      </c>
    </row>
    <row r="34" spans="1:1" s="338" customFormat="1" ht="15">
      <c r="A34" s="340" t="s">
        <v>949</v>
      </c>
    </row>
    <row r="35" spans="1:1" s="338" customFormat="1" ht="15">
      <c r="A35" s="571" t="s">
        <v>1039</v>
      </c>
    </row>
    <row r="36" spans="1:1" s="45" customFormat="1" ht="15">
      <c r="A36" s="571" t="s">
        <v>1038</v>
      </c>
    </row>
    <row r="37" spans="1:1" s="45" customFormat="1" ht="15"/>
    <row r="38" spans="1:1" s="45" customFormat="1" ht="15"/>
    <row r="39" spans="1:1" s="45" customFormat="1" ht="15"/>
    <row r="40" spans="1:1" s="45" customFormat="1" ht="15"/>
    <row r="41" spans="1:1" s="45" customFormat="1" ht="15"/>
  </sheetData>
  <pageMargins left="0.23622047244094491" right="0.23622047244094491" top="0.74803149606299213" bottom="0.74803149606299213" header="0.31496062992125984" footer="0.31496062992125984"/>
  <pageSetup paperSize="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4"/>
  <sheetViews>
    <sheetView workbookViewId="0"/>
  </sheetViews>
  <sheetFormatPr baseColWidth="10" defaultColWidth="11.42578125" defaultRowHeight="12.75"/>
  <cols>
    <col min="1" max="1" width="14.42578125" style="399" customWidth="1"/>
    <col min="2" max="11" width="6.85546875" style="399" customWidth="1"/>
    <col min="12" max="16384" width="11.42578125" style="399"/>
  </cols>
  <sheetData>
    <row r="1" spans="1:11" s="121" customFormat="1" ht="15">
      <c r="A1" s="161" t="s">
        <v>1000</v>
      </c>
      <c r="B1" s="130"/>
      <c r="C1" s="130"/>
      <c r="D1" s="130"/>
      <c r="E1" s="130"/>
      <c r="F1" s="130"/>
      <c r="G1" s="130"/>
      <c r="H1" s="130"/>
      <c r="I1" s="130"/>
      <c r="J1" s="130"/>
      <c r="K1" s="130"/>
    </row>
    <row r="2" spans="1:11" s="121" customFormat="1" ht="15">
      <c r="A2" s="154" t="s">
        <v>35</v>
      </c>
      <c r="B2" s="130"/>
      <c r="C2" s="130"/>
      <c r="D2" s="130"/>
      <c r="E2" s="130"/>
      <c r="F2" s="130"/>
      <c r="G2" s="130"/>
      <c r="H2" s="130"/>
      <c r="I2" s="130"/>
      <c r="J2" s="130"/>
      <c r="K2" s="130"/>
    </row>
    <row r="3" spans="1:11" s="121" customFormat="1" ht="15">
      <c r="A3" s="130"/>
      <c r="B3" s="130"/>
      <c r="C3" s="130"/>
      <c r="D3" s="130"/>
      <c r="E3" s="130"/>
      <c r="F3" s="130"/>
      <c r="G3" s="130"/>
      <c r="H3" s="130"/>
      <c r="I3" s="130"/>
      <c r="J3" s="130"/>
      <c r="K3" s="130"/>
    </row>
    <row r="4" spans="1:11" s="124" customFormat="1" ht="37.5" customHeight="1">
      <c r="A4" s="288"/>
      <c r="B4" s="290" t="s">
        <v>755</v>
      </c>
      <c r="C4" s="290" t="s">
        <v>756</v>
      </c>
      <c r="D4" s="290" t="s">
        <v>757</v>
      </c>
      <c r="E4" s="290" t="s">
        <v>758</v>
      </c>
      <c r="F4" s="290" t="s">
        <v>759</v>
      </c>
      <c r="G4" s="290" t="s">
        <v>806</v>
      </c>
      <c r="H4" s="290" t="s">
        <v>807</v>
      </c>
      <c r="I4" s="290" t="s">
        <v>944</v>
      </c>
      <c r="J4" s="290" t="s">
        <v>934</v>
      </c>
      <c r="K4" s="290" t="s">
        <v>1052</v>
      </c>
    </row>
    <row r="5" spans="1:11" s="130" customFormat="1" ht="12.75" customHeight="1">
      <c r="A5" s="161"/>
      <c r="B5" s="154"/>
      <c r="C5" s="154"/>
      <c r="D5" s="154"/>
      <c r="E5" s="154"/>
      <c r="F5" s="154"/>
      <c r="G5" s="154"/>
      <c r="H5" s="154"/>
      <c r="I5" s="154"/>
      <c r="J5" s="154"/>
      <c r="K5" s="154"/>
    </row>
    <row r="6" spans="1:11" s="131" customFormat="1" ht="15" customHeight="1">
      <c r="A6" s="160" t="s">
        <v>453</v>
      </c>
      <c r="B6" s="181">
        <f t="shared" ref="B6:K6" si="0">B7+B8</f>
        <v>448.97438100000005</v>
      </c>
      <c r="C6" s="181">
        <f t="shared" si="0"/>
        <v>550.264906</v>
      </c>
      <c r="D6" s="181">
        <f t="shared" si="0"/>
        <v>603.57236999999998</v>
      </c>
      <c r="E6" s="181">
        <f t="shared" si="0"/>
        <v>596.17318499999999</v>
      </c>
      <c r="F6" s="181">
        <f t="shared" si="0"/>
        <v>660.35118399999988</v>
      </c>
      <c r="G6" s="181">
        <f t="shared" si="0"/>
        <v>680.02199999999993</v>
      </c>
      <c r="H6" s="181">
        <f t="shared" si="0"/>
        <v>712.67399999999998</v>
      </c>
      <c r="I6" s="181">
        <f t="shared" si="0"/>
        <v>738.67700000000002</v>
      </c>
      <c r="J6" s="181">
        <f t="shared" si="0"/>
        <v>762.24800000000005</v>
      </c>
      <c r="K6" s="181">
        <f t="shared" si="0"/>
        <v>757.33</v>
      </c>
    </row>
    <row r="7" spans="1:11" s="131" customFormat="1" ht="15" customHeight="1">
      <c r="A7" s="160" t="s">
        <v>473</v>
      </c>
      <c r="B7" s="159">
        <v>258.95524700000004</v>
      </c>
      <c r="C7" s="159">
        <v>343.198331</v>
      </c>
      <c r="D7" s="159">
        <v>410.081525</v>
      </c>
      <c r="E7" s="159">
        <v>404.31746499999997</v>
      </c>
      <c r="F7" s="159">
        <v>446.22301099999993</v>
      </c>
      <c r="G7" s="159">
        <v>460.49099999999999</v>
      </c>
      <c r="H7" s="159">
        <v>482.63400000000001</v>
      </c>
      <c r="I7" s="159">
        <v>499.26499999999999</v>
      </c>
      <c r="J7" s="159">
        <v>517.10900000000004</v>
      </c>
      <c r="K7" s="159">
        <v>512.52800000000002</v>
      </c>
    </row>
    <row r="8" spans="1:11" s="131" customFormat="1" ht="15" customHeight="1">
      <c r="A8" s="160" t="s">
        <v>474</v>
      </c>
      <c r="B8" s="159">
        <v>190.01913400000001</v>
      </c>
      <c r="C8" s="159">
        <v>207.06657500000003</v>
      </c>
      <c r="D8" s="159">
        <v>193.49084500000001</v>
      </c>
      <c r="E8" s="159">
        <v>191.85572000000002</v>
      </c>
      <c r="F8" s="159">
        <v>214.128173</v>
      </c>
      <c r="G8" s="159">
        <v>219.53100000000001</v>
      </c>
      <c r="H8" s="159">
        <v>230.04</v>
      </c>
      <c r="I8" s="159">
        <v>239.41200000000001</v>
      </c>
      <c r="J8" s="159">
        <v>245.13900000000001</v>
      </c>
      <c r="K8" s="159">
        <v>244.80199999999999</v>
      </c>
    </row>
    <row r="9" spans="1:11" s="131" customFormat="1" ht="12.75" customHeight="1">
      <c r="A9" s="160"/>
      <c r="B9" s="159"/>
      <c r="C9" s="159"/>
      <c r="D9" s="159"/>
      <c r="E9" s="159"/>
      <c r="F9" s="159"/>
      <c r="G9" s="159"/>
      <c r="H9" s="159"/>
      <c r="I9" s="159"/>
      <c r="J9" s="159"/>
      <c r="K9" s="159"/>
    </row>
    <row r="10" spans="1:11" s="130" customFormat="1" ht="15" customHeight="1">
      <c r="A10" s="160" t="s">
        <v>454</v>
      </c>
      <c r="B10" s="181">
        <f t="shared" ref="B10:K10" si="1">B11+B12</f>
        <v>1016.8062279999999</v>
      </c>
      <c r="C10" s="181">
        <f t="shared" si="1"/>
        <v>1222.0786119999998</v>
      </c>
      <c r="D10" s="181">
        <f t="shared" si="1"/>
        <v>1318.924618</v>
      </c>
      <c r="E10" s="181">
        <f t="shared" si="1"/>
        <v>1304.1075640000001</v>
      </c>
      <c r="F10" s="181">
        <f t="shared" si="1"/>
        <v>1425.1675869999999</v>
      </c>
      <c r="G10" s="181">
        <f t="shared" si="1"/>
        <v>1476.194</v>
      </c>
      <c r="H10" s="181">
        <f t="shared" si="1"/>
        <v>1534.4659999999999</v>
      </c>
      <c r="I10" s="181">
        <f t="shared" si="1"/>
        <v>1572.7510000000002</v>
      </c>
      <c r="J10" s="181">
        <f t="shared" si="1"/>
        <v>1631.4360000000001</v>
      </c>
      <c r="K10" s="181">
        <f t="shared" si="1"/>
        <v>1612.521</v>
      </c>
    </row>
    <row r="11" spans="1:11" s="130" customFormat="1" ht="15" customHeight="1">
      <c r="A11" s="160" t="s">
        <v>473</v>
      </c>
      <c r="B11" s="159">
        <v>553.06392099999994</v>
      </c>
      <c r="C11" s="159">
        <v>703.09067700000003</v>
      </c>
      <c r="D11" s="159">
        <v>840.64561500000002</v>
      </c>
      <c r="E11" s="159">
        <v>827.71512300000018</v>
      </c>
      <c r="F11" s="159">
        <v>909.14271499999995</v>
      </c>
      <c r="G11" s="159">
        <v>936.49400000000003</v>
      </c>
      <c r="H11" s="159">
        <v>974.84400000000005</v>
      </c>
      <c r="I11" s="159">
        <v>1004.335</v>
      </c>
      <c r="J11" s="159">
        <v>1040.412</v>
      </c>
      <c r="K11" s="159">
        <v>1029.3399999999999</v>
      </c>
    </row>
    <row r="12" spans="1:11" s="130" customFormat="1" ht="15" customHeight="1">
      <c r="A12" s="160" t="s">
        <v>474</v>
      </c>
      <c r="B12" s="159">
        <v>463.74230699999993</v>
      </c>
      <c r="C12" s="159">
        <v>518.98793499999988</v>
      </c>
      <c r="D12" s="159">
        <v>478.27900299999999</v>
      </c>
      <c r="E12" s="159">
        <v>476.39244100000002</v>
      </c>
      <c r="F12" s="159">
        <v>516.02487200000007</v>
      </c>
      <c r="G12" s="159">
        <v>539.70000000000005</v>
      </c>
      <c r="H12" s="159">
        <v>559.62199999999996</v>
      </c>
      <c r="I12" s="159">
        <v>568.41600000000005</v>
      </c>
      <c r="J12" s="159">
        <v>591.024</v>
      </c>
      <c r="K12" s="159">
        <v>583.18100000000004</v>
      </c>
    </row>
    <row r="13" spans="1:11" s="130" customFormat="1" ht="12.75" customHeight="1">
      <c r="A13" s="160"/>
      <c r="B13" s="159"/>
      <c r="C13" s="159"/>
      <c r="D13" s="159"/>
      <c r="E13" s="159"/>
      <c r="F13" s="159"/>
      <c r="G13" s="159"/>
      <c r="H13" s="159"/>
      <c r="I13" s="159"/>
      <c r="J13" s="159"/>
      <c r="K13" s="159"/>
    </row>
    <row r="14" spans="1:11" s="130" customFormat="1" ht="15" customHeight="1">
      <c r="A14" s="160" t="s">
        <v>455</v>
      </c>
      <c r="B14" s="181">
        <f t="shared" ref="B14:K14" si="2">B15+B16</f>
        <v>2688.0256170000002</v>
      </c>
      <c r="C14" s="181">
        <f t="shared" si="2"/>
        <v>3208.4570519999997</v>
      </c>
      <c r="D14" s="181">
        <f t="shared" si="2"/>
        <v>3565.6787769999992</v>
      </c>
      <c r="E14" s="181">
        <f t="shared" si="2"/>
        <v>3512.2942050000001</v>
      </c>
      <c r="F14" s="181">
        <f t="shared" si="2"/>
        <v>3884.0032529999999</v>
      </c>
      <c r="G14" s="181">
        <f t="shared" si="2"/>
        <v>3994.4139999999998</v>
      </c>
      <c r="H14" s="181">
        <f t="shared" si="2"/>
        <v>4191.0569999999998</v>
      </c>
      <c r="I14" s="181">
        <f t="shared" si="2"/>
        <v>4336.4539999999997</v>
      </c>
      <c r="J14" s="181">
        <f t="shared" si="2"/>
        <v>4484.9169999999995</v>
      </c>
      <c r="K14" s="181">
        <f t="shared" si="2"/>
        <v>4465.1869999999999</v>
      </c>
    </row>
    <row r="15" spans="1:11" s="130" customFormat="1" ht="15">
      <c r="A15" s="160" t="s">
        <v>473</v>
      </c>
      <c r="B15" s="159">
        <v>1506.680511</v>
      </c>
      <c r="C15" s="159">
        <v>1903.0049009999998</v>
      </c>
      <c r="D15" s="159">
        <v>2328.3255549999994</v>
      </c>
      <c r="E15" s="159">
        <v>2293.0422640000002</v>
      </c>
      <c r="F15" s="159">
        <v>2527.431818</v>
      </c>
      <c r="G15" s="159">
        <v>2603.5450000000001</v>
      </c>
      <c r="H15" s="159">
        <v>2727.0569999999998</v>
      </c>
      <c r="I15" s="159">
        <v>2818.2240000000002</v>
      </c>
      <c r="J15" s="159">
        <v>2919.163</v>
      </c>
      <c r="K15" s="159">
        <v>2902.951</v>
      </c>
    </row>
    <row r="16" spans="1:11" s="130" customFormat="1" ht="15">
      <c r="A16" s="160" t="s">
        <v>474</v>
      </c>
      <c r="B16" s="159">
        <v>1181.345106</v>
      </c>
      <c r="C16" s="159">
        <v>1305.4521510000002</v>
      </c>
      <c r="D16" s="159">
        <v>1237.353222</v>
      </c>
      <c r="E16" s="159">
        <v>1219.251941</v>
      </c>
      <c r="F16" s="159">
        <v>1356.5714350000001</v>
      </c>
      <c r="G16" s="159">
        <v>1390.8689999999999</v>
      </c>
      <c r="H16" s="159">
        <v>1464</v>
      </c>
      <c r="I16" s="159">
        <v>1518.23</v>
      </c>
      <c r="J16" s="159">
        <v>1565.7539999999999</v>
      </c>
      <c r="K16" s="159">
        <v>1562.2360000000001</v>
      </c>
    </row>
    <row r="17" spans="1:11" s="130" customFormat="1" ht="12.75" customHeight="1">
      <c r="A17" s="160"/>
      <c r="B17" s="159"/>
      <c r="C17" s="159"/>
      <c r="D17" s="159"/>
      <c r="E17" s="159"/>
      <c r="F17" s="159"/>
      <c r="G17" s="159"/>
      <c r="H17" s="159"/>
      <c r="I17" s="159"/>
      <c r="J17" s="159"/>
      <c r="K17" s="159"/>
    </row>
    <row r="18" spans="1:11" s="130" customFormat="1" ht="15" customHeight="1">
      <c r="A18" s="160" t="s">
        <v>456</v>
      </c>
      <c r="B18" s="181">
        <f t="shared" ref="B18:K18" si="3">B19+B20</f>
        <v>2498.6388449999999</v>
      </c>
      <c r="C18" s="181">
        <f t="shared" si="3"/>
        <v>2918.2603760000002</v>
      </c>
      <c r="D18" s="181">
        <f t="shared" si="3"/>
        <v>3214.9364160000005</v>
      </c>
      <c r="E18" s="181">
        <f t="shared" si="3"/>
        <v>3170.5090280000004</v>
      </c>
      <c r="F18" s="181">
        <f t="shared" si="3"/>
        <v>3497.6245029999995</v>
      </c>
      <c r="G18" s="181">
        <f t="shared" si="3"/>
        <v>3612.5630000000001</v>
      </c>
      <c r="H18" s="181">
        <f t="shared" si="3"/>
        <v>3775.3630000000003</v>
      </c>
      <c r="I18" s="181">
        <f t="shared" si="3"/>
        <v>3901.721</v>
      </c>
      <c r="J18" s="181">
        <f t="shared" si="3"/>
        <v>4038.3229999999999</v>
      </c>
      <c r="K18" s="181">
        <f t="shared" si="3"/>
        <v>4016.73</v>
      </c>
    </row>
    <row r="19" spans="1:11" s="130" customFormat="1" ht="15" customHeight="1">
      <c r="A19" s="160" t="s">
        <v>473</v>
      </c>
      <c r="B19" s="159">
        <v>1364.2882950000001</v>
      </c>
      <c r="C19" s="159">
        <v>1659.7039969999998</v>
      </c>
      <c r="D19" s="159">
        <v>2031.506265</v>
      </c>
      <c r="E19" s="159">
        <v>1999.8547080000003</v>
      </c>
      <c r="F19" s="159">
        <v>2204.3604309999996</v>
      </c>
      <c r="G19" s="159">
        <v>2265.59</v>
      </c>
      <c r="H19" s="159">
        <v>2371.7310000000002</v>
      </c>
      <c r="I19" s="159">
        <v>2452.9259999999999</v>
      </c>
      <c r="J19" s="159">
        <v>2541.4459999999999</v>
      </c>
      <c r="K19" s="159">
        <v>2529.759</v>
      </c>
    </row>
    <row r="20" spans="1:11" s="130" customFormat="1" ht="15" customHeight="1">
      <c r="A20" s="160" t="s">
        <v>474</v>
      </c>
      <c r="B20" s="159">
        <v>1134.3505499999999</v>
      </c>
      <c r="C20" s="159">
        <v>1258.5563790000001</v>
      </c>
      <c r="D20" s="159">
        <v>1183.4301510000003</v>
      </c>
      <c r="E20" s="159">
        <v>1170.6543200000001</v>
      </c>
      <c r="F20" s="159">
        <v>1293.2640719999999</v>
      </c>
      <c r="G20" s="159">
        <v>1346.973</v>
      </c>
      <c r="H20" s="159">
        <v>1403.6320000000001</v>
      </c>
      <c r="I20" s="159">
        <v>1448.7950000000001</v>
      </c>
      <c r="J20" s="159">
        <v>1496.877</v>
      </c>
      <c r="K20" s="159">
        <v>1486.971</v>
      </c>
    </row>
    <row r="21" spans="1:11" s="130" customFormat="1" ht="12.75" customHeight="1">
      <c r="A21" s="160"/>
      <c r="B21" s="159"/>
      <c r="C21" s="159"/>
      <c r="D21" s="159"/>
      <c r="E21" s="159"/>
      <c r="F21" s="159"/>
      <c r="G21" s="159"/>
      <c r="H21" s="159"/>
      <c r="I21" s="159"/>
      <c r="J21" s="159"/>
      <c r="K21" s="159"/>
    </row>
    <row r="22" spans="1:11" s="130" customFormat="1" ht="15" customHeight="1">
      <c r="A22" s="160" t="s">
        <v>457</v>
      </c>
      <c r="B22" s="181">
        <f t="shared" ref="B22:K22" si="4">B23+B24</f>
        <v>1036.2385939999999</v>
      </c>
      <c r="C22" s="181">
        <f t="shared" si="4"/>
        <v>1224.918533</v>
      </c>
      <c r="D22" s="181">
        <f t="shared" si="4"/>
        <v>1335.7070349999999</v>
      </c>
      <c r="E22" s="181">
        <f t="shared" si="4"/>
        <v>1322.4634569999998</v>
      </c>
      <c r="F22" s="181">
        <f t="shared" si="4"/>
        <v>1447.1799730000002</v>
      </c>
      <c r="G22" s="181">
        <f t="shared" si="4"/>
        <v>1497.9459999999999</v>
      </c>
      <c r="H22" s="181">
        <f t="shared" si="4"/>
        <v>1563.837</v>
      </c>
      <c r="I22" s="181">
        <f t="shared" si="4"/>
        <v>1614.2090000000001</v>
      </c>
      <c r="J22" s="181">
        <f t="shared" si="4"/>
        <v>1664.2260000000001</v>
      </c>
      <c r="K22" s="181">
        <f t="shared" si="4"/>
        <v>1661.4490000000001</v>
      </c>
    </row>
    <row r="23" spans="1:11" s="130" customFormat="1" ht="15" customHeight="1">
      <c r="A23" s="160" t="s">
        <v>473</v>
      </c>
      <c r="B23" s="159">
        <v>537.59837900000002</v>
      </c>
      <c r="C23" s="159">
        <v>667.10223000000008</v>
      </c>
      <c r="D23" s="159">
        <v>816.85978799999998</v>
      </c>
      <c r="E23" s="159">
        <v>805.727035</v>
      </c>
      <c r="F23" s="159">
        <v>874.65073600000005</v>
      </c>
      <c r="G23" s="159">
        <v>908.32100000000003</v>
      </c>
      <c r="H23" s="159">
        <v>949.37</v>
      </c>
      <c r="I23" s="159">
        <v>980.98900000000003</v>
      </c>
      <c r="J23" s="159">
        <v>1012.852</v>
      </c>
      <c r="K23" s="159">
        <v>1009.335</v>
      </c>
    </row>
    <row r="24" spans="1:11" s="130" customFormat="1" ht="15" customHeight="1">
      <c r="A24" s="160" t="s">
        <v>474</v>
      </c>
      <c r="B24" s="159">
        <v>498.64021500000001</v>
      </c>
      <c r="C24" s="159">
        <v>557.81630299999995</v>
      </c>
      <c r="D24" s="159">
        <v>518.84724699999992</v>
      </c>
      <c r="E24" s="159">
        <v>516.73642199999995</v>
      </c>
      <c r="F24" s="159">
        <v>572.52923700000008</v>
      </c>
      <c r="G24" s="159">
        <v>589.625</v>
      </c>
      <c r="H24" s="159">
        <v>614.46699999999998</v>
      </c>
      <c r="I24" s="159">
        <v>633.22</v>
      </c>
      <c r="J24" s="159">
        <v>651.37400000000002</v>
      </c>
      <c r="K24" s="159">
        <v>652.11400000000003</v>
      </c>
    </row>
    <row r="25" spans="1:11" s="130" customFormat="1" ht="12.75" customHeight="1">
      <c r="A25" s="160"/>
      <c r="B25" s="159"/>
      <c r="C25" s="159"/>
      <c r="D25" s="159"/>
      <c r="E25" s="159"/>
      <c r="F25" s="159"/>
      <c r="G25" s="159"/>
      <c r="H25" s="159"/>
      <c r="I25" s="159"/>
      <c r="J25" s="159"/>
      <c r="K25" s="159"/>
    </row>
    <row r="26" spans="1:11" s="130" customFormat="1" ht="15" customHeight="1">
      <c r="A26" s="160" t="s">
        <v>458</v>
      </c>
      <c r="B26" s="181">
        <f t="shared" ref="B26:K26" si="5">B27+B28</f>
        <v>2085.3811850000002</v>
      </c>
      <c r="C26" s="181">
        <f t="shared" si="5"/>
        <v>2466.2141099999999</v>
      </c>
      <c r="D26" s="181">
        <f t="shared" si="5"/>
        <v>2709.0374859999997</v>
      </c>
      <c r="E26" s="181">
        <f t="shared" si="5"/>
        <v>2674.9791299999997</v>
      </c>
      <c r="F26" s="181">
        <f t="shared" si="5"/>
        <v>2958.2796689999996</v>
      </c>
      <c r="G26" s="181">
        <f t="shared" si="5"/>
        <v>3035.3559999999998</v>
      </c>
      <c r="H26" s="181">
        <f t="shared" si="5"/>
        <v>3168.3540000000003</v>
      </c>
      <c r="I26" s="181">
        <f t="shared" si="5"/>
        <v>3268.3980000000001</v>
      </c>
      <c r="J26" s="181">
        <f t="shared" si="5"/>
        <v>3382.8469999999998</v>
      </c>
      <c r="K26" s="181">
        <f t="shared" si="5"/>
        <v>3362.7950000000001</v>
      </c>
    </row>
    <row r="27" spans="1:11" s="130" customFormat="1" ht="15" customHeight="1">
      <c r="A27" s="160" t="s">
        <v>473</v>
      </c>
      <c r="B27" s="159">
        <v>1156.6799209999999</v>
      </c>
      <c r="C27" s="159">
        <v>1447.27853</v>
      </c>
      <c r="D27" s="159">
        <v>1755.2832479999997</v>
      </c>
      <c r="E27" s="159">
        <v>1730.133323</v>
      </c>
      <c r="F27" s="159">
        <v>1904.3059289999999</v>
      </c>
      <c r="G27" s="159">
        <v>1950.702</v>
      </c>
      <c r="H27" s="159">
        <v>2041.1110000000001</v>
      </c>
      <c r="I27" s="159">
        <v>2106.6460000000002</v>
      </c>
      <c r="J27" s="159">
        <v>2184.3879999999999</v>
      </c>
      <c r="K27" s="159">
        <v>2167.2919999999999</v>
      </c>
    </row>
    <row r="28" spans="1:11" s="130" customFormat="1" ht="15" customHeight="1">
      <c r="A28" s="160" t="s">
        <v>474</v>
      </c>
      <c r="B28" s="159">
        <v>928.70126400000015</v>
      </c>
      <c r="C28" s="159">
        <v>1018.93558</v>
      </c>
      <c r="D28" s="159">
        <v>953.7542380000001</v>
      </c>
      <c r="E28" s="159">
        <v>944.84580699999992</v>
      </c>
      <c r="F28" s="159">
        <v>1053.9737399999999</v>
      </c>
      <c r="G28" s="159">
        <v>1084.654</v>
      </c>
      <c r="H28" s="159">
        <v>1127.2429999999999</v>
      </c>
      <c r="I28" s="159">
        <v>1161.752</v>
      </c>
      <c r="J28" s="159">
        <v>1198.4590000000001</v>
      </c>
      <c r="K28" s="159">
        <v>1195.5029999999999</v>
      </c>
    </row>
    <row r="29" spans="1:11" s="130" customFormat="1" ht="12.75" customHeight="1">
      <c r="A29" s="160"/>
      <c r="B29" s="159"/>
      <c r="C29" s="159"/>
      <c r="D29" s="159"/>
      <c r="E29" s="159"/>
      <c r="F29" s="159"/>
      <c r="G29" s="159"/>
      <c r="H29" s="159"/>
      <c r="I29" s="159"/>
      <c r="J29" s="159"/>
      <c r="K29" s="159"/>
    </row>
    <row r="30" spans="1:11" s="130" customFormat="1" ht="15" customHeight="1">
      <c r="A30" s="160" t="s">
        <v>459</v>
      </c>
      <c r="B30" s="181">
        <f t="shared" ref="B30:K30" si="6">B31+B32</f>
        <v>1321.497243</v>
      </c>
      <c r="C30" s="181">
        <f t="shared" si="6"/>
        <v>1552.119993</v>
      </c>
      <c r="D30" s="181">
        <f t="shared" si="6"/>
        <v>1705.2033419999998</v>
      </c>
      <c r="E30" s="181">
        <f t="shared" si="6"/>
        <v>1687.4850660000002</v>
      </c>
      <c r="F30" s="181">
        <f t="shared" si="6"/>
        <v>1860.629191</v>
      </c>
      <c r="G30" s="181">
        <f t="shared" si="6"/>
        <v>1924.3040000000001</v>
      </c>
      <c r="H30" s="181">
        <f t="shared" si="6"/>
        <v>2011.3389999999999</v>
      </c>
      <c r="I30" s="181">
        <f t="shared" si="6"/>
        <v>2077.489</v>
      </c>
      <c r="J30" s="181">
        <f t="shared" si="6"/>
        <v>2156.66</v>
      </c>
      <c r="K30" s="181">
        <f t="shared" si="6"/>
        <v>2158.4849999999997</v>
      </c>
    </row>
    <row r="31" spans="1:11" s="130" customFormat="1" ht="15" customHeight="1">
      <c r="A31" s="160" t="s">
        <v>473</v>
      </c>
      <c r="B31" s="159">
        <v>704.56263899999999</v>
      </c>
      <c r="C31" s="159">
        <v>868.340778</v>
      </c>
      <c r="D31" s="159">
        <v>1056.385869</v>
      </c>
      <c r="E31" s="159">
        <v>1041.797225</v>
      </c>
      <c r="F31" s="159">
        <v>1148.759333</v>
      </c>
      <c r="G31" s="159">
        <v>1179.193</v>
      </c>
      <c r="H31" s="159">
        <v>1236.155</v>
      </c>
      <c r="I31" s="159">
        <v>1279.3920000000001</v>
      </c>
      <c r="J31" s="159">
        <v>1325.991</v>
      </c>
      <c r="K31" s="159">
        <v>1325.175</v>
      </c>
    </row>
    <row r="32" spans="1:11" s="130" customFormat="1" ht="15" customHeight="1">
      <c r="A32" s="160" t="s">
        <v>474</v>
      </c>
      <c r="B32" s="159">
        <v>616.93460400000004</v>
      </c>
      <c r="C32" s="159">
        <v>683.77921500000002</v>
      </c>
      <c r="D32" s="159">
        <v>648.81747299999995</v>
      </c>
      <c r="E32" s="159">
        <v>645.68784100000005</v>
      </c>
      <c r="F32" s="159">
        <v>711.86985800000002</v>
      </c>
      <c r="G32" s="159">
        <v>745.11099999999999</v>
      </c>
      <c r="H32" s="159">
        <v>775.18399999999997</v>
      </c>
      <c r="I32" s="159">
        <v>798.09699999999998</v>
      </c>
      <c r="J32" s="159">
        <v>830.66899999999998</v>
      </c>
      <c r="K32" s="159">
        <v>833.31</v>
      </c>
    </row>
    <row r="33" spans="1:11" s="130" customFormat="1" ht="12.75" customHeight="1">
      <c r="A33" s="160"/>
      <c r="B33" s="159"/>
      <c r="C33" s="159"/>
      <c r="D33" s="159"/>
      <c r="E33" s="159"/>
      <c r="F33" s="159"/>
      <c r="G33" s="159"/>
      <c r="H33" s="159"/>
      <c r="I33" s="159"/>
      <c r="J33" s="159"/>
      <c r="K33" s="159"/>
    </row>
    <row r="34" spans="1:11" s="130" customFormat="1" ht="15" customHeight="1">
      <c r="A34" s="160" t="s">
        <v>460</v>
      </c>
      <c r="B34" s="181">
        <f t="shared" ref="B34:K34" si="7">B35+B36</f>
        <v>711.81136000000004</v>
      </c>
      <c r="C34" s="181">
        <f t="shared" si="7"/>
        <v>830.56076699999994</v>
      </c>
      <c r="D34" s="181">
        <f t="shared" si="7"/>
        <v>917.2370370000001</v>
      </c>
      <c r="E34" s="181">
        <f t="shared" si="7"/>
        <v>903.35808799999995</v>
      </c>
      <c r="F34" s="181">
        <f t="shared" si="7"/>
        <v>1000.346831</v>
      </c>
      <c r="G34" s="181">
        <f t="shared" si="7"/>
        <v>1033.771</v>
      </c>
      <c r="H34" s="181">
        <f t="shared" si="7"/>
        <v>1078.134</v>
      </c>
      <c r="I34" s="181">
        <f t="shared" si="7"/>
        <v>1118.4499999999998</v>
      </c>
      <c r="J34" s="181">
        <f t="shared" si="7"/>
        <v>1155.33</v>
      </c>
      <c r="K34" s="181">
        <f t="shared" si="7"/>
        <v>1157.4589999999998</v>
      </c>
    </row>
    <row r="35" spans="1:11" s="130" customFormat="1" ht="15" customHeight="1">
      <c r="A35" s="160" t="s">
        <v>473</v>
      </c>
      <c r="B35" s="159">
        <v>379.209948</v>
      </c>
      <c r="C35" s="159">
        <v>464.838998</v>
      </c>
      <c r="D35" s="159">
        <v>569.23871200000008</v>
      </c>
      <c r="E35" s="159">
        <v>559.67047700000001</v>
      </c>
      <c r="F35" s="159">
        <v>615.33598099999995</v>
      </c>
      <c r="G35" s="159">
        <v>634.91300000000001</v>
      </c>
      <c r="H35" s="159">
        <v>663.94799999999998</v>
      </c>
      <c r="I35" s="159">
        <v>686.89599999999996</v>
      </c>
      <c r="J35" s="159">
        <v>711.22</v>
      </c>
      <c r="K35" s="159">
        <v>709.54</v>
      </c>
    </row>
    <row r="36" spans="1:11" s="130" customFormat="1" ht="15" customHeight="1">
      <c r="A36" s="160" t="s">
        <v>474</v>
      </c>
      <c r="B36" s="159">
        <v>332.60141200000004</v>
      </c>
      <c r="C36" s="159">
        <v>365.72176899999999</v>
      </c>
      <c r="D36" s="159">
        <v>347.99832500000002</v>
      </c>
      <c r="E36" s="159">
        <v>343.68761099999995</v>
      </c>
      <c r="F36" s="159">
        <v>385.01085</v>
      </c>
      <c r="G36" s="159">
        <v>398.858</v>
      </c>
      <c r="H36" s="159">
        <v>414.18599999999998</v>
      </c>
      <c r="I36" s="159">
        <v>431.55399999999997</v>
      </c>
      <c r="J36" s="159">
        <v>444.11</v>
      </c>
      <c r="K36" s="159">
        <v>447.91899999999998</v>
      </c>
    </row>
    <row r="37" spans="1:11" s="130" customFormat="1" ht="12.75" customHeight="1">
      <c r="A37" s="160"/>
      <c r="B37" s="159"/>
      <c r="C37" s="159"/>
      <c r="D37" s="159"/>
      <c r="E37" s="159"/>
      <c r="F37" s="159"/>
      <c r="G37" s="159"/>
      <c r="H37" s="159"/>
      <c r="I37" s="159"/>
      <c r="J37" s="159"/>
      <c r="K37" s="159"/>
    </row>
    <row r="38" spans="1:11" s="130" customFormat="1" ht="15" customHeight="1">
      <c r="A38" s="160" t="s">
        <v>461</v>
      </c>
      <c r="B38" s="181">
        <f t="shared" ref="B38:K38" si="8">B39+B40</f>
        <v>3497.3251090000003</v>
      </c>
      <c r="C38" s="181">
        <f t="shared" si="8"/>
        <v>3948.3318810000001</v>
      </c>
      <c r="D38" s="181">
        <f t="shared" si="8"/>
        <v>4519.6099759999997</v>
      </c>
      <c r="E38" s="181">
        <f t="shared" si="8"/>
        <v>4510.8219590000008</v>
      </c>
      <c r="F38" s="181">
        <f t="shared" si="8"/>
        <v>4929.6148840000005</v>
      </c>
      <c r="G38" s="181">
        <f t="shared" si="8"/>
        <v>5120.9580000000005</v>
      </c>
      <c r="H38" s="181">
        <f t="shared" si="8"/>
        <v>5371.4229999999998</v>
      </c>
      <c r="I38" s="181">
        <f t="shared" si="8"/>
        <v>5557.7630000000008</v>
      </c>
      <c r="J38" s="181">
        <f t="shared" si="8"/>
        <v>5765.9220000000005</v>
      </c>
      <c r="K38" s="181">
        <f t="shared" si="8"/>
        <v>5813.3969999999999</v>
      </c>
    </row>
    <row r="39" spans="1:11" s="130" customFormat="1" ht="15" customHeight="1">
      <c r="A39" s="160" t="s">
        <v>462</v>
      </c>
      <c r="B39" s="159">
        <v>1644.3773509999999</v>
      </c>
      <c r="C39" s="159">
        <v>1949.805687</v>
      </c>
      <c r="D39" s="159">
        <v>2601.6070460000001</v>
      </c>
      <c r="E39" s="159">
        <v>2578.607927</v>
      </c>
      <c r="F39" s="159">
        <v>2832.208482</v>
      </c>
      <c r="G39" s="159">
        <v>2892.5529999999999</v>
      </c>
      <c r="H39" s="159">
        <v>3039.895</v>
      </c>
      <c r="I39" s="159">
        <v>3154.82</v>
      </c>
      <c r="J39" s="159">
        <v>3271.752</v>
      </c>
      <c r="K39" s="159">
        <v>3299.4760000000001</v>
      </c>
    </row>
    <row r="40" spans="1:11" s="130" customFormat="1" ht="15" customHeight="1">
      <c r="A40" s="160" t="s">
        <v>463</v>
      </c>
      <c r="B40" s="159">
        <v>1852.9477580000002</v>
      </c>
      <c r="C40" s="159">
        <v>1998.526194</v>
      </c>
      <c r="D40" s="159">
        <v>1918.0029300000001</v>
      </c>
      <c r="E40" s="159">
        <v>1932.2140320000003</v>
      </c>
      <c r="F40" s="159">
        <v>2097.4064020000001</v>
      </c>
      <c r="G40" s="159">
        <v>2228.4050000000002</v>
      </c>
      <c r="H40" s="159">
        <v>2331.5279999999998</v>
      </c>
      <c r="I40" s="159">
        <v>2402.9430000000002</v>
      </c>
      <c r="J40" s="159">
        <v>2494.17</v>
      </c>
      <c r="K40" s="159">
        <v>2513.9209999999998</v>
      </c>
    </row>
    <row r="41" spans="1:11" s="130" customFormat="1" ht="12.75" customHeight="1">
      <c r="A41" s="160"/>
      <c r="B41" s="159"/>
      <c r="C41" s="159"/>
      <c r="D41" s="159"/>
      <c r="E41" s="159"/>
      <c r="F41" s="159"/>
      <c r="G41" s="159"/>
      <c r="H41" s="159"/>
      <c r="I41" s="159"/>
      <c r="J41" s="159"/>
      <c r="K41" s="159"/>
    </row>
    <row r="42" spans="1:11" s="130" customFormat="1" ht="15" customHeight="1">
      <c r="A42" s="183" t="s">
        <v>464</v>
      </c>
      <c r="B42" s="158">
        <v>15304.698561999998</v>
      </c>
      <c r="C42" s="158">
        <v>17921.206229999996</v>
      </c>
      <c r="D42" s="158">
        <v>19889.907056999997</v>
      </c>
      <c r="E42" s="158">
        <v>19682.191682000001</v>
      </c>
      <c r="F42" s="158">
        <v>21663.197074999996</v>
      </c>
      <c r="G42" s="158">
        <v>22375.527999999998</v>
      </c>
      <c r="H42" s="158">
        <v>23406.647000000004</v>
      </c>
      <c r="I42" s="158">
        <v>24185.912</v>
      </c>
      <c r="J42" s="158">
        <v>25041.909000000007</v>
      </c>
      <c r="K42" s="158">
        <f>K6+K10+K14+K18+K22+K26+K30+K34+K38</f>
        <v>25005.352999999999</v>
      </c>
    </row>
    <row r="43" spans="1:11" s="300" customFormat="1" ht="12.75" customHeight="1">
      <c r="A43" s="386"/>
      <c r="B43" s="387"/>
      <c r="C43" s="387"/>
      <c r="D43" s="387"/>
      <c r="E43" s="387"/>
      <c r="F43" s="387"/>
      <c r="G43" s="387"/>
      <c r="H43" s="387"/>
      <c r="I43" s="387"/>
      <c r="J43" s="387"/>
      <c r="K43" s="387"/>
    </row>
    <row r="44" spans="1:11" s="130" customFormat="1" ht="11.25" customHeight="1">
      <c r="A44" s="154"/>
      <c r="B44" s="154"/>
      <c r="C44" s="154"/>
      <c r="D44" s="154"/>
      <c r="E44" s="154"/>
      <c r="F44" s="154"/>
      <c r="G44" s="154"/>
      <c r="H44" s="154"/>
      <c r="I44" s="154"/>
      <c r="J44" s="154"/>
      <c r="K44" s="154"/>
    </row>
    <row r="45" spans="1:11" s="559" customFormat="1" ht="13.5" hidden="1" customHeight="1">
      <c r="A45" s="388" t="s">
        <v>168</v>
      </c>
    </row>
    <row r="46" spans="1:11" s="130" customFormat="1" ht="13.5" customHeight="1">
      <c r="A46" s="132"/>
    </row>
    <row r="47" spans="1:11" s="130" customFormat="1" ht="15"/>
    <row r="48" spans="1:11" s="130" customFormat="1" ht="15"/>
    <row r="49" s="130" customFormat="1" ht="15"/>
    <row r="50" s="130" customFormat="1" ht="15"/>
    <row r="51" s="130" customFormat="1" ht="15"/>
    <row r="52" s="130" customFormat="1" ht="15"/>
    <row r="53" s="130" customFormat="1" ht="15"/>
    <row r="54" s="130" customFormat="1" ht="15"/>
  </sheetData>
  <pageMargins left="0.23622047244094491" right="0.23622047244094491" top="0.74803149606299213" bottom="0.74803149606299213" header="0.31496062992125984" footer="0.31496062992125984"/>
  <pageSetup paperSize="9" scale="85"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R26"/>
  <sheetViews>
    <sheetView workbookViewId="0"/>
  </sheetViews>
  <sheetFormatPr baseColWidth="10" defaultColWidth="11.42578125" defaultRowHeight="12.75"/>
  <cols>
    <col min="1" max="1" width="4.5703125" style="122" customWidth="1"/>
    <col min="2" max="2" width="21.140625" style="122" customWidth="1"/>
    <col min="3" max="7" width="6" style="122" customWidth="1"/>
    <col min="8" max="8" width="7" style="122" customWidth="1"/>
    <col min="9" max="9" width="8.7109375" style="122" bestFit="1" customWidth="1"/>
    <col min="10" max="10" width="10.140625" style="122" customWidth="1"/>
    <col min="11" max="11" width="8.7109375" style="122" bestFit="1" customWidth="1"/>
    <col min="12" max="16384" width="11.42578125" style="122"/>
  </cols>
  <sheetData>
    <row r="1" spans="1:11" s="432" customFormat="1" ht="14.25">
      <c r="A1" s="357" t="s">
        <v>1001</v>
      </c>
      <c r="B1" s="357"/>
      <c r="C1" s="357"/>
      <c r="D1" s="357"/>
      <c r="E1" s="357"/>
      <c r="F1" s="357"/>
      <c r="G1" s="357"/>
      <c r="H1" s="357"/>
      <c r="I1" s="357"/>
      <c r="J1" s="357"/>
      <c r="K1" s="357"/>
    </row>
    <row r="2" spans="1:11" s="434" customFormat="1" ht="14.25">
      <c r="A2" s="433" t="s">
        <v>35</v>
      </c>
      <c r="B2" s="433"/>
      <c r="C2" s="433"/>
      <c r="D2" s="433"/>
      <c r="E2" s="433"/>
      <c r="F2" s="433"/>
      <c r="G2" s="433"/>
      <c r="H2" s="433"/>
      <c r="I2" s="433"/>
      <c r="J2" s="433"/>
      <c r="K2" s="433"/>
    </row>
    <row r="3" spans="1:11" s="435" customFormat="1" ht="14.25">
      <c r="A3" s="354"/>
      <c r="B3" s="433"/>
      <c r="C3" s="433"/>
      <c r="D3" s="433"/>
      <c r="E3" s="433"/>
      <c r="F3" s="433"/>
      <c r="G3" s="433"/>
      <c r="H3" s="433"/>
      <c r="I3" s="433"/>
      <c r="J3" s="433"/>
      <c r="K3" s="433"/>
    </row>
    <row r="4" spans="1:11" s="124" customFormat="1" ht="37.5" customHeight="1">
      <c r="A4" s="288"/>
      <c r="B4" s="288"/>
      <c r="C4" s="290" t="s">
        <v>188</v>
      </c>
      <c r="D4" s="290" t="s">
        <v>189</v>
      </c>
      <c r="E4" s="290" t="s">
        <v>167</v>
      </c>
      <c r="F4" s="290" t="s">
        <v>611</v>
      </c>
      <c r="G4" s="290" t="s">
        <v>610</v>
      </c>
      <c r="H4" s="290" t="s">
        <v>938</v>
      </c>
      <c r="I4" s="290" t="s">
        <v>937</v>
      </c>
      <c r="J4" s="290" t="s">
        <v>939</v>
      </c>
      <c r="K4" s="290" t="s">
        <v>1053</v>
      </c>
    </row>
    <row r="5" spans="1:11" s="438" customFormat="1" ht="21.75" customHeight="1">
      <c r="A5" s="436"/>
      <c r="B5" s="436"/>
      <c r="C5" s="436"/>
      <c r="D5" s="436"/>
      <c r="E5" s="436"/>
      <c r="F5" s="436"/>
      <c r="G5" s="436"/>
      <c r="H5" s="437" t="s">
        <v>808</v>
      </c>
      <c r="I5" s="437" t="s">
        <v>603</v>
      </c>
      <c r="J5" s="437" t="s">
        <v>603</v>
      </c>
      <c r="K5" s="437" t="s">
        <v>603</v>
      </c>
    </row>
    <row r="6" spans="1:11" ht="14.25">
      <c r="A6" s="433" t="s">
        <v>52</v>
      </c>
      <c r="B6" s="433"/>
      <c r="C6" s="159">
        <v>68528.271387000001</v>
      </c>
      <c r="D6" s="159">
        <v>63314.057664</v>
      </c>
      <c r="E6" s="159">
        <v>65491.796785309998</v>
      </c>
      <c r="F6" s="159">
        <v>69857.681303999998</v>
      </c>
      <c r="G6" s="159">
        <v>73153.103304999997</v>
      </c>
      <c r="H6" s="159">
        <v>76370.360075999997</v>
      </c>
      <c r="I6" s="159">
        <v>78502.778384000005</v>
      </c>
      <c r="J6" s="159">
        <v>81780</v>
      </c>
      <c r="K6" s="159">
        <v>81850</v>
      </c>
    </row>
    <row r="7" spans="1:11" ht="14.25">
      <c r="A7" s="433" t="s">
        <v>465</v>
      </c>
      <c r="B7" s="433"/>
      <c r="C7" s="159"/>
      <c r="D7" s="159"/>
      <c r="E7" s="159"/>
      <c r="F7" s="159"/>
      <c r="G7" s="159"/>
      <c r="H7" s="159"/>
      <c r="I7" s="159"/>
      <c r="J7" s="159"/>
      <c r="K7" s="159"/>
    </row>
    <row r="8" spans="1:11" ht="14.25">
      <c r="A8" s="433"/>
      <c r="B8" s="433" t="s">
        <v>54</v>
      </c>
      <c r="C8" s="159">
        <v>44961.173569999999</v>
      </c>
      <c r="D8" s="159">
        <v>37637.917167</v>
      </c>
      <c r="E8" s="159">
        <v>39815.617875000004</v>
      </c>
      <c r="F8" s="159">
        <v>41931.282203000002</v>
      </c>
      <c r="G8" s="159">
        <v>43806.766568999999</v>
      </c>
      <c r="H8" s="159">
        <v>45801.215468000002</v>
      </c>
      <c r="I8" s="159">
        <v>47473.209825999998</v>
      </c>
      <c r="J8" s="159">
        <v>49196.815999999999</v>
      </c>
      <c r="K8" s="159">
        <v>49377.535000000003</v>
      </c>
    </row>
    <row r="9" spans="1:11" ht="14.25">
      <c r="A9" s="433"/>
      <c r="B9" s="433" t="s">
        <v>55</v>
      </c>
      <c r="C9" s="159">
        <v>10134.866534999999</v>
      </c>
      <c r="D9" s="159">
        <v>12539.265775</v>
      </c>
      <c r="E9" s="159">
        <v>12371.52346</v>
      </c>
      <c r="F9" s="159">
        <v>13600.108881</v>
      </c>
      <c r="G9" s="159">
        <v>13976.060686000001</v>
      </c>
      <c r="H9" s="159">
        <v>14635.231051000001</v>
      </c>
      <c r="I9" s="159">
        <v>15134.170837</v>
      </c>
      <c r="J9" s="159">
        <v>15679.944</v>
      </c>
      <c r="K9" s="159">
        <v>15651.43</v>
      </c>
    </row>
    <row r="10" spans="1:11" ht="15.75">
      <c r="A10" s="433"/>
      <c r="B10" s="433" t="s">
        <v>720</v>
      </c>
      <c r="C10" s="159">
        <v>7914.9363190000004</v>
      </c>
      <c r="D10" s="159">
        <v>7480.4009459999997</v>
      </c>
      <c r="E10" s="159">
        <v>7441.7211399999997</v>
      </c>
      <c r="F10" s="159">
        <v>8200.9227640000008</v>
      </c>
      <c r="G10" s="159">
        <v>8544.4004819999991</v>
      </c>
      <c r="H10" s="159">
        <v>8920.0067739999995</v>
      </c>
      <c r="I10" s="159">
        <v>9202.4396620000007</v>
      </c>
      <c r="J10" s="159">
        <v>9517.5759999999991</v>
      </c>
      <c r="K10" s="159">
        <v>9519.9570000000003</v>
      </c>
    </row>
    <row r="11" spans="1:11" ht="15.75">
      <c r="A11" s="433"/>
      <c r="B11" s="433" t="s">
        <v>721</v>
      </c>
      <c r="C11" s="159">
        <v>5517.2949630000003</v>
      </c>
      <c r="D11" s="159">
        <v>5656.4737750000004</v>
      </c>
      <c r="E11" s="159">
        <v>5862.9343099999996</v>
      </c>
      <c r="F11" s="159">
        <v>6125.3674549999996</v>
      </c>
      <c r="G11" s="159">
        <v>6825.8755689999998</v>
      </c>
      <c r="H11" s="159">
        <v>7013.9067830000004</v>
      </c>
      <c r="I11" s="159">
        <v>6692.9580580000002</v>
      </c>
      <c r="J11" s="159">
        <v>7385.6639999999998</v>
      </c>
      <c r="K11" s="159">
        <v>7301.0780000000004</v>
      </c>
    </row>
    <row r="12" spans="1:11" ht="14.25">
      <c r="A12" s="439" t="s">
        <v>53</v>
      </c>
      <c r="B12" s="439"/>
      <c r="C12" s="440"/>
      <c r="D12" s="440"/>
      <c r="E12" s="160"/>
      <c r="F12" s="160"/>
      <c r="G12" s="160"/>
      <c r="H12" s="160"/>
      <c r="I12" s="160"/>
      <c r="J12" s="160"/>
      <c r="K12" s="160"/>
    </row>
    <row r="13" spans="1:11" ht="14.25">
      <c r="A13" s="154"/>
      <c r="B13" s="154" t="s">
        <v>54</v>
      </c>
      <c r="C13" s="309">
        <v>65.61</v>
      </c>
      <c r="D13" s="309">
        <v>59.45</v>
      </c>
      <c r="E13" s="309">
        <v>60.79</v>
      </c>
      <c r="F13" s="309">
        <v>60.02</v>
      </c>
      <c r="G13" s="309">
        <v>59.88</v>
      </c>
      <c r="H13" s="309">
        <v>59.97</v>
      </c>
      <c r="I13" s="309">
        <v>60.47</v>
      </c>
      <c r="J13" s="309">
        <v>60.16</v>
      </c>
      <c r="K13" s="309">
        <v>60.33</v>
      </c>
    </row>
    <row r="14" spans="1:11" ht="14.25">
      <c r="A14" s="154"/>
      <c r="B14" s="154" t="s">
        <v>55</v>
      </c>
      <c r="C14" s="309">
        <v>14.79</v>
      </c>
      <c r="D14" s="309">
        <v>19.8</v>
      </c>
      <c r="E14" s="309">
        <v>18.89</v>
      </c>
      <c r="F14" s="309">
        <v>19.47</v>
      </c>
      <c r="G14" s="309">
        <v>19.11</v>
      </c>
      <c r="H14" s="309">
        <v>19.16</v>
      </c>
      <c r="I14" s="309">
        <v>19.28</v>
      </c>
      <c r="J14" s="309">
        <v>19.170000000000002</v>
      </c>
      <c r="K14" s="309">
        <v>19.12</v>
      </c>
    </row>
    <row r="15" spans="1:11" ht="15.75">
      <c r="A15" s="154"/>
      <c r="B15" s="154" t="s">
        <v>722</v>
      </c>
      <c r="C15" s="441">
        <v>11.55</v>
      </c>
      <c r="D15" s="441">
        <v>11.81</v>
      </c>
      <c r="E15" s="441">
        <v>11.36</v>
      </c>
      <c r="F15" s="441">
        <v>11.74</v>
      </c>
      <c r="G15" s="441">
        <v>11.68</v>
      </c>
      <c r="H15" s="441">
        <v>11.68</v>
      </c>
      <c r="I15" s="441">
        <v>11.72</v>
      </c>
      <c r="J15" s="441">
        <v>11.64</v>
      </c>
      <c r="K15" s="441">
        <v>11.63</v>
      </c>
    </row>
    <row r="16" spans="1:11" ht="15.75">
      <c r="A16" s="160"/>
      <c r="B16" s="160" t="s">
        <v>721</v>
      </c>
      <c r="C16" s="309">
        <v>8.0500000000000007</v>
      </c>
      <c r="D16" s="309">
        <v>8.93</v>
      </c>
      <c r="E16" s="309">
        <v>8.9499999999999993</v>
      </c>
      <c r="F16" s="309">
        <v>8.77</v>
      </c>
      <c r="G16" s="309">
        <v>9.33</v>
      </c>
      <c r="H16" s="309">
        <v>9.18</v>
      </c>
      <c r="I16" s="309">
        <v>8.5299999999999994</v>
      </c>
      <c r="J16" s="309">
        <v>9.0299999999999994</v>
      </c>
      <c r="K16" s="309">
        <v>8.92</v>
      </c>
    </row>
    <row r="17" spans="1:18" ht="14.25">
      <c r="A17" s="163"/>
      <c r="B17" s="163"/>
      <c r="C17" s="442"/>
      <c r="D17" s="442"/>
      <c r="E17" s="442"/>
      <c r="F17" s="442"/>
      <c r="G17" s="442"/>
      <c r="H17" s="442"/>
      <c r="I17" s="442"/>
      <c r="J17" s="442"/>
      <c r="K17" s="442"/>
    </row>
    <row r="18" spans="1:18" ht="15">
      <c r="A18" s="130"/>
      <c r="B18" s="130"/>
      <c r="C18" s="130"/>
      <c r="D18" s="130"/>
      <c r="E18" s="130"/>
      <c r="F18" s="130"/>
      <c r="G18" s="130"/>
      <c r="H18" s="130"/>
      <c r="I18" s="130"/>
      <c r="J18" s="130"/>
      <c r="K18" s="130"/>
      <c r="N18" s="570"/>
      <c r="O18" s="570"/>
      <c r="P18" s="570"/>
      <c r="Q18" s="570"/>
      <c r="R18" s="570"/>
    </row>
    <row r="19" spans="1:18" ht="15" hidden="1">
      <c r="A19" s="388" t="s">
        <v>168</v>
      </c>
      <c r="B19" s="130"/>
      <c r="C19" s="130"/>
      <c r="D19" s="130"/>
      <c r="E19" s="130"/>
      <c r="F19" s="130"/>
      <c r="G19" s="130"/>
      <c r="H19" s="130"/>
      <c r="I19" s="130"/>
      <c r="J19" s="130"/>
      <c r="K19" s="130"/>
      <c r="N19" s="570"/>
      <c r="O19" s="570"/>
      <c r="P19" s="570"/>
      <c r="Q19" s="570"/>
      <c r="R19" s="570"/>
    </row>
    <row r="20" spans="1:18" ht="15">
      <c r="A20" s="132" t="s">
        <v>180</v>
      </c>
      <c r="B20" s="130"/>
      <c r="C20" s="130"/>
      <c r="D20" s="130"/>
      <c r="E20" s="130"/>
      <c r="F20" s="130"/>
      <c r="G20" s="130"/>
      <c r="H20" s="130"/>
      <c r="I20" s="130"/>
      <c r="J20" s="130"/>
      <c r="K20" s="130"/>
      <c r="N20" s="570"/>
      <c r="O20" s="570"/>
      <c r="P20" s="570"/>
      <c r="Q20" s="570"/>
      <c r="R20" s="570"/>
    </row>
    <row r="21" spans="1:18" ht="15">
      <c r="A21" s="132" t="s">
        <v>1029</v>
      </c>
      <c r="B21" s="130"/>
      <c r="C21" s="130"/>
      <c r="D21" s="130"/>
      <c r="E21" s="130"/>
      <c r="F21" s="130"/>
      <c r="G21" s="130"/>
      <c r="H21" s="130"/>
      <c r="I21" s="130"/>
      <c r="J21" s="130"/>
      <c r="K21" s="130"/>
      <c r="N21" s="570"/>
      <c r="O21" s="570"/>
      <c r="P21" s="570"/>
      <c r="Q21" s="570"/>
      <c r="R21" s="570"/>
    </row>
    <row r="22" spans="1:18" ht="15">
      <c r="A22" s="388" t="s">
        <v>1030</v>
      </c>
      <c r="B22" s="130"/>
      <c r="C22" s="130"/>
      <c r="D22" s="130"/>
      <c r="E22" s="130"/>
      <c r="F22" s="130"/>
      <c r="G22" s="130"/>
      <c r="H22" s="130"/>
      <c r="I22" s="130"/>
      <c r="J22" s="130"/>
      <c r="K22" s="130"/>
      <c r="N22" s="570"/>
      <c r="O22" s="570"/>
      <c r="P22" s="570"/>
      <c r="Q22" s="570"/>
      <c r="R22" s="570"/>
    </row>
    <row r="23" spans="1:18" ht="15">
      <c r="A23" s="388" t="s">
        <v>1034</v>
      </c>
      <c r="B23" s="130"/>
      <c r="C23" s="130"/>
      <c r="D23" s="130"/>
      <c r="E23" s="130"/>
      <c r="F23" s="130"/>
      <c r="G23" s="130"/>
      <c r="H23" s="130"/>
      <c r="I23" s="130"/>
      <c r="J23" s="130"/>
      <c r="K23" s="130"/>
      <c r="N23" s="570"/>
      <c r="O23" s="570"/>
      <c r="P23" s="570"/>
      <c r="Q23" s="570"/>
      <c r="R23" s="570"/>
    </row>
    <row r="24" spans="1:18" ht="15">
      <c r="A24" s="150" t="s">
        <v>856</v>
      </c>
      <c r="B24" s="130"/>
      <c r="C24" s="130"/>
      <c r="D24" s="130"/>
      <c r="E24" s="130"/>
      <c r="F24" s="130"/>
      <c r="G24" s="130"/>
      <c r="H24" s="130"/>
      <c r="I24" s="130"/>
      <c r="J24" s="130"/>
      <c r="K24" s="130"/>
      <c r="N24" s="570"/>
      <c r="O24" s="570"/>
      <c r="P24" s="570"/>
      <c r="Q24" s="570"/>
      <c r="R24" s="570"/>
    </row>
    <row r="25" spans="1:18" ht="15">
      <c r="A25" s="130"/>
      <c r="B25" s="130"/>
      <c r="C25" s="130"/>
      <c r="D25" s="130"/>
      <c r="E25" s="130"/>
      <c r="F25" s="130"/>
      <c r="G25" s="130"/>
      <c r="H25" s="130"/>
      <c r="I25" s="130"/>
      <c r="J25" s="130"/>
      <c r="K25" s="130"/>
      <c r="N25" s="570"/>
      <c r="O25" s="570"/>
      <c r="P25" s="570"/>
      <c r="Q25" s="570"/>
      <c r="R25" s="570"/>
    </row>
    <row r="26" spans="1:18" ht="15">
      <c r="A26" s="130"/>
      <c r="B26" s="130"/>
      <c r="C26" s="309"/>
      <c r="D26" s="309"/>
      <c r="E26" s="309"/>
      <c r="F26" s="309"/>
      <c r="G26" s="309"/>
      <c r="H26" s="309"/>
      <c r="I26" s="309"/>
      <c r="J26" s="309"/>
      <c r="K26" s="309"/>
      <c r="N26" s="570"/>
      <c r="O26" s="570"/>
      <c r="P26" s="570"/>
      <c r="Q26" s="570"/>
      <c r="R26" s="570"/>
    </row>
  </sheetData>
  <printOptions horizontalCentered="1"/>
  <pageMargins left="0.2" right="0.22" top="0.69" bottom="0.43" header="0.31" footer="0.17"/>
  <pageSetup paperSize="9"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92D050"/>
    <pageSetUpPr fitToPage="1"/>
  </sheetPr>
  <dimension ref="A1:I166"/>
  <sheetViews>
    <sheetView workbookViewId="0"/>
  </sheetViews>
  <sheetFormatPr baseColWidth="10" defaultColWidth="5" defaultRowHeight="12.75"/>
  <cols>
    <col min="1" max="1" width="2.5703125" style="125" customWidth="1"/>
    <col min="2" max="2" width="2.28515625" style="399" customWidth="1"/>
    <col min="3" max="3" width="2.42578125" style="399" customWidth="1"/>
    <col min="4" max="4" width="68.7109375" style="399" customWidth="1"/>
    <col min="5" max="6" width="9.7109375" style="122" customWidth="1"/>
    <col min="7" max="7" width="8.42578125" style="122" customWidth="1"/>
    <col min="8" max="8" width="9" style="122" bestFit="1" customWidth="1"/>
    <col min="9" max="9" width="5.42578125" style="122" bestFit="1" customWidth="1"/>
    <col min="10" max="16384" width="5" style="122"/>
  </cols>
  <sheetData>
    <row r="1" spans="1:9" s="18" customFormat="1" ht="14.25">
      <c r="A1" s="67" t="s">
        <v>1002</v>
      </c>
      <c r="B1" s="64"/>
      <c r="C1" s="64"/>
      <c r="D1" s="64"/>
      <c r="E1" s="64"/>
      <c r="F1" s="64"/>
      <c r="G1" s="64"/>
    </row>
    <row r="2" spans="1:9" s="18" customFormat="1" ht="14.25">
      <c r="A2" s="64" t="s">
        <v>35</v>
      </c>
      <c r="B2" s="64"/>
      <c r="C2" s="64"/>
      <c r="D2" s="64"/>
      <c r="E2" s="64"/>
      <c r="F2" s="64"/>
      <c r="G2" s="64"/>
    </row>
    <row r="3" spans="1:9" s="18" customFormat="1" ht="14.25">
      <c r="A3" s="64"/>
      <c r="B3" s="64"/>
      <c r="C3" s="64"/>
      <c r="D3" s="64"/>
      <c r="E3" s="64"/>
      <c r="F3" s="64"/>
      <c r="G3" s="64"/>
    </row>
    <row r="4" spans="1:9" s="25" customFormat="1" ht="37.5" customHeight="1">
      <c r="A4" s="555"/>
      <c r="B4" s="314"/>
      <c r="C4" s="314"/>
      <c r="D4" s="314"/>
      <c r="E4" s="314" t="s">
        <v>937</v>
      </c>
      <c r="F4" s="314" t="s">
        <v>939</v>
      </c>
      <c r="G4" s="314" t="s">
        <v>1054</v>
      </c>
    </row>
    <row r="5" spans="1:9" s="21" customFormat="1" ht="22.5" customHeight="1">
      <c r="A5" s="67" t="s">
        <v>503</v>
      </c>
      <c r="B5" s="64"/>
      <c r="C5" s="64"/>
      <c r="D5" s="64"/>
      <c r="E5" s="64"/>
      <c r="F5" s="64"/>
      <c r="G5" s="64"/>
    </row>
    <row r="6" spans="1:9" s="130" customFormat="1" ht="15">
      <c r="A6" s="161"/>
      <c r="B6" s="154" t="s">
        <v>502</v>
      </c>
      <c r="C6" s="154"/>
      <c r="D6" s="354"/>
      <c r="E6" s="277">
        <f>E16+E18+E21+E22+E23+E30+E31+E32</f>
        <v>69174.490332730013</v>
      </c>
      <c r="F6" s="277">
        <f>F16+F18+F21+F22+F23+F30+F31+F32</f>
        <v>71180.364999999991</v>
      </c>
      <c r="G6" s="277">
        <f>G16+G18+G21+G22+G23+G30+G31+G32</f>
        <v>71560.650999999998</v>
      </c>
      <c r="I6" s="142"/>
    </row>
    <row r="7" spans="1:9" s="130" customFormat="1" ht="15">
      <c r="A7" s="161"/>
      <c r="B7" s="154"/>
      <c r="C7" s="154" t="s">
        <v>501</v>
      </c>
      <c r="D7" s="354"/>
      <c r="E7" s="277">
        <f t="shared" ref="E7:G7" si="0">SUM(E8:E10)</f>
        <v>78502.778383510013</v>
      </c>
      <c r="F7" s="277">
        <f t="shared" si="0"/>
        <v>81780</v>
      </c>
      <c r="G7" s="277">
        <f t="shared" si="0"/>
        <v>81850</v>
      </c>
    </row>
    <row r="8" spans="1:9" s="130" customFormat="1" ht="15">
      <c r="A8" s="161"/>
      <c r="B8" s="154"/>
      <c r="C8" s="154"/>
      <c r="D8" s="354" t="s">
        <v>500</v>
      </c>
      <c r="E8" s="277">
        <v>39988.462317700003</v>
      </c>
      <c r="F8" s="277">
        <v>41905</v>
      </c>
      <c r="G8" s="277">
        <v>39908</v>
      </c>
    </row>
    <row r="9" spans="1:9" s="130" customFormat="1" ht="15">
      <c r="A9" s="161"/>
      <c r="B9" s="154"/>
      <c r="C9" s="154"/>
      <c r="D9" s="354" t="s">
        <v>499</v>
      </c>
      <c r="E9" s="277">
        <v>37953.610679160003</v>
      </c>
      <c r="F9" s="277">
        <v>39239.199999999997</v>
      </c>
      <c r="G9" s="277">
        <v>41306.85</v>
      </c>
    </row>
    <row r="10" spans="1:9" s="130" customFormat="1" ht="13.5" customHeight="1">
      <c r="A10" s="161"/>
      <c r="B10" s="154"/>
      <c r="C10" s="154"/>
      <c r="D10" s="354" t="s">
        <v>498</v>
      </c>
      <c r="E10" s="277">
        <v>560.70538665000004</v>
      </c>
      <c r="F10" s="277">
        <v>635.79999999999995</v>
      </c>
      <c r="G10" s="277">
        <v>635.15</v>
      </c>
    </row>
    <row r="11" spans="1:9" s="130" customFormat="1" ht="15">
      <c r="A11" s="161"/>
      <c r="B11" s="154"/>
      <c r="C11" s="154" t="s">
        <v>497</v>
      </c>
      <c r="D11" s="354"/>
      <c r="E11" s="277">
        <f t="shared" ref="E11:G11" si="1">SUM(E12:E15)</f>
        <v>-31029.568557210001</v>
      </c>
      <c r="F11" s="277">
        <f t="shared" si="1"/>
        <v>-32583.184000000001</v>
      </c>
      <c r="G11" s="277">
        <f t="shared" si="1"/>
        <v>-32472.464999999997</v>
      </c>
    </row>
    <row r="12" spans="1:9" s="130" customFormat="1" ht="15">
      <c r="A12" s="161"/>
      <c r="B12" s="154"/>
      <c r="C12" s="154"/>
      <c r="D12" s="354" t="s">
        <v>496</v>
      </c>
      <c r="E12" s="277">
        <v>-24185.933495879999</v>
      </c>
      <c r="F12" s="277">
        <v>-25041.911</v>
      </c>
      <c r="G12" s="277">
        <v>-25005.353999999999</v>
      </c>
    </row>
    <row r="13" spans="1:9" s="130" customFormat="1" ht="15">
      <c r="A13" s="161"/>
      <c r="B13" s="154"/>
      <c r="C13" s="154"/>
      <c r="D13" s="354" t="s">
        <v>495</v>
      </c>
      <c r="E13" s="277">
        <v>-2832.88567711</v>
      </c>
      <c r="F13" s="277">
        <v>-3085</v>
      </c>
      <c r="G13" s="277">
        <v>-3065</v>
      </c>
    </row>
    <row r="14" spans="1:9" s="130" customFormat="1" ht="15">
      <c r="A14" s="161"/>
      <c r="B14" s="154"/>
      <c r="C14" s="154"/>
      <c r="D14" s="354" t="s">
        <v>494</v>
      </c>
      <c r="E14" s="277">
        <v>-2015.6764239900001</v>
      </c>
      <c r="F14" s="277">
        <v>-2275.2829999999999</v>
      </c>
      <c r="G14" s="277">
        <v>-2185.7069999999999</v>
      </c>
    </row>
    <row r="15" spans="1:9" s="130" customFormat="1" ht="15">
      <c r="A15" s="161"/>
      <c r="B15" s="154"/>
      <c r="C15" s="154"/>
      <c r="D15" s="354" t="s">
        <v>493</v>
      </c>
      <c r="E15" s="277">
        <v>-1995.07296023</v>
      </c>
      <c r="F15" s="277">
        <v>-2180.9899999999998</v>
      </c>
      <c r="G15" s="277">
        <v>-2216.404</v>
      </c>
    </row>
    <row r="16" spans="1:9" s="130" customFormat="1" ht="15">
      <c r="A16" s="161"/>
      <c r="B16" s="154"/>
      <c r="C16" s="154" t="s">
        <v>492</v>
      </c>
      <c r="D16" s="154"/>
      <c r="E16" s="277">
        <f t="shared" ref="E16:G16" si="2">E7+E11</f>
        <v>47473.209826300008</v>
      </c>
      <c r="F16" s="277">
        <f t="shared" si="2"/>
        <v>49196.815999999999</v>
      </c>
      <c r="G16" s="277">
        <f t="shared" si="2"/>
        <v>49377.535000000003</v>
      </c>
    </row>
    <row r="17" spans="1:7" s="130" customFormat="1" ht="15" hidden="1">
      <c r="A17" s="161"/>
      <c r="B17" s="154"/>
      <c r="C17" s="154"/>
      <c r="D17" s="154"/>
      <c r="E17" s="277"/>
      <c r="F17" s="277"/>
      <c r="G17" s="277"/>
    </row>
    <row r="18" spans="1:7" s="130" customFormat="1" ht="15">
      <c r="A18" s="161"/>
      <c r="B18" s="154"/>
      <c r="C18" s="154" t="s">
        <v>491</v>
      </c>
      <c r="D18" s="354"/>
      <c r="E18" s="277">
        <v>12513.22021159</v>
      </c>
      <c r="F18" s="277">
        <v>12925.656999999999</v>
      </c>
      <c r="G18" s="277">
        <v>13160.922</v>
      </c>
    </row>
    <row r="19" spans="1:7" s="130" customFormat="1" ht="15">
      <c r="A19" s="161"/>
      <c r="B19" s="154"/>
      <c r="C19" s="154"/>
      <c r="D19" s="354" t="s">
        <v>950</v>
      </c>
      <c r="E19" s="277">
        <v>5842.6298354700002</v>
      </c>
      <c r="F19" s="277">
        <v>6043.7160000000003</v>
      </c>
      <c r="G19" s="277">
        <v>6216.6009999999997</v>
      </c>
    </row>
    <row r="20" spans="1:7" s="130" customFormat="1" ht="15">
      <c r="A20" s="161"/>
      <c r="B20" s="154"/>
      <c r="C20" s="154"/>
      <c r="D20" s="354" t="s">
        <v>951</v>
      </c>
      <c r="E20" s="277">
        <v>6630.7024512500002</v>
      </c>
      <c r="F20" s="277">
        <v>6841.1019999999999</v>
      </c>
      <c r="G20" s="277">
        <v>6902.4809999999998</v>
      </c>
    </row>
    <row r="21" spans="1:7" s="130" customFormat="1" ht="15">
      <c r="A21" s="161"/>
      <c r="B21" s="154"/>
      <c r="C21" s="154" t="s">
        <v>490</v>
      </c>
      <c r="D21" s="354"/>
      <c r="E21" s="277">
        <v>502.05109264999999</v>
      </c>
      <c r="F21" s="277">
        <v>525.16200000000003</v>
      </c>
      <c r="G21" s="277">
        <v>444.71100000000001</v>
      </c>
    </row>
    <row r="22" spans="1:7" s="130" customFormat="1" ht="15">
      <c r="A22" s="161"/>
      <c r="B22" s="154"/>
      <c r="C22" s="154" t="s">
        <v>489</v>
      </c>
      <c r="D22" s="354"/>
      <c r="E22" s="277">
        <v>1548.33319332</v>
      </c>
      <c r="F22" s="277">
        <v>1384.346</v>
      </c>
      <c r="G22" s="277">
        <v>1432.0250000000001</v>
      </c>
    </row>
    <row r="23" spans="1:7" s="130" customFormat="1" ht="15">
      <c r="A23" s="161"/>
      <c r="B23" s="154"/>
      <c r="C23" s="154" t="s">
        <v>488</v>
      </c>
      <c r="D23" s="354"/>
      <c r="E23" s="277">
        <f t="shared" ref="E23:G23" si="3">SUM(E24:E29)</f>
        <v>5816.1310088700002</v>
      </c>
      <c r="F23" s="277">
        <f t="shared" si="3"/>
        <v>6245.2210000000005</v>
      </c>
      <c r="G23" s="277">
        <f t="shared" si="3"/>
        <v>6068.7709999999997</v>
      </c>
    </row>
    <row r="24" spans="1:7" s="130" customFormat="1" ht="15">
      <c r="A24" s="161"/>
      <c r="B24" s="154"/>
      <c r="C24" s="154"/>
      <c r="D24" s="354" t="s">
        <v>487</v>
      </c>
      <c r="E24" s="277">
        <v>948.62252722999995</v>
      </c>
      <c r="F24" s="277">
        <v>942.69299999999998</v>
      </c>
      <c r="G24" s="277">
        <v>832.70100000000002</v>
      </c>
    </row>
    <row r="25" spans="1:7" s="130" customFormat="1" ht="15" customHeight="1">
      <c r="A25" s="161"/>
      <c r="B25" s="154"/>
      <c r="C25" s="154"/>
      <c r="D25" s="556" t="s">
        <v>486</v>
      </c>
      <c r="E25" s="277">
        <v>1208.22453587</v>
      </c>
      <c r="F25" s="277">
        <v>1510.38</v>
      </c>
      <c r="G25" s="277">
        <v>1484.6690000000001</v>
      </c>
    </row>
    <row r="26" spans="1:7" s="130" customFormat="1" ht="15">
      <c r="A26" s="161"/>
      <c r="B26" s="154"/>
      <c r="C26" s="154"/>
      <c r="D26" s="354" t="s">
        <v>485</v>
      </c>
      <c r="E26" s="277">
        <v>631.55304457</v>
      </c>
      <c r="F26" s="277">
        <v>612.70000000000005</v>
      </c>
      <c r="G26" s="277">
        <v>557.14</v>
      </c>
    </row>
    <row r="27" spans="1:7" s="130" customFormat="1" ht="15">
      <c r="A27" s="161"/>
      <c r="B27" s="154"/>
      <c r="C27" s="154"/>
      <c r="D27" s="433" t="s">
        <v>484</v>
      </c>
      <c r="E27" s="277">
        <v>308.66914886000001</v>
      </c>
      <c r="F27" s="277">
        <v>328.87799999999999</v>
      </c>
      <c r="G27" s="277">
        <v>305.58600000000001</v>
      </c>
    </row>
    <row r="28" spans="1:7" s="130" customFormat="1" ht="15">
      <c r="A28" s="161"/>
      <c r="B28" s="154"/>
      <c r="C28" s="154"/>
      <c r="D28" s="354" t="s">
        <v>483</v>
      </c>
      <c r="E28" s="277">
        <v>2177.4551498699998</v>
      </c>
      <c r="F28" s="277">
        <v>2295.9569999999999</v>
      </c>
      <c r="G28" s="277">
        <v>2344.9470000000001</v>
      </c>
    </row>
    <row r="29" spans="1:7" s="130" customFormat="1" ht="15">
      <c r="A29" s="161"/>
      <c r="B29" s="154"/>
      <c r="C29" s="154"/>
      <c r="D29" s="354" t="s">
        <v>482</v>
      </c>
      <c r="E29" s="277">
        <v>541.60660246999998</v>
      </c>
      <c r="F29" s="277">
        <v>554.61300000000006</v>
      </c>
      <c r="G29" s="277">
        <v>543.72799999999995</v>
      </c>
    </row>
    <row r="30" spans="1:7" s="130" customFormat="1" ht="15">
      <c r="A30" s="161"/>
      <c r="B30" s="154"/>
      <c r="C30" s="154" t="s">
        <v>481</v>
      </c>
      <c r="D30" s="354"/>
      <c r="E30" s="277">
        <v>247.37899999999999</v>
      </c>
      <c r="F30" s="277">
        <f>188.187+0.009</f>
        <v>188.196</v>
      </c>
      <c r="G30" s="277">
        <v>593.99900000000002</v>
      </c>
    </row>
    <row r="31" spans="1:7" s="130" customFormat="1" ht="15">
      <c r="A31" s="161"/>
      <c r="B31" s="154"/>
      <c r="C31" s="154" t="s">
        <v>480</v>
      </c>
      <c r="D31" s="354"/>
      <c r="E31" s="277">
        <v>0</v>
      </c>
      <c r="F31" s="277">
        <v>0</v>
      </c>
      <c r="G31" s="277">
        <v>0</v>
      </c>
    </row>
    <row r="32" spans="1:7" s="130" customFormat="1" ht="15">
      <c r="A32" s="161"/>
      <c r="B32" s="154"/>
      <c r="C32" s="154" t="s">
        <v>479</v>
      </c>
      <c r="D32" s="354"/>
      <c r="E32" s="277">
        <v>1074.1659999999999</v>
      </c>
      <c r="F32" s="277">
        <v>714.96699999999998</v>
      </c>
      <c r="G32" s="277">
        <v>482.68799999999999</v>
      </c>
    </row>
    <row r="33" spans="1:8" s="130" customFormat="1" ht="15">
      <c r="A33" s="161"/>
      <c r="B33" s="154" t="s">
        <v>478</v>
      </c>
      <c r="C33" s="154"/>
      <c r="D33" s="354"/>
      <c r="E33" s="277">
        <v>2179.41</v>
      </c>
      <c r="F33" s="277">
        <v>14.981</v>
      </c>
      <c r="G33" s="277">
        <v>29.777999999999999</v>
      </c>
    </row>
    <row r="34" spans="1:8" s="130" customFormat="1" ht="15">
      <c r="A34" s="161"/>
      <c r="B34" s="154" t="s">
        <v>477</v>
      </c>
      <c r="C34" s="154"/>
      <c r="D34" s="354"/>
      <c r="E34" s="277">
        <v>109.568</v>
      </c>
      <c r="F34" s="277">
        <v>330.03699999999998</v>
      </c>
      <c r="G34" s="277">
        <v>312.12900000000002</v>
      </c>
      <c r="H34" s="142"/>
    </row>
    <row r="35" spans="1:8" s="145" customFormat="1" ht="22.5" customHeight="1">
      <c r="A35" s="221" t="s">
        <v>476</v>
      </c>
      <c r="B35" s="557"/>
      <c r="C35" s="557"/>
      <c r="D35" s="557"/>
      <c r="E35" s="457">
        <f t="shared" ref="E35:G35" si="4">E16+E18+E21+E22+E23+E30+E31+E32+E33+E34</f>
        <v>71463.468332730015</v>
      </c>
      <c r="F35" s="457">
        <f t="shared" si="4"/>
        <v>71525.382999999987</v>
      </c>
      <c r="G35" s="457">
        <f t="shared" si="4"/>
        <v>71902.558000000005</v>
      </c>
    </row>
    <row r="36" spans="1:8" s="130" customFormat="1" ht="15">
      <c r="A36" s="300"/>
    </row>
    <row r="37" spans="1:8" s="132" customFormat="1" ht="13.5">
      <c r="A37" s="132" t="s">
        <v>168</v>
      </c>
    </row>
    <row r="38" spans="1:8" s="130" customFormat="1" ht="15">
      <c r="A38" s="300"/>
    </row>
    <row r="39" spans="1:8" s="130" customFormat="1" ht="15">
      <c r="A39" s="300"/>
    </row>
    <row r="40" spans="1:8" s="130" customFormat="1" ht="15">
      <c r="A40" s="300"/>
    </row>
    <row r="41" spans="1:8" s="130" customFormat="1" ht="15">
      <c r="A41" s="300"/>
    </row>
    <row r="42" spans="1:8" s="130" customFormat="1" ht="15">
      <c r="A42" s="300"/>
    </row>
    <row r="43" spans="1:8" s="130" customFormat="1" ht="15">
      <c r="A43" s="300"/>
    </row>
    <row r="44" spans="1:8" s="130" customFormat="1" ht="15">
      <c r="A44" s="300"/>
    </row>
    <row r="45" spans="1:8" s="130" customFormat="1" ht="15">
      <c r="A45" s="300"/>
    </row>
    <row r="46" spans="1:8" s="130" customFormat="1" ht="15">
      <c r="A46" s="300"/>
    </row>
    <row r="47" spans="1:8" s="130" customFormat="1" ht="15">
      <c r="A47" s="300"/>
    </row>
    <row r="48" spans="1:8" s="130" customFormat="1" ht="15">
      <c r="A48" s="300"/>
    </row>
    <row r="49" spans="1:1" s="130" customFormat="1" ht="15">
      <c r="A49" s="300"/>
    </row>
    <row r="50" spans="1:1" s="130" customFormat="1" ht="15">
      <c r="A50" s="300"/>
    </row>
    <row r="51" spans="1:1" s="130" customFormat="1" ht="15">
      <c r="A51" s="300"/>
    </row>
    <row r="52" spans="1:1" s="130" customFormat="1" ht="15">
      <c r="A52" s="300"/>
    </row>
    <row r="53" spans="1:1" s="130" customFormat="1" ht="15">
      <c r="A53" s="300"/>
    </row>
    <row r="54" spans="1:1" s="130" customFormat="1" ht="15">
      <c r="A54" s="300"/>
    </row>
    <row r="55" spans="1:1" s="130" customFormat="1" ht="15">
      <c r="A55" s="300"/>
    </row>
    <row r="56" spans="1:1" s="130" customFormat="1" ht="15">
      <c r="A56" s="300"/>
    </row>
    <row r="57" spans="1:1" s="130" customFormat="1" ht="15">
      <c r="A57" s="300"/>
    </row>
    <row r="58" spans="1:1" s="130" customFormat="1" ht="15">
      <c r="A58" s="300"/>
    </row>
    <row r="59" spans="1:1" s="130" customFormat="1" ht="15">
      <c r="A59" s="300"/>
    </row>
    <row r="60" spans="1:1" s="130" customFormat="1" ht="15">
      <c r="A60" s="300"/>
    </row>
    <row r="61" spans="1:1" s="130" customFormat="1" ht="15">
      <c r="A61" s="300"/>
    </row>
    <row r="62" spans="1:1" s="130" customFormat="1" ht="15">
      <c r="A62" s="300"/>
    </row>
    <row r="63" spans="1:1" s="130" customFormat="1" ht="15">
      <c r="A63" s="300"/>
    </row>
    <row r="64" spans="1:1" s="130" customFormat="1" ht="15">
      <c r="A64" s="300"/>
    </row>
    <row r="65" spans="1:1" s="130" customFormat="1" ht="15">
      <c r="A65" s="300"/>
    </row>
    <row r="66" spans="1:1" s="130" customFormat="1" ht="15">
      <c r="A66" s="300"/>
    </row>
    <row r="67" spans="1:1" s="130" customFormat="1" ht="15">
      <c r="A67" s="300"/>
    </row>
    <row r="68" spans="1:1" s="130" customFormat="1" ht="15">
      <c r="A68" s="300"/>
    </row>
    <row r="69" spans="1:1" s="130" customFormat="1" ht="15">
      <c r="A69" s="300"/>
    </row>
    <row r="70" spans="1:1" s="130" customFormat="1" ht="15">
      <c r="A70" s="300"/>
    </row>
    <row r="71" spans="1:1" s="130" customFormat="1" ht="15">
      <c r="A71" s="300"/>
    </row>
    <row r="72" spans="1:1" s="130" customFormat="1" ht="15">
      <c r="A72" s="300"/>
    </row>
    <row r="73" spans="1:1" s="130" customFormat="1" ht="15">
      <c r="A73" s="300"/>
    </row>
    <row r="74" spans="1:1" s="130" customFormat="1" ht="15">
      <c r="A74" s="300"/>
    </row>
    <row r="75" spans="1:1" s="130" customFormat="1" ht="15">
      <c r="A75" s="300"/>
    </row>
    <row r="76" spans="1:1" s="130" customFormat="1" ht="15">
      <c r="A76" s="300"/>
    </row>
    <row r="77" spans="1:1" s="130" customFormat="1" ht="15">
      <c r="A77" s="300"/>
    </row>
    <row r="78" spans="1:1" s="130" customFormat="1" ht="15">
      <c r="A78" s="300"/>
    </row>
    <row r="79" spans="1:1" s="130" customFormat="1" ht="15">
      <c r="A79" s="300"/>
    </row>
    <row r="80" spans="1:1" s="130" customFormat="1" ht="15">
      <c r="A80" s="300"/>
    </row>
    <row r="81" spans="1:1" s="130" customFormat="1" ht="15">
      <c r="A81" s="300"/>
    </row>
    <row r="82" spans="1:1" s="130" customFormat="1" ht="15">
      <c r="A82" s="300"/>
    </row>
    <row r="83" spans="1:1" s="130" customFormat="1" ht="15">
      <c r="A83" s="300"/>
    </row>
    <row r="84" spans="1:1" s="130" customFormat="1" ht="15">
      <c r="A84" s="300"/>
    </row>
    <row r="85" spans="1:1" s="130" customFormat="1" ht="15">
      <c r="A85" s="300"/>
    </row>
    <row r="86" spans="1:1" s="130" customFormat="1" ht="15">
      <c r="A86" s="300"/>
    </row>
    <row r="87" spans="1:1" s="130" customFormat="1" ht="15">
      <c r="A87" s="300"/>
    </row>
    <row r="88" spans="1:1" s="130" customFormat="1" ht="15">
      <c r="A88" s="300"/>
    </row>
    <row r="89" spans="1:1" s="130" customFormat="1" ht="15">
      <c r="A89" s="300"/>
    </row>
    <row r="90" spans="1:1" s="130" customFormat="1" ht="15">
      <c r="A90" s="300"/>
    </row>
    <row r="91" spans="1:1" s="130" customFormat="1" ht="15">
      <c r="A91" s="300"/>
    </row>
    <row r="92" spans="1:1" s="130" customFormat="1" ht="15">
      <c r="A92" s="300"/>
    </row>
    <row r="93" spans="1:1" s="130" customFormat="1" ht="15">
      <c r="A93" s="300"/>
    </row>
    <row r="94" spans="1:1" s="130" customFormat="1" ht="15">
      <c r="A94" s="300"/>
    </row>
    <row r="95" spans="1:1" s="130" customFormat="1" ht="15">
      <c r="A95" s="300"/>
    </row>
    <row r="96" spans="1:1" s="130" customFormat="1" ht="15">
      <c r="A96" s="300"/>
    </row>
    <row r="97" spans="1:1" s="130" customFormat="1" ht="15">
      <c r="A97" s="300"/>
    </row>
    <row r="98" spans="1:1" s="130" customFormat="1" ht="15">
      <c r="A98" s="300"/>
    </row>
    <row r="99" spans="1:1" s="130" customFormat="1" ht="15">
      <c r="A99" s="300"/>
    </row>
    <row r="100" spans="1:1" s="130" customFormat="1" ht="15">
      <c r="A100" s="300"/>
    </row>
    <row r="101" spans="1:1" s="130" customFormat="1" ht="15">
      <c r="A101" s="300"/>
    </row>
    <row r="102" spans="1:1" s="130" customFormat="1" ht="15">
      <c r="A102" s="300"/>
    </row>
    <row r="103" spans="1:1" s="130" customFormat="1" ht="15">
      <c r="A103" s="300"/>
    </row>
    <row r="104" spans="1:1" s="130" customFormat="1" ht="15">
      <c r="A104" s="300"/>
    </row>
    <row r="105" spans="1:1" s="130" customFormat="1" ht="15">
      <c r="A105" s="300"/>
    </row>
    <row r="106" spans="1:1" s="130" customFormat="1" ht="15">
      <c r="A106" s="300"/>
    </row>
    <row r="107" spans="1:1" s="130" customFormat="1" ht="15">
      <c r="A107" s="300"/>
    </row>
    <row r="108" spans="1:1" s="130" customFormat="1" ht="15">
      <c r="A108" s="300"/>
    </row>
    <row r="109" spans="1:1" s="130" customFormat="1" ht="15">
      <c r="A109" s="300"/>
    </row>
    <row r="110" spans="1:1" s="130" customFormat="1" ht="15">
      <c r="A110" s="300"/>
    </row>
    <row r="111" spans="1:1" s="130" customFormat="1" ht="15">
      <c r="A111" s="300"/>
    </row>
    <row r="112" spans="1:1" s="130" customFormat="1" ht="15">
      <c r="A112" s="300"/>
    </row>
    <row r="113" spans="1:1" s="130" customFormat="1" ht="15">
      <c r="A113" s="300"/>
    </row>
    <row r="114" spans="1:1" s="130" customFormat="1" ht="15">
      <c r="A114" s="300"/>
    </row>
    <row r="115" spans="1:1" s="130" customFormat="1" ht="15">
      <c r="A115" s="300"/>
    </row>
    <row r="116" spans="1:1" s="130" customFormat="1" ht="15">
      <c r="A116" s="300"/>
    </row>
    <row r="117" spans="1:1" s="130" customFormat="1" ht="15">
      <c r="A117" s="300"/>
    </row>
    <row r="118" spans="1:1" s="130" customFormat="1" ht="15">
      <c r="A118" s="300"/>
    </row>
    <row r="119" spans="1:1" s="130" customFormat="1" ht="15">
      <c r="A119" s="300"/>
    </row>
    <row r="120" spans="1:1" s="130" customFormat="1" ht="15">
      <c r="A120" s="300"/>
    </row>
    <row r="121" spans="1:1" s="130" customFormat="1" ht="15">
      <c r="A121" s="300"/>
    </row>
    <row r="122" spans="1:1" s="130" customFormat="1" ht="15">
      <c r="A122" s="300"/>
    </row>
    <row r="123" spans="1:1" s="130" customFormat="1" ht="15">
      <c r="A123" s="300"/>
    </row>
    <row r="124" spans="1:1" s="130" customFormat="1" ht="15">
      <c r="A124" s="300"/>
    </row>
    <row r="125" spans="1:1" s="130" customFormat="1" ht="15">
      <c r="A125" s="300"/>
    </row>
    <row r="126" spans="1:1" s="130" customFormat="1" ht="15">
      <c r="A126" s="300"/>
    </row>
    <row r="127" spans="1:1" s="130" customFormat="1" ht="15">
      <c r="A127" s="300"/>
    </row>
    <row r="128" spans="1:1" s="130" customFormat="1" ht="15">
      <c r="A128" s="300"/>
    </row>
    <row r="129" spans="1:1" s="130" customFormat="1" ht="15">
      <c r="A129" s="300"/>
    </row>
    <row r="130" spans="1:1" s="130" customFormat="1" ht="15">
      <c r="A130" s="300"/>
    </row>
    <row r="131" spans="1:1" s="130" customFormat="1" ht="15">
      <c r="A131" s="300"/>
    </row>
    <row r="132" spans="1:1" s="130" customFormat="1" ht="15">
      <c r="A132" s="300"/>
    </row>
    <row r="133" spans="1:1" s="130" customFormat="1" ht="15">
      <c r="A133" s="300"/>
    </row>
    <row r="134" spans="1:1" s="130" customFormat="1" ht="15">
      <c r="A134" s="300"/>
    </row>
    <row r="135" spans="1:1" s="130" customFormat="1" ht="15">
      <c r="A135" s="300"/>
    </row>
    <row r="136" spans="1:1" s="130" customFormat="1" ht="15">
      <c r="A136" s="300"/>
    </row>
    <row r="137" spans="1:1" s="130" customFormat="1" ht="15">
      <c r="A137" s="300"/>
    </row>
    <row r="138" spans="1:1" s="130" customFormat="1" ht="15">
      <c r="A138" s="300"/>
    </row>
    <row r="139" spans="1:1" s="130" customFormat="1" ht="15">
      <c r="A139" s="300"/>
    </row>
    <row r="140" spans="1:1" s="130" customFormat="1" ht="15">
      <c r="A140" s="300"/>
    </row>
    <row r="141" spans="1:1" s="130" customFormat="1" ht="15">
      <c r="A141" s="300"/>
    </row>
    <row r="142" spans="1:1" s="130" customFormat="1" ht="15">
      <c r="A142" s="300"/>
    </row>
    <row r="143" spans="1:1" s="130" customFormat="1" ht="15">
      <c r="A143" s="300"/>
    </row>
    <row r="144" spans="1:1" s="130" customFormat="1" ht="15">
      <c r="A144" s="300"/>
    </row>
    <row r="145" spans="1:1" s="130" customFormat="1" ht="15">
      <c r="A145" s="300"/>
    </row>
    <row r="146" spans="1:1" s="130" customFormat="1" ht="15">
      <c r="A146" s="300"/>
    </row>
    <row r="147" spans="1:1" s="130" customFormat="1" ht="15">
      <c r="A147" s="300"/>
    </row>
    <row r="148" spans="1:1" s="130" customFormat="1" ht="15">
      <c r="A148" s="300"/>
    </row>
    <row r="149" spans="1:1" s="130" customFormat="1" ht="15">
      <c r="A149" s="300"/>
    </row>
    <row r="150" spans="1:1" s="130" customFormat="1" ht="15">
      <c r="A150" s="300"/>
    </row>
    <row r="151" spans="1:1" s="130" customFormat="1" ht="15">
      <c r="A151" s="300"/>
    </row>
    <row r="152" spans="1:1" s="130" customFormat="1" ht="15">
      <c r="A152" s="300"/>
    </row>
    <row r="153" spans="1:1" s="130" customFormat="1" ht="15">
      <c r="A153" s="300"/>
    </row>
    <row r="154" spans="1:1" s="130" customFormat="1" ht="15">
      <c r="A154" s="300"/>
    </row>
    <row r="155" spans="1:1" s="130" customFormat="1" ht="15">
      <c r="A155" s="300"/>
    </row>
    <row r="156" spans="1:1" s="130" customFormat="1" ht="15">
      <c r="A156" s="300"/>
    </row>
    <row r="157" spans="1:1" s="130" customFormat="1" ht="15">
      <c r="A157" s="300"/>
    </row>
    <row r="158" spans="1:1" s="130" customFormat="1" ht="15">
      <c r="A158" s="300"/>
    </row>
    <row r="159" spans="1:1" s="130" customFormat="1" ht="15">
      <c r="A159" s="300"/>
    </row>
    <row r="160" spans="1:1" s="130" customFormat="1" ht="15">
      <c r="A160" s="300"/>
    </row>
    <row r="161" spans="1:1" s="130" customFormat="1" ht="15">
      <c r="A161" s="300"/>
    </row>
    <row r="162" spans="1:1" s="130" customFormat="1" ht="15">
      <c r="A162" s="300"/>
    </row>
    <row r="163" spans="1:1" s="130" customFormat="1" ht="15">
      <c r="A163" s="300"/>
    </row>
    <row r="164" spans="1:1" s="130" customFormat="1" ht="15">
      <c r="A164" s="300"/>
    </row>
    <row r="165" spans="1:1" s="130" customFormat="1" ht="15">
      <c r="A165" s="300"/>
    </row>
    <row r="166" spans="1:1" s="130" customFormat="1" ht="15">
      <c r="A166" s="300"/>
    </row>
  </sheetData>
  <pageMargins left="0.25" right="0.25" top="0.75" bottom="0.75" header="0.3" footer="0.3"/>
  <pageSetup paperSize="9" scale="89" orientation="portrait" r:id="rId1"/>
  <ignoredErrors>
    <ignoredError sqref="E23:G23" formulaRange="1"/>
    <ignoredError sqref="E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rgb="FF92D050"/>
    <pageSetUpPr fitToPage="1"/>
  </sheetPr>
  <dimension ref="A1:K166"/>
  <sheetViews>
    <sheetView workbookViewId="0"/>
  </sheetViews>
  <sheetFormatPr baseColWidth="10" defaultColWidth="5" defaultRowHeight="12.75"/>
  <cols>
    <col min="1" max="1" width="2.5703125" style="125" customWidth="1"/>
    <col min="2" max="2" width="2.28515625" style="399" customWidth="1"/>
    <col min="3" max="3" width="2.42578125" style="399" customWidth="1"/>
    <col min="4" max="4" width="68.7109375" style="399" customWidth="1"/>
    <col min="5" max="6" width="9.7109375" style="122" customWidth="1"/>
    <col min="7" max="7" width="8.42578125" style="122" customWidth="1"/>
    <col min="8" max="10" width="5" style="122"/>
    <col min="11" max="11" width="5.42578125" style="122" bestFit="1" customWidth="1"/>
    <col min="12" max="16384" width="5" style="122"/>
  </cols>
  <sheetData>
    <row r="1" spans="1:7" s="18" customFormat="1" ht="14.25">
      <c r="A1" s="67" t="s">
        <v>1003</v>
      </c>
      <c r="B1" s="64"/>
      <c r="C1" s="64"/>
      <c r="D1" s="64"/>
      <c r="E1" s="64"/>
      <c r="F1" s="64"/>
      <c r="G1" s="64"/>
    </row>
    <row r="2" spans="1:7" s="18" customFormat="1" ht="14.25">
      <c r="A2" s="64" t="s">
        <v>35</v>
      </c>
      <c r="B2" s="64"/>
      <c r="C2" s="64"/>
      <c r="D2" s="64"/>
      <c r="E2" s="64"/>
      <c r="F2" s="64"/>
      <c r="G2" s="64"/>
    </row>
    <row r="3" spans="1:7" s="18" customFormat="1" ht="14.25">
      <c r="A3" s="64"/>
      <c r="B3" s="64"/>
      <c r="C3" s="64"/>
      <c r="D3" s="64"/>
      <c r="E3" s="64"/>
      <c r="F3" s="64"/>
      <c r="G3" s="64"/>
    </row>
    <row r="4" spans="1:7" s="25" customFormat="1" ht="37.5" customHeight="1">
      <c r="A4" s="555"/>
      <c r="B4" s="314"/>
      <c r="C4" s="314"/>
      <c r="D4" s="314"/>
      <c r="E4" s="314" t="s">
        <v>945</v>
      </c>
      <c r="F4" s="314" t="s">
        <v>939</v>
      </c>
      <c r="G4" s="314" t="s">
        <v>1053</v>
      </c>
    </row>
    <row r="5" spans="1:7" s="21" customFormat="1" ht="22.5" customHeight="1">
      <c r="A5" s="67" t="s">
        <v>527</v>
      </c>
      <c r="B5" s="64"/>
      <c r="C5" s="64"/>
      <c r="D5" s="64"/>
      <c r="E5" s="64"/>
      <c r="F5" s="64"/>
      <c r="G5" s="64"/>
    </row>
    <row r="6" spans="1:7" s="130" customFormat="1" ht="15">
      <c r="A6" s="161"/>
      <c r="B6" s="154" t="s">
        <v>526</v>
      </c>
      <c r="C6" s="154"/>
      <c r="D6" s="354"/>
      <c r="E6" s="277">
        <f>E16+E18+E21+E22+E23+E30</f>
        <v>68767.190593560008</v>
      </c>
      <c r="F6" s="277">
        <f>F16+F18+F21+F22+F23+F30</f>
        <v>70795.489999999991</v>
      </c>
      <c r="G6" s="277">
        <f>G16+G18+G21+G22+G23+G30</f>
        <v>70887.583999999988</v>
      </c>
    </row>
    <row r="7" spans="1:7" s="130" customFormat="1" ht="15">
      <c r="A7" s="161"/>
      <c r="B7" s="154"/>
      <c r="C7" s="154" t="s">
        <v>525</v>
      </c>
      <c r="D7" s="354"/>
      <c r="E7" s="277">
        <f>SUM(E8:E10)</f>
        <v>79307.801739949995</v>
      </c>
      <c r="F7" s="277">
        <f>SUM(F8:F10)</f>
        <v>81780</v>
      </c>
      <c r="G7" s="277">
        <f>SUM(G8:G10)</f>
        <v>81850</v>
      </c>
    </row>
    <row r="8" spans="1:7" s="130" customFormat="1" ht="15">
      <c r="A8" s="161"/>
      <c r="B8" s="154"/>
      <c r="C8" s="154"/>
      <c r="D8" s="354" t="s">
        <v>524</v>
      </c>
      <c r="E8" s="277">
        <v>40526.227376579998</v>
      </c>
      <c r="F8" s="277">
        <v>41905</v>
      </c>
      <c r="G8" s="277">
        <v>39908</v>
      </c>
    </row>
    <row r="9" spans="1:7" s="130" customFormat="1" ht="15">
      <c r="A9" s="161"/>
      <c r="B9" s="154"/>
      <c r="C9" s="154"/>
      <c r="D9" s="354" t="s">
        <v>523</v>
      </c>
      <c r="E9" s="277">
        <v>38127.050063479997</v>
      </c>
      <c r="F9" s="277">
        <v>39239.199999999997</v>
      </c>
      <c r="G9" s="277">
        <v>41306.85</v>
      </c>
    </row>
    <row r="10" spans="1:7" s="130" customFormat="1" ht="13.5" customHeight="1">
      <c r="A10" s="161"/>
      <c r="B10" s="154"/>
      <c r="C10" s="154"/>
      <c r="D10" s="354" t="s">
        <v>522</v>
      </c>
      <c r="E10" s="277">
        <v>654.52429988999995</v>
      </c>
      <c r="F10" s="277">
        <v>635.79999999999995</v>
      </c>
      <c r="G10" s="277">
        <v>635.15</v>
      </c>
    </row>
    <row r="11" spans="1:7" s="130" customFormat="1" ht="15">
      <c r="A11" s="161"/>
      <c r="B11" s="154"/>
      <c r="C11" s="154" t="s">
        <v>521</v>
      </c>
      <c r="D11" s="354"/>
      <c r="E11" s="277">
        <f t="shared" ref="E11:G11" si="0">SUM(E12:E15)</f>
        <v>-31141.37982084</v>
      </c>
      <c r="F11" s="277">
        <f>SUM(F12:F15)</f>
        <v>-32583.184000000001</v>
      </c>
      <c r="G11" s="277">
        <f t="shared" si="0"/>
        <v>-32472.464999999997</v>
      </c>
    </row>
    <row r="12" spans="1:7" s="130" customFormat="1" ht="15">
      <c r="A12" s="161"/>
      <c r="B12" s="154"/>
      <c r="C12" s="154"/>
      <c r="D12" s="354" t="s">
        <v>496</v>
      </c>
      <c r="E12" s="277">
        <v>-24185.915680829999</v>
      </c>
      <c r="F12" s="277">
        <v>-25041.911</v>
      </c>
      <c r="G12" s="277">
        <v>-25005.353999999999</v>
      </c>
    </row>
    <row r="13" spans="1:7" s="130" customFormat="1" ht="15">
      <c r="A13" s="161"/>
      <c r="B13" s="154"/>
      <c r="C13" s="154"/>
      <c r="D13" s="354" t="s">
        <v>495</v>
      </c>
      <c r="E13" s="277">
        <v>-2946.3450733599998</v>
      </c>
      <c r="F13" s="277">
        <v>-3085</v>
      </c>
      <c r="G13" s="277">
        <v>-3065</v>
      </c>
    </row>
    <row r="14" spans="1:7" s="130" customFormat="1" ht="15">
      <c r="A14" s="161"/>
      <c r="B14" s="154"/>
      <c r="C14" s="154"/>
      <c r="D14" s="354" t="s">
        <v>494</v>
      </c>
      <c r="E14" s="277">
        <v>-2014.0461064199999</v>
      </c>
      <c r="F14" s="277">
        <v>-2275.2829999999999</v>
      </c>
      <c r="G14" s="277">
        <v>-2185.7069999999999</v>
      </c>
    </row>
    <row r="15" spans="1:7" s="130" customFormat="1" ht="15">
      <c r="A15" s="161"/>
      <c r="B15" s="154"/>
      <c r="C15" s="154"/>
      <c r="D15" s="354" t="s">
        <v>493</v>
      </c>
      <c r="E15" s="277">
        <v>-1995.07296023</v>
      </c>
      <c r="F15" s="277">
        <v>-2180.9899999999998</v>
      </c>
      <c r="G15" s="277">
        <v>-2216.404</v>
      </c>
    </row>
    <row r="16" spans="1:7" s="130" customFormat="1" ht="15">
      <c r="A16" s="161"/>
      <c r="B16" s="154"/>
      <c r="C16" s="154" t="s">
        <v>520</v>
      </c>
      <c r="D16" s="154"/>
      <c r="E16" s="277">
        <f t="shared" ref="E16:G16" si="1">E7+E11</f>
        <v>48166.421919109998</v>
      </c>
      <c r="F16" s="277">
        <f t="shared" si="1"/>
        <v>49196.815999999999</v>
      </c>
      <c r="G16" s="277">
        <f t="shared" si="1"/>
        <v>49377.535000000003</v>
      </c>
    </row>
    <row r="17" spans="1:7" s="130" customFormat="1" ht="15" hidden="1">
      <c r="A17" s="161"/>
      <c r="B17" s="154"/>
      <c r="C17" s="154"/>
      <c r="D17" s="154"/>
      <c r="E17" s="277"/>
      <c r="F17" s="277"/>
      <c r="G17" s="277"/>
    </row>
    <row r="18" spans="1:7" s="130" customFormat="1" ht="15">
      <c r="A18" s="161"/>
      <c r="B18" s="154"/>
      <c r="C18" s="154" t="s">
        <v>519</v>
      </c>
      <c r="D18" s="354"/>
      <c r="E18" s="277">
        <v>12523.808981980001</v>
      </c>
      <c r="F18" s="277">
        <v>12925.656999999999</v>
      </c>
      <c r="G18" s="277">
        <v>13160.922</v>
      </c>
    </row>
    <row r="19" spans="1:7" s="130" customFormat="1" ht="15">
      <c r="A19" s="161"/>
      <c r="B19" s="154"/>
      <c r="C19" s="154"/>
      <c r="D19" s="354" t="s">
        <v>952</v>
      </c>
      <c r="E19" s="277">
        <v>5842.7490357400002</v>
      </c>
      <c r="F19" s="277">
        <v>6043.7160000000003</v>
      </c>
      <c r="G19" s="277">
        <v>6216.6009999999997</v>
      </c>
    </row>
    <row r="20" spans="1:7" s="130" customFormat="1" ht="15">
      <c r="A20" s="161"/>
      <c r="B20" s="154"/>
      <c r="C20" s="154"/>
      <c r="D20" s="354" t="s">
        <v>953</v>
      </c>
      <c r="E20" s="277">
        <v>6641.17202137</v>
      </c>
      <c r="F20" s="277">
        <v>6841.1019999999999</v>
      </c>
      <c r="G20" s="277">
        <v>6902.4809999999998</v>
      </c>
    </row>
    <row r="21" spans="1:7" s="130" customFormat="1" ht="15">
      <c r="A21" s="161"/>
      <c r="B21" s="154"/>
      <c r="C21" s="154" t="s">
        <v>518</v>
      </c>
      <c r="D21" s="354"/>
      <c r="E21" s="277">
        <v>284.92459291</v>
      </c>
      <c r="F21" s="277">
        <v>509.86700000000002</v>
      </c>
      <c r="G21" s="277">
        <v>417.99400000000003</v>
      </c>
    </row>
    <row r="22" spans="1:7" s="130" customFormat="1" ht="15">
      <c r="A22" s="161"/>
      <c r="B22" s="154"/>
      <c r="C22" s="154" t="s">
        <v>517</v>
      </c>
      <c r="D22" s="354"/>
      <c r="E22" s="277">
        <v>1547.1866864399999</v>
      </c>
      <c r="F22" s="277">
        <v>1394.3340000000001</v>
      </c>
      <c r="G22" s="277">
        <v>1446.731</v>
      </c>
    </row>
    <row r="23" spans="1:7" s="130" customFormat="1" ht="15">
      <c r="A23" s="161"/>
      <c r="B23" s="154"/>
      <c r="C23" s="154" t="s">
        <v>516</v>
      </c>
      <c r="D23" s="354"/>
      <c r="E23" s="277">
        <f t="shared" ref="E23:G23" si="2">SUM(E24:E29)</f>
        <v>5816.8063211799999</v>
      </c>
      <c r="F23" s="277">
        <f t="shared" si="2"/>
        <v>6244.7070000000003</v>
      </c>
      <c r="G23" s="277">
        <f t="shared" si="2"/>
        <v>5746.7859999999991</v>
      </c>
    </row>
    <row r="24" spans="1:7" s="130" customFormat="1" ht="15">
      <c r="A24" s="161"/>
      <c r="B24" s="154"/>
      <c r="C24" s="154"/>
      <c r="D24" s="354" t="s">
        <v>515</v>
      </c>
      <c r="E24" s="277">
        <v>572.54349467999998</v>
      </c>
      <c r="F24" s="277">
        <v>933.13</v>
      </c>
      <c r="G24" s="277">
        <v>515.81200000000001</v>
      </c>
    </row>
    <row r="25" spans="1:7" s="130" customFormat="1" ht="15">
      <c r="A25" s="161"/>
      <c r="B25" s="154"/>
      <c r="C25" s="154"/>
      <c r="D25" s="556" t="s">
        <v>514</v>
      </c>
      <c r="E25" s="277">
        <v>1591.33346009</v>
      </c>
      <c r="F25" s="277">
        <v>1510.3789999999999</v>
      </c>
      <c r="G25" s="277">
        <v>1484.6690000000001</v>
      </c>
    </row>
    <row r="26" spans="1:7" s="130" customFormat="1" ht="15">
      <c r="A26" s="161"/>
      <c r="B26" s="154"/>
      <c r="C26" s="154"/>
      <c r="D26" s="354" t="s">
        <v>513</v>
      </c>
      <c r="E26" s="277">
        <v>630.38544643</v>
      </c>
      <c r="F26" s="277">
        <v>614.20500000000004</v>
      </c>
      <c r="G26" s="277">
        <v>557.54999999999995</v>
      </c>
    </row>
    <row r="27" spans="1:7" s="130" customFormat="1" ht="15">
      <c r="A27" s="161"/>
      <c r="B27" s="154"/>
      <c r="C27" s="154"/>
      <c r="D27" s="433" t="s">
        <v>512</v>
      </c>
      <c r="E27" s="277">
        <v>309.38557939999998</v>
      </c>
      <c r="F27" s="277">
        <v>328.12</v>
      </c>
      <c r="G27" s="277">
        <v>305.43200000000002</v>
      </c>
    </row>
    <row r="28" spans="1:7" s="130" customFormat="1" ht="15">
      <c r="A28" s="161"/>
      <c r="B28" s="154"/>
      <c r="C28" s="154"/>
      <c r="D28" s="354" t="s">
        <v>511</v>
      </c>
      <c r="E28" s="277">
        <v>2175.9775130500002</v>
      </c>
      <c r="F28" s="277">
        <v>2295.3710000000001</v>
      </c>
      <c r="G28" s="277">
        <v>2344.5659999999998</v>
      </c>
    </row>
    <row r="29" spans="1:7" s="130" customFormat="1" ht="15">
      <c r="A29" s="161"/>
      <c r="B29" s="154"/>
      <c r="C29" s="154"/>
      <c r="D29" s="354" t="s">
        <v>510</v>
      </c>
      <c r="E29" s="277">
        <v>537.18082752999999</v>
      </c>
      <c r="F29" s="277">
        <v>563.50199999999995</v>
      </c>
      <c r="G29" s="277">
        <v>538.75699999999995</v>
      </c>
    </row>
    <row r="30" spans="1:7" s="130" customFormat="1" ht="15">
      <c r="A30" s="161"/>
      <c r="B30" s="154"/>
      <c r="C30" s="154" t="s">
        <v>509</v>
      </c>
      <c r="D30" s="354"/>
      <c r="E30" s="277">
        <f>SUM(E31:E33)</f>
        <v>428.04209193999998</v>
      </c>
      <c r="F30" s="277">
        <f>SUM(F31:F33)</f>
        <v>524.10900000000004</v>
      </c>
      <c r="G30" s="277">
        <f t="shared" ref="G30" si="3">SUM(G31:G33)</f>
        <v>737.61599999999999</v>
      </c>
    </row>
    <row r="31" spans="1:7" s="130" customFormat="1" ht="15">
      <c r="A31" s="161"/>
      <c r="B31" s="154"/>
      <c r="C31" s="154"/>
      <c r="D31" s="354" t="s">
        <v>508</v>
      </c>
      <c r="E31" s="277">
        <v>167.62179592000001</v>
      </c>
      <c r="F31" s="277">
        <v>154.16399999999999</v>
      </c>
      <c r="G31" s="277">
        <v>159.15299999999999</v>
      </c>
    </row>
    <row r="32" spans="1:7" s="130" customFormat="1" ht="15">
      <c r="A32" s="161"/>
      <c r="B32" s="154"/>
      <c r="C32" s="154"/>
      <c r="D32" s="354" t="s">
        <v>507</v>
      </c>
      <c r="E32" s="277">
        <v>80.610904950000005</v>
      </c>
      <c r="F32" s="277">
        <v>313.82900000000001</v>
      </c>
      <c r="G32" s="277">
        <v>94.594999999999999</v>
      </c>
    </row>
    <row r="33" spans="1:11" s="130" customFormat="1" ht="15">
      <c r="A33" s="161"/>
      <c r="B33" s="154"/>
      <c r="C33" s="154"/>
      <c r="D33" s="354" t="s">
        <v>506</v>
      </c>
      <c r="E33" s="277">
        <f>424.32109194-E31-E32+3.721</f>
        <v>179.80939106999995</v>
      </c>
      <c r="F33" s="277">
        <f>507.699-F31-F32+16.41</f>
        <v>56.116000000000014</v>
      </c>
      <c r="G33" s="277">
        <v>483.86799999999999</v>
      </c>
      <c r="K33" s="558"/>
    </row>
    <row r="34" spans="1:11" s="130" customFormat="1" ht="15">
      <c r="A34" s="161"/>
      <c r="B34" s="154" t="s">
        <v>505</v>
      </c>
      <c r="C34" s="154"/>
      <c r="D34" s="354"/>
      <c r="E34" s="277">
        <v>1114.598</v>
      </c>
      <c r="F34" s="277">
        <v>714.96799999999996</v>
      </c>
      <c r="G34" s="277">
        <v>482.68799999999999</v>
      </c>
    </row>
    <row r="35" spans="1:11" s="145" customFormat="1" ht="22.5" customHeight="1">
      <c r="A35" s="221" t="s">
        <v>504</v>
      </c>
      <c r="B35" s="557"/>
      <c r="C35" s="557"/>
      <c r="D35" s="557"/>
      <c r="E35" s="457">
        <f>E16+E18+E21+E23+E34+E22+E30</f>
        <v>69881.788593559992</v>
      </c>
      <c r="F35" s="457">
        <f>F16+F18+F21+F23+F34+F22+F30</f>
        <v>71510.457999999984</v>
      </c>
      <c r="G35" s="457">
        <f>G16+G18+G21+G23+G34+G22+G30</f>
        <v>71370.271999999983</v>
      </c>
    </row>
    <row r="36" spans="1:11" ht="15">
      <c r="A36" s="300"/>
      <c r="B36" s="130"/>
      <c r="C36" s="130"/>
      <c r="D36" s="130"/>
      <c r="E36" s="130"/>
      <c r="F36" s="130"/>
      <c r="G36" s="130"/>
    </row>
    <row r="37" spans="1:11" ht="14.25">
      <c r="A37" s="132" t="s">
        <v>168</v>
      </c>
      <c r="B37" s="132"/>
      <c r="C37" s="132"/>
      <c r="D37" s="132"/>
      <c r="E37" s="132"/>
      <c r="F37" s="132"/>
      <c r="G37" s="132"/>
    </row>
    <row r="38" spans="1:11" ht="15">
      <c r="A38" s="300"/>
      <c r="B38" s="130"/>
      <c r="C38" s="130"/>
      <c r="D38" s="130"/>
      <c r="E38" s="130"/>
      <c r="F38" s="130"/>
      <c r="G38" s="130"/>
    </row>
    <row r="39" spans="1:11" ht="15">
      <c r="A39" s="300"/>
      <c r="B39" s="130"/>
      <c r="C39" s="130"/>
      <c r="D39" s="130"/>
      <c r="E39" s="130"/>
      <c r="F39" s="130"/>
      <c r="G39" s="130"/>
    </row>
    <row r="40" spans="1:11" ht="15">
      <c r="A40" s="300"/>
      <c r="B40" s="130"/>
      <c r="C40" s="130"/>
      <c r="D40" s="130"/>
      <c r="E40" s="130"/>
      <c r="F40" s="130"/>
      <c r="G40" s="130"/>
    </row>
    <row r="41" spans="1:11" ht="15">
      <c r="A41" s="300"/>
      <c r="B41" s="130"/>
      <c r="C41" s="130"/>
      <c r="D41" s="130"/>
      <c r="E41" s="130"/>
      <c r="F41" s="130"/>
      <c r="G41" s="130"/>
    </row>
    <row r="42" spans="1:11" ht="15">
      <c r="A42" s="300"/>
      <c r="B42" s="130"/>
      <c r="C42" s="130"/>
      <c r="D42" s="130"/>
      <c r="E42" s="130"/>
      <c r="F42" s="130"/>
      <c r="G42" s="130"/>
    </row>
    <row r="43" spans="1:11" ht="15">
      <c r="A43" s="300"/>
      <c r="B43" s="130"/>
      <c r="C43" s="130"/>
      <c r="D43" s="130"/>
      <c r="E43" s="130"/>
      <c r="F43" s="130"/>
      <c r="G43" s="130"/>
    </row>
    <row r="44" spans="1:11" ht="15">
      <c r="A44" s="300"/>
      <c r="B44" s="130"/>
      <c r="C44" s="130"/>
      <c r="D44" s="130"/>
      <c r="E44" s="130"/>
      <c r="F44" s="130"/>
      <c r="G44" s="130"/>
    </row>
    <row r="45" spans="1:11" ht="15">
      <c r="A45" s="300"/>
      <c r="B45" s="130"/>
      <c r="C45" s="130"/>
      <c r="D45" s="130"/>
      <c r="E45" s="130"/>
      <c r="F45" s="130"/>
      <c r="G45" s="130"/>
    </row>
    <row r="46" spans="1:11" ht="15">
      <c r="A46" s="300"/>
      <c r="B46" s="130"/>
      <c r="C46" s="130"/>
      <c r="D46" s="130"/>
      <c r="E46" s="130"/>
      <c r="F46" s="130"/>
      <c r="G46" s="130"/>
    </row>
    <row r="47" spans="1:11" ht="15">
      <c r="A47" s="300"/>
      <c r="B47" s="130"/>
      <c r="C47" s="130"/>
      <c r="D47" s="130"/>
      <c r="E47" s="130"/>
      <c r="F47" s="130"/>
      <c r="G47" s="130"/>
    </row>
    <row r="48" spans="1:11" ht="15">
      <c r="A48" s="300"/>
      <c r="B48" s="130"/>
      <c r="C48" s="130"/>
      <c r="D48" s="130"/>
      <c r="E48" s="130"/>
      <c r="F48" s="130"/>
      <c r="G48" s="130"/>
    </row>
    <row r="49" spans="1:7" ht="15">
      <c r="A49" s="300"/>
      <c r="B49" s="130"/>
      <c r="C49" s="130"/>
      <c r="D49" s="130"/>
      <c r="E49" s="130"/>
      <c r="F49" s="130"/>
      <c r="G49" s="130"/>
    </row>
    <row r="50" spans="1:7" ht="15">
      <c r="A50" s="300"/>
      <c r="B50" s="130"/>
      <c r="C50" s="130"/>
      <c r="D50" s="130"/>
      <c r="E50" s="130"/>
      <c r="F50" s="130"/>
      <c r="G50" s="130"/>
    </row>
    <row r="51" spans="1:7" ht="15">
      <c r="A51" s="300"/>
      <c r="B51" s="130"/>
      <c r="C51" s="130"/>
      <c r="D51" s="130"/>
      <c r="E51" s="130"/>
      <c r="F51" s="130"/>
      <c r="G51" s="130"/>
    </row>
    <row r="52" spans="1:7" ht="15">
      <c r="A52" s="300"/>
      <c r="B52" s="130"/>
      <c r="C52" s="130"/>
      <c r="D52" s="130"/>
      <c r="E52" s="130"/>
      <c r="F52" s="130"/>
      <c r="G52" s="130"/>
    </row>
    <row r="53" spans="1:7" ht="15">
      <c r="A53" s="300"/>
      <c r="B53" s="130"/>
      <c r="C53" s="130"/>
      <c r="D53" s="130"/>
      <c r="E53" s="130"/>
      <c r="F53" s="130"/>
      <c r="G53" s="130"/>
    </row>
    <row r="54" spans="1:7" ht="15">
      <c r="A54" s="300"/>
      <c r="B54" s="130"/>
      <c r="C54" s="130"/>
      <c r="D54" s="130"/>
      <c r="E54" s="130"/>
      <c r="F54" s="130"/>
      <c r="G54" s="130"/>
    </row>
    <row r="55" spans="1:7" ht="15">
      <c r="A55" s="300"/>
      <c r="B55" s="130"/>
      <c r="C55" s="130"/>
      <c r="D55" s="130"/>
      <c r="E55" s="130"/>
      <c r="F55" s="130"/>
      <c r="G55" s="130"/>
    </row>
    <row r="56" spans="1:7" ht="15">
      <c r="A56" s="300"/>
      <c r="B56" s="130"/>
      <c r="C56" s="130"/>
      <c r="D56" s="130"/>
      <c r="E56" s="130"/>
      <c r="F56" s="130"/>
      <c r="G56" s="130"/>
    </row>
    <row r="57" spans="1:7" ht="15">
      <c r="A57" s="300"/>
      <c r="B57" s="130"/>
      <c r="C57" s="130"/>
      <c r="D57" s="130"/>
      <c r="E57" s="130"/>
      <c r="F57" s="130"/>
      <c r="G57" s="130"/>
    </row>
    <row r="58" spans="1:7" ht="15">
      <c r="A58" s="300"/>
      <c r="B58" s="130"/>
      <c r="C58" s="130"/>
      <c r="D58" s="130"/>
      <c r="E58" s="130"/>
      <c r="F58" s="130"/>
      <c r="G58" s="130"/>
    </row>
    <row r="59" spans="1:7" ht="15">
      <c r="A59" s="300"/>
      <c r="B59" s="130"/>
      <c r="C59" s="130"/>
      <c r="D59" s="130"/>
      <c r="E59" s="130"/>
      <c r="F59" s="130"/>
      <c r="G59" s="130"/>
    </row>
    <row r="60" spans="1:7" ht="15">
      <c r="A60" s="300"/>
      <c r="B60" s="130"/>
      <c r="C60" s="130"/>
      <c r="D60" s="130"/>
      <c r="E60" s="130"/>
      <c r="F60" s="130"/>
      <c r="G60" s="130"/>
    </row>
    <row r="61" spans="1:7" ht="15">
      <c r="A61" s="300"/>
      <c r="B61" s="130"/>
      <c r="C61" s="130"/>
      <c r="D61" s="130"/>
      <c r="E61" s="130"/>
      <c r="F61" s="130"/>
      <c r="G61" s="130"/>
    </row>
    <row r="62" spans="1:7" ht="15">
      <c r="A62" s="300"/>
      <c r="B62" s="130"/>
      <c r="C62" s="130"/>
      <c r="D62" s="130"/>
      <c r="E62" s="130"/>
      <c r="F62" s="130"/>
      <c r="G62" s="130"/>
    </row>
    <row r="63" spans="1:7" ht="15">
      <c r="A63" s="300"/>
      <c r="B63" s="130"/>
      <c r="C63" s="130"/>
      <c r="D63" s="130"/>
      <c r="E63" s="130"/>
      <c r="F63" s="130"/>
      <c r="G63" s="130"/>
    </row>
    <row r="64" spans="1:7" ht="15">
      <c r="A64" s="300"/>
      <c r="B64" s="130"/>
      <c r="C64" s="130"/>
      <c r="D64" s="130"/>
      <c r="E64" s="130"/>
      <c r="F64" s="130"/>
      <c r="G64" s="130"/>
    </row>
    <row r="65" spans="1:7" ht="15">
      <c r="A65" s="300"/>
      <c r="B65" s="130"/>
      <c r="C65" s="130"/>
      <c r="D65" s="130"/>
      <c r="E65" s="130"/>
      <c r="F65" s="130"/>
      <c r="G65" s="130"/>
    </row>
    <row r="66" spans="1:7" ht="15">
      <c r="A66" s="300"/>
      <c r="B66" s="130"/>
      <c r="C66" s="130"/>
      <c r="D66" s="130"/>
      <c r="E66" s="130"/>
      <c r="F66" s="130"/>
      <c r="G66" s="130"/>
    </row>
    <row r="67" spans="1:7" ht="15">
      <c r="A67" s="300"/>
      <c r="B67" s="130"/>
      <c r="C67" s="130"/>
      <c r="D67" s="130"/>
      <c r="E67" s="130"/>
      <c r="F67" s="130"/>
      <c r="G67" s="130"/>
    </row>
    <row r="68" spans="1:7" ht="15">
      <c r="A68" s="300"/>
      <c r="B68" s="130"/>
      <c r="C68" s="130"/>
      <c r="D68" s="130"/>
      <c r="E68" s="130"/>
      <c r="F68" s="130"/>
      <c r="G68" s="130"/>
    </row>
    <row r="69" spans="1:7" ht="15">
      <c r="A69" s="300"/>
      <c r="B69" s="130"/>
      <c r="C69" s="130"/>
      <c r="D69" s="130"/>
      <c r="E69" s="130"/>
      <c r="F69" s="130"/>
      <c r="G69" s="130"/>
    </row>
    <row r="70" spans="1:7" ht="15">
      <c r="A70" s="300"/>
      <c r="B70" s="130"/>
      <c r="C70" s="130"/>
      <c r="D70" s="130"/>
      <c r="E70" s="130"/>
      <c r="F70" s="130"/>
      <c r="G70" s="130"/>
    </row>
    <row r="71" spans="1:7" ht="15">
      <c r="A71" s="300"/>
      <c r="B71" s="130"/>
      <c r="C71" s="130"/>
      <c r="D71" s="130"/>
      <c r="E71" s="130"/>
      <c r="F71" s="130"/>
      <c r="G71" s="130"/>
    </row>
    <row r="72" spans="1:7" ht="15">
      <c r="A72" s="300"/>
      <c r="B72" s="130"/>
      <c r="C72" s="130"/>
      <c r="D72" s="130"/>
      <c r="E72" s="130"/>
      <c r="F72" s="130"/>
      <c r="G72" s="130"/>
    </row>
    <row r="73" spans="1:7" ht="15">
      <c r="A73" s="300"/>
      <c r="B73" s="130"/>
      <c r="C73" s="130"/>
      <c r="D73" s="130"/>
      <c r="E73" s="130"/>
      <c r="F73" s="130"/>
      <c r="G73" s="130"/>
    </row>
    <row r="74" spans="1:7" ht="15">
      <c r="A74" s="300"/>
      <c r="B74" s="130"/>
      <c r="C74" s="130"/>
      <c r="D74" s="130"/>
      <c r="E74" s="130"/>
      <c r="F74" s="130"/>
      <c r="G74" s="130"/>
    </row>
    <row r="75" spans="1:7" ht="15">
      <c r="A75" s="300"/>
      <c r="B75" s="130"/>
      <c r="C75" s="130"/>
      <c r="D75" s="130"/>
      <c r="E75" s="130"/>
      <c r="F75" s="130"/>
      <c r="G75" s="130"/>
    </row>
    <row r="76" spans="1:7" ht="15">
      <c r="A76" s="300"/>
      <c r="B76" s="130"/>
      <c r="C76" s="130"/>
      <c r="D76" s="130"/>
      <c r="E76" s="130"/>
      <c r="F76" s="130"/>
      <c r="G76" s="130"/>
    </row>
    <row r="77" spans="1:7" ht="15">
      <c r="A77" s="300"/>
      <c r="B77" s="130"/>
      <c r="C77" s="130"/>
      <c r="D77" s="130"/>
      <c r="E77" s="130"/>
      <c r="F77" s="130"/>
      <c r="G77" s="130"/>
    </row>
    <row r="78" spans="1:7" ht="15">
      <c r="A78" s="300"/>
      <c r="B78" s="130"/>
      <c r="C78" s="130"/>
      <c r="D78" s="130"/>
      <c r="E78" s="130"/>
      <c r="F78" s="130"/>
      <c r="G78" s="130"/>
    </row>
    <row r="79" spans="1:7" ht="15">
      <c r="A79" s="300"/>
      <c r="B79" s="130"/>
      <c r="C79" s="130"/>
      <c r="D79" s="130"/>
      <c r="E79" s="130"/>
      <c r="F79" s="130"/>
      <c r="G79" s="130"/>
    </row>
    <row r="80" spans="1:7" ht="15">
      <c r="A80" s="300"/>
      <c r="B80" s="130"/>
      <c r="C80" s="130"/>
      <c r="D80" s="130"/>
      <c r="E80" s="130"/>
      <c r="F80" s="130"/>
      <c r="G80" s="130"/>
    </row>
    <row r="81" spans="1:7" ht="15">
      <c r="A81" s="300"/>
      <c r="B81" s="130"/>
      <c r="C81" s="130"/>
      <c r="D81" s="130"/>
      <c r="E81" s="130"/>
      <c r="F81" s="130"/>
      <c r="G81" s="130"/>
    </row>
    <row r="82" spans="1:7" ht="15">
      <c r="A82" s="300"/>
      <c r="B82" s="130"/>
      <c r="C82" s="130"/>
      <c r="D82" s="130"/>
      <c r="E82" s="130"/>
      <c r="F82" s="130"/>
      <c r="G82" s="130"/>
    </row>
    <row r="83" spans="1:7" ht="15">
      <c r="A83" s="300"/>
      <c r="B83" s="130"/>
      <c r="C83" s="130"/>
      <c r="D83" s="130"/>
      <c r="E83" s="130"/>
      <c r="F83" s="130"/>
      <c r="G83" s="130"/>
    </row>
    <row r="84" spans="1:7" ht="15">
      <c r="A84" s="300"/>
      <c r="B84" s="130"/>
      <c r="C84" s="130"/>
      <c r="D84" s="130"/>
      <c r="E84" s="130"/>
      <c r="F84" s="130"/>
      <c r="G84" s="130"/>
    </row>
    <row r="85" spans="1:7" ht="15">
      <c r="A85" s="300"/>
      <c r="B85" s="130"/>
      <c r="C85" s="130"/>
      <c r="D85" s="130"/>
      <c r="E85" s="130"/>
      <c r="F85" s="130"/>
      <c r="G85" s="130"/>
    </row>
    <row r="86" spans="1:7" ht="15">
      <c r="A86" s="300"/>
      <c r="B86" s="130"/>
      <c r="C86" s="130"/>
      <c r="D86" s="130"/>
      <c r="E86" s="130"/>
      <c r="F86" s="130"/>
      <c r="G86" s="130"/>
    </row>
    <row r="87" spans="1:7" ht="15">
      <c r="A87" s="300"/>
      <c r="B87" s="130"/>
      <c r="C87" s="130"/>
      <c r="D87" s="130"/>
      <c r="E87" s="130"/>
      <c r="F87" s="130"/>
      <c r="G87" s="130"/>
    </row>
    <row r="88" spans="1:7" ht="15">
      <c r="A88" s="300"/>
      <c r="B88" s="130"/>
      <c r="C88" s="130"/>
      <c r="D88" s="130"/>
      <c r="E88" s="130"/>
      <c r="F88" s="130"/>
      <c r="G88" s="130"/>
    </row>
    <row r="89" spans="1:7" ht="15">
      <c r="A89" s="300"/>
      <c r="B89" s="130"/>
      <c r="C89" s="130"/>
      <c r="D89" s="130"/>
      <c r="E89" s="130"/>
      <c r="F89" s="130"/>
      <c r="G89" s="130"/>
    </row>
    <row r="90" spans="1:7" ht="15">
      <c r="A90" s="300"/>
      <c r="B90" s="130"/>
      <c r="C90" s="130"/>
      <c r="D90" s="130"/>
      <c r="E90" s="130"/>
      <c r="F90" s="130"/>
      <c r="G90" s="130"/>
    </row>
    <row r="91" spans="1:7" ht="15">
      <c r="A91" s="300"/>
      <c r="B91" s="130"/>
      <c r="C91" s="130"/>
      <c r="D91" s="130"/>
      <c r="E91" s="130"/>
      <c r="F91" s="130"/>
      <c r="G91" s="130"/>
    </row>
    <row r="92" spans="1:7" ht="15">
      <c r="A92" s="300"/>
      <c r="B92" s="130"/>
      <c r="C92" s="130"/>
      <c r="D92" s="130"/>
      <c r="E92" s="130"/>
      <c r="F92" s="130"/>
      <c r="G92" s="130"/>
    </row>
    <row r="93" spans="1:7" ht="15">
      <c r="A93" s="300"/>
      <c r="B93" s="130"/>
      <c r="C93" s="130"/>
      <c r="D93" s="130"/>
      <c r="E93" s="130"/>
      <c r="F93" s="130"/>
      <c r="G93" s="130"/>
    </row>
    <row r="94" spans="1:7" ht="15">
      <c r="A94" s="300"/>
      <c r="B94" s="130"/>
      <c r="C94" s="130"/>
      <c r="D94" s="130"/>
      <c r="E94" s="130"/>
      <c r="F94" s="130"/>
      <c r="G94" s="130"/>
    </row>
    <row r="95" spans="1:7" ht="15">
      <c r="A95" s="300"/>
      <c r="B95" s="130"/>
      <c r="C95" s="130"/>
      <c r="D95" s="130"/>
      <c r="E95" s="130"/>
      <c r="F95" s="130"/>
      <c r="G95" s="130"/>
    </row>
    <row r="96" spans="1:7" ht="15">
      <c r="A96" s="300"/>
      <c r="B96" s="130"/>
      <c r="C96" s="130"/>
      <c r="D96" s="130"/>
      <c r="E96" s="130"/>
      <c r="F96" s="130"/>
      <c r="G96" s="130"/>
    </row>
    <row r="97" spans="1:7" ht="15">
      <c r="A97" s="300"/>
      <c r="B97" s="130"/>
      <c r="C97" s="130"/>
      <c r="D97" s="130"/>
      <c r="E97" s="130"/>
      <c r="F97" s="130"/>
      <c r="G97" s="130"/>
    </row>
    <row r="98" spans="1:7" ht="15">
      <c r="A98" s="300"/>
      <c r="B98" s="130"/>
      <c r="C98" s="130"/>
      <c r="D98" s="130"/>
      <c r="E98" s="130"/>
      <c r="F98" s="130"/>
      <c r="G98" s="130"/>
    </row>
    <row r="99" spans="1:7" ht="15">
      <c r="A99" s="300"/>
      <c r="B99" s="130"/>
      <c r="C99" s="130"/>
      <c r="D99" s="130"/>
      <c r="E99" s="130"/>
      <c r="F99" s="130"/>
      <c r="G99" s="130"/>
    </row>
    <row r="100" spans="1:7" ht="15">
      <c r="A100" s="300"/>
      <c r="B100" s="130"/>
      <c r="C100" s="130"/>
      <c r="D100" s="130"/>
      <c r="E100" s="130"/>
      <c r="F100" s="130"/>
      <c r="G100" s="130"/>
    </row>
    <row r="101" spans="1:7" ht="15">
      <c r="A101" s="300"/>
      <c r="B101" s="130"/>
      <c r="C101" s="130"/>
      <c r="D101" s="130"/>
      <c r="E101" s="130"/>
      <c r="F101" s="130"/>
      <c r="G101" s="130"/>
    </row>
    <row r="102" spans="1:7" ht="15">
      <c r="A102" s="300"/>
      <c r="B102" s="130"/>
      <c r="C102" s="130"/>
      <c r="D102" s="130"/>
      <c r="E102" s="130"/>
      <c r="F102" s="130"/>
      <c r="G102" s="130"/>
    </row>
    <row r="103" spans="1:7" ht="15">
      <c r="A103" s="300"/>
      <c r="B103" s="130"/>
      <c r="C103" s="130"/>
      <c r="D103" s="130"/>
      <c r="E103" s="130"/>
      <c r="F103" s="130"/>
      <c r="G103" s="130"/>
    </row>
    <row r="104" spans="1:7" ht="15">
      <c r="A104" s="300"/>
      <c r="B104" s="130"/>
      <c r="C104" s="130"/>
      <c r="D104" s="130"/>
      <c r="E104" s="130"/>
      <c r="F104" s="130"/>
      <c r="G104" s="130"/>
    </row>
    <row r="105" spans="1:7" ht="15">
      <c r="A105" s="300"/>
      <c r="B105" s="130"/>
      <c r="C105" s="130"/>
      <c r="D105" s="130"/>
      <c r="E105" s="130"/>
      <c r="F105" s="130"/>
      <c r="G105" s="130"/>
    </row>
    <row r="106" spans="1:7" ht="15">
      <c r="A106" s="300"/>
      <c r="B106" s="130"/>
      <c r="C106" s="130"/>
      <c r="D106" s="130"/>
      <c r="E106" s="130"/>
      <c r="F106" s="130"/>
      <c r="G106" s="130"/>
    </row>
    <row r="107" spans="1:7" ht="15">
      <c r="A107" s="300"/>
      <c r="B107" s="130"/>
      <c r="C107" s="130"/>
      <c r="D107" s="130"/>
      <c r="E107" s="130"/>
      <c r="F107" s="130"/>
      <c r="G107" s="130"/>
    </row>
    <row r="108" spans="1:7" ht="15">
      <c r="A108" s="300"/>
      <c r="B108" s="130"/>
      <c r="C108" s="130"/>
      <c r="D108" s="130"/>
      <c r="E108" s="130"/>
      <c r="F108" s="130"/>
      <c r="G108" s="130"/>
    </row>
    <row r="109" spans="1:7" ht="15">
      <c r="A109" s="300"/>
      <c r="B109" s="130"/>
      <c r="C109" s="130"/>
      <c r="D109" s="130"/>
      <c r="E109" s="130"/>
      <c r="F109" s="130"/>
      <c r="G109" s="130"/>
    </row>
    <row r="110" spans="1:7" ht="15">
      <c r="A110" s="300"/>
      <c r="B110" s="130"/>
      <c r="C110" s="130"/>
      <c r="D110" s="130"/>
      <c r="E110" s="130"/>
      <c r="F110" s="130"/>
      <c r="G110" s="130"/>
    </row>
    <row r="111" spans="1:7" ht="15">
      <c r="A111" s="300"/>
      <c r="B111" s="130"/>
      <c r="C111" s="130"/>
      <c r="D111" s="130"/>
      <c r="E111" s="130"/>
      <c r="F111" s="130"/>
      <c r="G111" s="130"/>
    </row>
    <row r="112" spans="1:7" ht="15">
      <c r="A112" s="300"/>
      <c r="B112" s="130"/>
      <c r="C112" s="130"/>
      <c r="D112" s="130"/>
      <c r="E112" s="130"/>
      <c r="F112" s="130"/>
      <c r="G112" s="130"/>
    </row>
    <row r="113" spans="1:7" ht="15">
      <c r="A113" s="300"/>
      <c r="B113" s="130"/>
      <c r="C113" s="130"/>
      <c r="D113" s="130"/>
      <c r="E113" s="130"/>
      <c r="F113" s="130"/>
      <c r="G113" s="130"/>
    </row>
    <row r="114" spans="1:7" ht="15">
      <c r="A114" s="300"/>
      <c r="B114" s="130"/>
      <c r="C114" s="130"/>
      <c r="D114" s="130"/>
      <c r="E114" s="130"/>
      <c r="F114" s="130"/>
      <c r="G114" s="130"/>
    </row>
    <row r="115" spans="1:7" ht="15">
      <c r="A115" s="300"/>
      <c r="B115" s="130"/>
      <c r="C115" s="130"/>
      <c r="D115" s="130"/>
      <c r="E115" s="130"/>
      <c r="F115" s="130"/>
      <c r="G115" s="130"/>
    </row>
    <row r="116" spans="1:7" ht="15">
      <c r="A116" s="300"/>
      <c r="B116" s="130"/>
      <c r="C116" s="130"/>
      <c r="D116" s="130"/>
      <c r="E116" s="130"/>
      <c r="F116" s="130"/>
      <c r="G116" s="130"/>
    </row>
    <row r="117" spans="1:7" ht="15">
      <c r="A117" s="300"/>
      <c r="B117" s="130"/>
      <c r="C117" s="130"/>
      <c r="D117" s="130"/>
      <c r="E117" s="130"/>
      <c r="F117" s="130"/>
      <c r="G117" s="130"/>
    </row>
    <row r="118" spans="1:7" ht="15">
      <c r="A118" s="300"/>
      <c r="B118" s="130"/>
      <c r="C118" s="130"/>
      <c r="D118" s="130"/>
      <c r="E118" s="130"/>
      <c r="F118" s="130"/>
      <c r="G118" s="130"/>
    </row>
    <row r="119" spans="1:7" ht="15">
      <c r="A119" s="300"/>
      <c r="B119" s="130"/>
      <c r="C119" s="130"/>
      <c r="D119" s="130"/>
      <c r="E119" s="130"/>
      <c r="F119" s="130"/>
      <c r="G119" s="130"/>
    </row>
    <row r="120" spans="1:7" ht="15">
      <c r="A120" s="300"/>
      <c r="B120" s="130"/>
      <c r="C120" s="130"/>
      <c r="D120" s="130"/>
      <c r="E120" s="130"/>
      <c r="F120" s="130"/>
      <c r="G120" s="130"/>
    </row>
    <row r="121" spans="1:7" ht="15">
      <c r="A121" s="300"/>
      <c r="B121" s="130"/>
      <c r="C121" s="130"/>
      <c r="D121" s="130"/>
      <c r="E121" s="130"/>
      <c r="F121" s="130"/>
      <c r="G121" s="130"/>
    </row>
    <row r="122" spans="1:7" ht="15">
      <c r="A122" s="300"/>
      <c r="B122" s="130"/>
      <c r="C122" s="130"/>
      <c r="D122" s="130"/>
      <c r="E122" s="130"/>
      <c r="F122" s="130"/>
      <c r="G122" s="130"/>
    </row>
    <row r="123" spans="1:7" ht="15">
      <c r="A123" s="300"/>
      <c r="B123" s="130"/>
      <c r="C123" s="130"/>
      <c r="D123" s="130"/>
      <c r="E123" s="130"/>
      <c r="F123" s="130"/>
      <c r="G123" s="130"/>
    </row>
    <row r="124" spans="1:7" ht="15">
      <c r="A124" s="300"/>
      <c r="B124" s="130"/>
      <c r="C124" s="130"/>
      <c r="D124" s="130"/>
      <c r="E124" s="130"/>
      <c r="F124" s="130"/>
      <c r="G124" s="130"/>
    </row>
    <row r="125" spans="1:7" ht="15">
      <c r="A125" s="300"/>
      <c r="B125" s="130"/>
      <c r="C125" s="130"/>
      <c r="D125" s="130"/>
      <c r="E125" s="130"/>
      <c r="F125" s="130"/>
      <c r="G125" s="130"/>
    </row>
    <row r="126" spans="1:7" ht="15">
      <c r="A126" s="300"/>
      <c r="B126" s="130"/>
      <c r="C126" s="130"/>
      <c r="D126" s="130"/>
      <c r="E126" s="130"/>
      <c r="F126" s="130"/>
      <c r="G126" s="130"/>
    </row>
    <row r="127" spans="1:7" ht="15">
      <c r="A127" s="300"/>
      <c r="B127" s="130"/>
      <c r="C127" s="130"/>
      <c r="D127" s="130"/>
      <c r="E127" s="130"/>
      <c r="F127" s="130"/>
      <c r="G127" s="130"/>
    </row>
    <row r="128" spans="1:7" ht="15">
      <c r="A128" s="300"/>
      <c r="B128" s="130"/>
      <c r="C128" s="130"/>
      <c r="D128" s="130"/>
      <c r="E128" s="130"/>
      <c r="F128" s="130"/>
      <c r="G128" s="130"/>
    </row>
    <row r="129" spans="1:7" ht="15">
      <c r="A129" s="300"/>
      <c r="B129" s="130"/>
      <c r="C129" s="130"/>
      <c r="D129" s="130"/>
      <c r="E129" s="130"/>
      <c r="F129" s="130"/>
      <c r="G129" s="130"/>
    </row>
    <row r="130" spans="1:7" ht="15">
      <c r="A130" s="300"/>
      <c r="B130" s="130"/>
      <c r="C130" s="130"/>
      <c r="D130" s="130"/>
      <c r="E130" s="130"/>
      <c r="F130" s="130"/>
      <c r="G130" s="130"/>
    </row>
    <row r="131" spans="1:7" ht="15">
      <c r="A131" s="300"/>
      <c r="B131" s="130"/>
      <c r="C131" s="130"/>
      <c r="D131" s="130"/>
      <c r="E131" s="130"/>
      <c r="F131" s="130"/>
      <c r="G131" s="130"/>
    </row>
    <row r="132" spans="1:7" ht="15">
      <c r="A132" s="300"/>
      <c r="B132" s="130"/>
      <c r="C132" s="130"/>
      <c r="D132" s="130"/>
      <c r="E132" s="130"/>
      <c r="F132" s="130"/>
      <c r="G132" s="130"/>
    </row>
    <row r="133" spans="1:7" ht="15">
      <c r="A133" s="300"/>
      <c r="B133" s="130"/>
      <c r="C133" s="130"/>
      <c r="D133" s="130"/>
      <c r="E133" s="130"/>
      <c r="F133" s="130"/>
      <c r="G133" s="130"/>
    </row>
    <row r="134" spans="1:7" ht="15">
      <c r="A134" s="300"/>
      <c r="B134" s="130"/>
      <c r="C134" s="130"/>
      <c r="D134" s="130"/>
      <c r="E134" s="130"/>
      <c r="F134" s="130"/>
      <c r="G134" s="130"/>
    </row>
    <row r="135" spans="1:7" ht="15">
      <c r="A135" s="300"/>
      <c r="B135" s="130"/>
      <c r="C135" s="130"/>
      <c r="D135" s="130"/>
      <c r="E135" s="130"/>
      <c r="F135" s="130"/>
      <c r="G135" s="130"/>
    </row>
    <row r="136" spans="1:7" ht="15">
      <c r="A136" s="300"/>
      <c r="B136" s="130"/>
      <c r="C136" s="130"/>
      <c r="D136" s="130"/>
      <c r="E136" s="130"/>
      <c r="F136" s="130"/>
      <c r="G136" s="130"/>
    </row>
    <row r="137" spans="1:7" ht="15">
      <c r="A137" s="300"/>
      <c r="B137" s="130"/>
      <c r="C137" s="130"/>
      <c r="D137" s="130"/>
      <c r="E137" s="130"/>
      <c r="F137" s="130"/>
      <c r="G137" s="130"/>
    </row>
    <row r="138" spans="1:7" ht="15">
      <c r="A138" s="300"/>
      <c r="B138" s="130"/>
      <c r="C138" s="130"/>
      <c r="D138" s="130"/>
      <c r="E138" s="130"/>
      <c r="F138" s="130"/>
      <c r="G138" s="130"/>
    </row>
    <row r="139" spans="1:7" ht="15">
      <c r="A139" s="300"/>
      <c r="B139" s="130"/>
      <c r="C139" s="130"/>
      <c r="D139" s="130"/>
      <c r="E139" s="130"/>
      <c r="F139" s="130"/>
      <c r="G139" s="130"/>
    </row>
    <row r="140" spans="1:7" ht="15">
      <c r="A140" s="300"/>
      <c r="B140" s="130"/>
      <c r="C140" s="130"/>
      <c r="D140" s="130"/>
      <c r="E140" s="130"/>
      <c r="F140" s="130"/>
      <c r="G140" s="130"/>
    </row>
    <row r="141" spans="1:7" ht="15">
      <c r="A141" s="300"/>
      <c r="B141" s="130"/>
      <c r="C141" s="130"/>
      <c r="D141" s="130"/>
      <c r="E141" s="130"/>
      <c r="F141" s="130"/>
      <c r="G141" s="130"/>
    </row>
    <row r="142" spans="1:7" ht="15">
      <c r="A142" s="300"/>
      <c r="B142" s="130"/>
      <c r="C142" s="130"/>
      <c r="D142" s="130"/>
      <c r="E142" s="130"/>
      <c r="F142" s="130"/>
      <c r="G142" s="130"/>
    </row>
    <row r="143" spans="1:7" ht="15">
      <c r="A143" s="300"/>
      <c r="B143" s="130"/>
      <c r="C143" s="130"/>
      <c r="D143" s="130"/>
      <c r="E143" s="130"/>
      <c r="F143" s="130"/>
      <c r="G143" s="130"/>
    </row>
    <row r="144" spans="1:7" ht="15">
      <c r="A144" s="300"/>
      <c r="B144" s="130"/>
      <c r="C144" s="130"/>
      <c r="D144" s="130"/>
      <c r="E144" s="130"/>
      <c r="F144" s="130"/>
      <c r="G144" s="130"/>
    </row>
    <row r="145" spans="1:7" ht="15">
      <c r="A145" s="300"/>
      <c r="B145" s="130"/>
      <c r="C145" s="130"/>
      <c r="D145" s="130"/>
      <c r="E145" s="130"/>
      <c r="F145" s="130"/>
      <c r="G145" s="130"/>
    </row>
    <row r="146" spans="1:7" ht="15">
      <c r="A146" s="300"/>
      <c r="B146" s="130"/>
      <c r="C146" s="130"/>
      <c r="D146" s="130"/>
      <c r="E146" s="130"/>
      <c r="F146" s="130"/>
      <c r="G146" s="130"/>
    </row>
    <row r="147" spans="1:7" ht="15">
      <c r="A147" s="300"/>
      <c r="B147" s="130"/>
      <c r="C147" s="130"/>
      <c r="D147" s="130"/>
      <c r="E147" s="130"/>
      <c r="F147" s="130"/>
      <c r="G147" s="130"/>
    </row>
    <row r="148" spans="1:7" ht="15">
      <c r="A148" s="300"/>
      <c r="B148" s="130"/>
      <c r="C148" s="130"/>
      <c r="D148" s="130"/>
      <c r="E148" s="130"/>
      <c r="F148" s="130"/>
      <c r="G148" s="130"/>
    </row>
    <row r="149" spans="1:7" ht="15">
      <c r="A149" s="300"/>
      <c r="B149" s="130"/>
      <c r="C149" s="130"/>
      <c r="D149" s="130"/>
      <c r="E149" s="130"/>
      <c r="F149" s="130"/>
      <c r="G149" s="130"/>
    </row>
    <row r="150" spans="1:7" ht="15">
      <c r="A150" s="300"/>
      <c r="B150" s="130"/>
      <c r="C150" s="130"/>
      <c r="D150" s="130"/>
      <c r="E150" s="130"/>
      <c r="F150" s="130"/>
      <c r="G150" s="130"/>
    </row>
    <row r="151" spans="1:7" ht="15">
      <c r="A151" s="300"/>
      <c r="B151" s="130"/>
      <c r="C151" s="130"/>
      <c r="D151" s="130"/>
      <c r="E151" s="130"/>
      <c r="F151" s="130"/>
      <c r="G151" s="130"/>
    </row>
    <row r="152" spans="1:7" ht="15">
      <c r="A152" s="300"/>
      <c r="B152" s="130"/>
      <c r="C152" s="130"/>
      <c r="D152" s="130"/>
      <c r="E152" s="130"/>
      <c r="F152" s="130"/>
      <c r="G152" s="130"/>
    </row>
    <row r="153" spans="1:7" ht="15">
      <c r="A153" s="300"/>
      <c r="B153" s="130"/>
      <c r="C153" s="130"/>
      <c r="D153" s="130"/>
      <c r="E153" s="130"/>
      <c r="F153" s="130"/>
      <c r="G153" s="130"/>
    </row>
    <row r="154" spans="1:7" ht="15">
      <c r="A154" s="300"/>
      <c r="B154" s="130"/>
      <c r="C154" s="130"/>
      <c r="D154" s="130"/>
      <c r="E154" s="130"/>
      <c r="F154" s="130"/>
      <c r="G154" s="130"/>
    </row>
    <row r="155" spans="1:7" ht="15">
      <c r="A155" s="300"/>
      <c r="B155" s="130"/>
      <c r="C155" s="130"/>
      <c r="D155" s="130"/>
      <c r="E155" s="130"/>
      <c r="F155" s="130"/>
      <c r="G155" s="130"/>
    </row>
    <row r="156" spans="1:7" ht="15">
      <c r="A156" s="300"/>
      <c r="B156" s="130"/>
      <c r="C156" s="130"/>
      <c r="D156" s="130"/>
      <c r="E156" s="130"/>
      <c r="F156" s="130"/>
      <c r="G156" s="130"/>
    </row>
    <row r="157" spans="1:7" ht="15">
      <c r="A157" s="300"/>
      <c r="B157" s="130"/>
      <c r="C157" s="130"/>
      <c r="D157" s="130"/>
      <c r="E157" s="130"/>
      <c r="F157" s="130"/>
      <c r="G157" s="130"/>
    </row>
    <row r="158" spans="1:7" ht="15">
      <c r="A158" s="300"/>
      <c r="B158" s="130"/>
      <c r="C158" s="130"/>
      <c r="D158" s="130"/>
      <c r="E158" s="130"/>
      <c r="F158" s="130"/>
      <c r="G158" s="130"/>
    </row>
    <row r="159" spans="1:7" ht="15">
      <c r="A159" s="300"/>
      <c r="B159" s="130"/>
      <c r="C159" s="130"/>
      <c r="D159" s="130"/>
      <c r="E159" s="130"/>
      <c r="F159" s="130"/>
      <c r="G159" s="130"/>
    </row>
    <row r="160" spans="1:7" ht="15">
      <c r="A160" s="300"/>
      <c r="B160" s="130"/>
      <c r="C160" s="130"/>
      <c r="D160" s="130"/>
      <c r="E160" s="130"/>
      <c r="F160" s="130"/>
      <c r="G160" s="130"/>
    </row>
    <row r="161" spans="1:7" ht="15">
      <c r="A161" s="300"/>
      <c r="B161" s="130"/>
      <c r="C161" s="130"/>
      <c r="D161" s="130"/>
      <c r="E161" s="130"/>
      <c r="F161" s="130"/>
      <c r="G161" s="130"/>
    </row>
    <row r="162" spans="1:7" ht="15">
      <c r="A162" s="300"/>
      <c r="B162" s="130"/>
      <c r="C162" s="130"/>
      <c r="D162" s="130"/>
      <c r="E162" s="130"/>
      <c r="F162" s="130"/>
      <c r="G162" s="130"/>
    </row>
    <row r="163" spans="1:7" ht="15">
      <c r="A163" s="300"/>
      <c r="B163" s="130"/>
      <c r="C163" s="130"/>
      <c r="D163" s="130"/>
      <c r="E163" s="130"/>
      <c r="F163" s="130"/>
      <c r="G163" s="130"/>
    </row>
    <row r="164" spans="1:7" ht="15">
      <c r="A164" s="300"/>
      <c r="B164" s="130"/>
      <c r="C164" s="130"/>
      <c r="D164" s="130"/>
      <c r="E164" s="130"/>
      <c r="F164" s="130"/>
      <c r="G164" s="130"/>
    </row>
    <row r="165" spans="1:7" ht="15">
      <c r="A165" s="300"/>
      <c r="B165" s="130"/>
      <c r="C165" s="130"/>
      <c r="D165" s="130"/>
      <c r="E165" s="130"/>
      <c r="F165" s="130"/>
      <c r="G165" s="130"/>
    </row>
    <row r="166" spans="1:7" ht="15">
      <c r="A166" s="300"/>
      <c r="B166" s="130"/>
      <c r="C166" s="130"/>
      <c r="D166" s="130"/>
      <c r="E166" s="130"/>
      <c r="F166" s="130"/>
      <c r="G166" s="130"/>
    </row>
  </sheetData>
  <pageMargins left="0.25" right="0.25"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O54"/>
  <sheetViews>
    <sheetView workbookViewId="0">
      <selection activeCell="K35" sqref="K35"/>
    </sheetView>
  </sheetViews>
  <sheetFormatPr baseColWidth="10" defaultColWidth="11.42578125" defaultRowHeight="12.75"/>
  <cols>
    <col min="1" max="1" width="35.42578125" style="12" customWidth="1"/>
    <col min="2" max="10" width="6" style="12" customWidth="1"/>
    <col min="11" max="16384" width="11.42578125" style="12"/>
  </cols>
  <sheetData>
    <row r="1" spans="1:15" s="14" customFormat="1" ht="15">
      <c r="A1" s="77" t="s">
        <v>56</v>
      </c>
      <c r="B1" s="57"/>
      <c r="C1" s="57"/>
      <c r="D1" s="57"/>
      <c r="E1" s="57"/>
      <c r="F1" s="57"/>
      <c r="G1" s="57"/>
      <c r="H1" s="57"/>
      <c r="I1" s="57"/>
      <c r="J1" s="57"/>
      <c r="K1" s="57"/>
      <c r="L1" s="57"/>
      <c r="M1" s="57"/>
      <c r="N1" s="57"/>
    </row>
    <row r="2" spans="1:15" s="15" customFormat="1" ht="15">
      <c r="A2" s="68" t="s">
        <v>39</v>
      </c>
      <c r="B2" s="53"/>
      <c r="C2" s="53"/>
      <c r="D2" s="53"/>
      <c r="E2" s="53"/>
      <c r="F2" s="53"/>
      <c r="G2" s="53"/>
      <c r="H2" s="53"/>
      <c r="I2" s="53"/>
      <c r="J2" s="53"/>
      <c r="K2" s="56"/>
      <c r="L2" s="56"/>
      <c r="M2" s="56"/>
      <c r="N2" s="56"/>
    </row>
    <row r="3" spans="1:15" s="24" customFormat="1" ht="15">
      <c r="A3" s="103"/>
      <c r="B3" s="53"/>
      <c r="C3" s="53"/>
      <c r="D3" s="53"/>
      <c r="E3" s="53"/>
      <c r="F3" s="53"/>
      <c r="G3" s="53"/>
      <c r="H3" s="53"/>
      <c r="I3" s="53"/>
      <c r="J3" s="53"/>
      <c r="K3" s="56"/>
      <c r="L3" s="56"/>
      <c r="M3" s="56"/>
      <c r="N3" s="56"/>
    </row>
    <row r="4" spans="1:15" s="111" customFormat="1" ht="37.5" customHeight="1">
      <c r="A4" s="313"/>
      <c r="B4" s="313">
        <v>2000</v>
      </c>
      <c r="C4" s="314">
        <v>2001</v>
      </c>
      <c r="D4" s="314">
        <v>2002</v>
      </c>
      <c r="E4" s="314">
        <v>2003</v>
      </c>
      <c r="F4" s="314">
        <v>2004</v>
      </c>
      <c r="G4" s="314">
        <v>2005</v>
      </c>
      <c r="H4" s="314">
        <v>2006</v>
      </c>
      <c r="I4" s="314">
        <v>2007</v>
      </c>
      <c r="J4" s="314">
        <v>2008</v>
      </c>
      <c r="K4" s="315"/>
      <c r="L4" s="315"/>
      <c r="M4" s="315"/>
      <c r="N4" s="112"/>
      <c r="O4" s="110"/>
    </row>
    <row r="5" spans="1:15" s="17" customFormat="1" ht="15">
      <c r="A5" s="73"/>
      <c r="B5" s="73"/>
      <c r="C5" s="73"/>
      <c r="D5" s="73"/>
      <c r="E5" s="73"/>
      <c r="F5" s="73"/>
      <c r="G5" s="73"/>
      <c r="H5" s="73"/>
      <c r="I5" s="73"/>
      <c r="J5" s="73"/>
      <c r="K5" s="56"/>
      <c r="L5" s="56"/>
      <c r="M5" s="56"/>
      <c r="N5" s="56"/>
    </row>
    <row r="6" spans="1:15" ht="15">
      <c r="A6" s="182" t="s">
        <v>57</v>
      </c>
      <c r="B6" s="79"/>
      <c r="C6" s="79"/>
      <c r="D6" s="79"/>
      <c r="E6" s="79"/>
      <c r="F6" s="79"/>
      <c r="G6" s="79"/>
      <c r="H6" s="114"/>
      <c r="I6" s="114"/>
      <c r="J6" s="114"/>
      <c r="K6" s="46"/>
      <c r="L6" s="46"/>
      <c r="M6" s="316"/>
      <c r="N6" s="316"/>
    </row>
    <row r="7" spans="1:15" ht="15">
      <c r="A7" s="76" t="s">
        <v>58</v>
      </c>
      <c r="B7" s="74">
        <v>4.8860000000000001</v>
      </c>
      <c r="C7" s="74">
        <v>5.87</v>
      </c>
      <c r="D7" s="74">
        <v>5.661092</v>
      </c>
      <c r="E7" s="74">
        <v>5.3710000000000004</v>
      </c>
      <c r="F7" s="74">
        <v>6.4349999999999996</v>
      </c>
      <c r="G7" s="74">
        <v>6.4859999999999998</v>
      </c>
      <c r="H7" s="74">
        <v>6.8485959999999997</v>
      </c>
      <c r="I7" s="74">
        <v>7.0510950000000001</v>
      </c>
      <c r="J7" s="74">
        <v>7.1790000000000003</v>
      </c>
      <c r="K7" s="45"/>
      <c r="L7" s="45"/>
    </row>
    <row r="8" spans="1:15" ht="15">
      <c r="A8" s="76" t="s">
        <v>59</v>
      </c>
      <c r="B8" s="74">
        <v>105.01600000000001</v>
      </c>
      <c r="C8" s="74">
        <v>269.84500000000003</v>
      </c>
      <c r="D8" s="74">
        <v>119.42100000000001</v>
      </c>
      <c r="E8" s="74">
        <v>112.63200000000001</v>
      </c>
      <c r="F8" s="74">
        <v>115.14100000000001</v>
      </c>
      <c r="G8" s="74">
        <v>185.09100000000001</v>
      </c>
      <c r="H8" s="74">
        <v>121.24</v>
      </c>
      <c r="I8" s="74">
        <v>124.91800000000001</v>
      </c>
      <c r="J8" s="74">
        <v>130.11600000000001</v>
      </c>
      <c r="K8" s="45"/>
      <c r="L8" s="45"/>
    </row>
    <row r="9" spans="1:15" ht="15">
      <c r="A9" s="76" t="s">
        <v>60</v>
      </c>
      <c r="B9" s="74">
        <v>5.1609999999999996</v>
      </c>
      <c r="C9" s="74">
        <v>5.4560000000000004</v>
      </c>
      <c r="D9" s="74">
        <v>5.6050000000000004</v>
      </c>
      <c r="E9" s="74">
        <v>6.6840000000000002</v>
      </c>
      <c r="F9" s="74">
        <v>7.3730000000000002</v>
      </c>
      <c r="G9" s="74">
        <v>7.5659999999999998</v>
      </c>
      <c r="H9" s="74">
        <v>7.7738969999999998</v>
      </c>
      <c r="I9" s="74">
        <v>7.9973640000000001</v>
      </c>
      <c r="J9" s="74">
        <v>8.7469999999999999</v>
      </c>
      <c r="K9" s="45"/>
      <c r="L9" s="45"/>
    </row>
    <row r="10" spans="1:15" ht="15">
      <c r="A10" s="76" t="s">
        <v>61</v>
      </c>
      <c r="B10" s="74">
        <v>10.981999999999999</v>
      </c>
      <c r="C10" s="74">
        <v>11.169</v>
      </c>
      <c r="D10" s="74">
        <v>11.308999999999999</v>
      </c>
      <c r="E10" s="74">
        <v>11.56</v>
      </c>
      <c r="F10" s="74">
        <v>11.856999999999999</v>
      </c>
      <c r="G10" s="74">
        <v>12.212</v>
      </c>
      <c r="H10" s="74">
        <v>12.743981</v>
      </c>
      <c r="I10" s="74">
        <v>13.025746</v>
      </c>
      <c r="J10" s="74">
        <v>14.3</v>
      </c>
      <c r="K10" s="45"/>
      <c r="L10" s="45"/>
    </row>
    <row r="11" spans="1:15" ht="15">
      <c r="A11" s="76" t="s">
        <v>62</v>
      </c>
      <c r="B11" s="74">
        <v>3.847</v>
      </c>
      <c r="C11" s="74">
        <v>4.0289999999999999</v>
      </c>
      <c r="D11" s="74">
        <v>4.3330000000000002</v>
      </c>
      <c r="E11" s="74">
        <v>4.4779999999999998</v>
      </c>
      <c r="F11" s="74">
        <v>4.5570000000000004</v>
      </c>
      <c r="G11" s="74">
        <v>4.7530000000000001</v>
      </c>
      <c r="H11" s="74">
        <v>4.9829429999999997</v>
      </c>
      <c r="I11" s="74">
        <v>5.1891049999999996</v>
      </c>
      <c r="J11" s="74">
        <v>6.1070000000000002</v>
      </c>
      <c r="K11" s="45"/>
      <c r="L11" s="45"/>
    </row>
    <row r="12" spans="1:15" ht="15">
      <c r="A12" s="76" t="s">
        <v>63</v>
      </c>
      <c r="B12" s="74">
        <v>21.765999999999998</v>
      </c>
      <c r="C12" s="74">
        <v>22.352</v>
      </c>
      <c r="D12" s="74">
        <v>22.995000000000001</v>
      </c>
      <c r="E12" s="74">
        <v>22.943000000000001</v>
      </c>
      <c r="F12" s="74">
        <v>22.724</v>
      </c>
      <c r="G12" s="74">
        <v>23.443000000000001</v>
      </c>
      <c r="H12" s="74">
        <v>23.316040999999998</v>
      </c>
      <c r="I12" s="74">
        <v>24.560192000000001</v>
      </c>
      <c r="J12" s="74">
        <v>27.303999999999998</v>
      </c>
      <c r="K12" s="45"/>
      <c r="L12" s="45"/>
    </row>
    <row r="13" spans="1:15" ht="15">
      <c r="A13" s="76" t="s">
        <v>64</v>
      </c>
      <c r="B13" s="74">
        <v>316.49</v>
      </c>
      <c r="C13" s="74">
        <v>566.92899999999997</v>
      </c>
      <c r="D13" s="74">
        <v>308.81900000000002</v>
      </c>
      <c r="E13" s="74">
        <v>396.26100000000002</v>
      </c>
      <c r="F13" s="74">
        <v>434.12400000000002</v>
      </c>
      <c r="G13" s="74">
        <v>425.60899999999998</v>
      </c>
      <c r="H13" s="74">
        <v>440.47805399999999</v>
      </c>
      <c r="I13" s="74">
        <v>464.34767199999999</v>
      </c>
      <c r="J13" s="74">
        <v>479.87099999999998</v>
      </c>
      <c r="K13" s="45"/>
      <c r="L13" s="45"/>
    </row>
    <row r="14" spans="1:15" ht="15">
      <c r="A14" s="76" t="s">
        <v>65</v>
      </c>
      <c r="B14" s="74">
        <v>1668.934</v>
      </c>
      <c r="C14" s="74">
        <v>1671.307</v>
      </c>
      <c r="D14" s="74">
        <v>1695.8779999999999</v>
      </c>
      <c r="E14" s="74">
        <v>1728.3789999999999</v>
      </c>
      <c r="F14" s="74">
        <v>1831.396</v>
      </c>
      <c r="G14" s="74">
        <v>1985.3119999999999</v>
      </c>
      <c r="H14" s="74">
        <v>2159.4881099999998</v>
      </c>
      <c r="I14" s="74">
        <v>2144.1379499999998</v>
      </c>
      <c r="J14" s="74">
        <v>2235.16</v>
      </c>
      <c r="K14" s="45"/>
      <c r="L14" s="45"/>
    </row>
    <row r="15" spans="1:15" ht="15">
      <c r="A15" s="76" t="s">
        <v>66</v>
      </c>
      <c r="B15" s="74">
        <v>5533.1530000000002</v>
      </c>
      <c r="C15" s="74">
        <v>5733.0330000000004</v>
      </c>
      <c r="D15" s="74">
        <v>5769.2969999999996</v>
      </c>
      <c r="E15" s="74">
        <v>5870.0619999999999</v>
      </c>
      <c r="F15" s="74">
        <v>5901.9520000000002</v>
      </c>
      <c r="G15" s="74">
        <v>6187.1480000000001</v>
      </c>
      <c r="H15" s="74">
        <v>6400.5812320000005</v>
      </c>
      <c r="I15" s="74">
        <v>6620.8641779999998</v>
      </c>
      <c r="J15" s="74">
        <v>6968.6819999999998</v>
      </c>
      <c r="K15" s="45"/>
      <c r="L15" s="45"/>
    </row>
    <row r="16" spans="1:15" ht="15">
      <c r="A16" s="76" t="s">
        <v>67</v>
      </c>
      <c r="B16" s="74">
        <v>215.90799999999999</v>
      </c>
      <c r="C16" s="74">
        <v>246.34399999999999</v>
      </c>
      <c r="D16" s="74">
        <v>218.17400000000001</v>
      </c>
      <c r="E16" s="74">
        <v>217.20099999999999</v>
      </c>
      <c r="F16" s="74">
        <v>217.71299999999999</v>
      </c>
      <c r="G16" s="74">
        <v>224.62700000000001</v>
      </c>
      <c r="H16" s="74">
        <v>227.022053</v>
      </c>
      <c r="I16" s="74">
        <v>226.67014699999999</v>
      </c>
      <c r="J16" s="74">
        <v>239.86699999999999</v>
      </c>
      <c r="K16" s="45"/>
      <c r="L16" s="45"/>
    </row>
    <row r="17" spans="1:12" ht="15">
      <c r="A17" s="76" t="s">
        <v>68</v>
      </c>
      <c r="B17" s="74">
        <v>2244.366</v>
      </c>
      <c r="C17" s="74">
        <v>2386.5010000000002</v>
      </c>
      <c r="D17" s="74">
        <v>2529.2629999999999</v>
      </c>
      <c r="E17" s="74">
        <v>2506.1770000000001</v>
      </c>
      <c r="F17" s="74">
        <v>3228.453</v>
      </c>
      <c r="G17" s="74">
        <v>3259.3159999999998</v>
      </c>
      <c r="H17" s="74">
        <v>3324.5640100000001</v>
      </c>
      <c r="I17" s="74">
        <v>3515.4352140000001</v>
      </c>
      <c r="J17" s="74">
        <v>3664.7040000000002</v>
      </c>
      <c r="K17" s="45"/>
      <c r="L17" s="45"/>
    </row>
    <row r="18" spans="1:12" ht="15">
      <c r="A18" s="76" t="s">
        <v>69</v>
      </c>
      <c r="B18" s="74">
        <v>2822.7179999999998</v>
      </c>
      <c r="C18" s="74">
        <v>1852.9290000000001</v>
      </c>
      <c r="D18" s="74">
        <v>1880.8420000000001</v>
      </c>
      <c r="E18" s="74">
        <v>1871.7829999999999</v>
      </c>
      <c r="F18" s="74">
        <v>1840.0139999999999</v>
      </c>
      <c r="G18" s="74">
        <v>1899.5250000000001</v>
      </c>
      <c r="H18" s="74">
        <v>1940.6776480000001</v>
      </c>
      <c r="I18" s="74">
        <v>2007.966921</v>
      </c>
      <c r="J18" s="74">
        <v>2112.5500000000002</v>
      </c>
      <c r="K18" s="45"/>
      <c r="L18" s="45"/>
    </row>
    <row r="19" spans="1:12" ht="15">
      <c r="A19" s="76" t="s">
        <v>70</v>
      </c>
      <c r="B19" s="74">
        <v>4997.2719999999999</v>
      </c>
      <c r="C19" s="74">
        <v>5398.9530000000004</v>
      </c>
      <c r="D19" s="74">
        <v>5944.1620000000003</v>
      </c>
      <c r="E19" s="74">
        <v>6978.1239999999998</v>
      </c>
      <c r="F19" s="74">
        <v>6717.9520000000002</v>
      </c>
      <c r="G19" s="74">
        <v>6937.0879999999997</v>
      </c>
      <c r="H19" s="74">
        <v>7354.2092739999998</v>
      </c>
      <c r="I19" s="74">
        <v>7317.1192460000002</v>
      </c>
      <c r="J19" s="74">
        <v>7669.6220000000003</v>
      </c>
      <c r="K19" s="45"/>
      <c r="L19" s="45"/>
    </row>
    <row r="20" spans="1:12" ht="15">
      <c r="A20" s="76" t="s">
        <v>71</v>
      </c>
      <c r="B20" s="74">
        <v>626.74900000000002</v>
      </c>
      <c r="C20" s="74">
        <v>507.20299999999997</v>
      </c>
      <c r="D20" s="74">
        <v>520.12400000000002</v>
      </c>
      <c r="E20" s="74">
        <v>571.87</v>
      </c>
      <c r="F20" s="74">
        <v>602.48299999999995</v>
      </c>
      <c r="G20" s="74">
        <v>620.04600000000005</v>
      </c>
      <c r="H20" s="74">
        <v>635.92711999999995</v>
      </c>
      <c r="I20" s="74">
        <v>651.38664700000004</v>
      </c>
      <c r="J20" s="74">
        <v>790.27200000000005</v>
      </c>
      <c r="K20" s="45"/>
      <c r="L20" s="45"/>
    </row>
    <row r="21" spans="1:12" ht="15">
      <c r="A21" s="115" t="s">
        <v>72</v>
      </c>
      <c r="B21" s="74">
        <v>25.992456559813373</v>
      </c>
      <c r="C21" s="317" t="s">
        <v>73</v>
      </c>
      <c r="D21" s="317" t="s">
        <v>73</v>
      </c>
      <c r="E21" s="317" t="s">
        <v>73</v>
      </c>
      <c r="F21" s="317" t="s">
        <v>73</v>
      </c>
      <c r="G21" s="317" t="s">
        <v>73</v>
      </c>
      <c r="H21" s="317" t="s">
        <v>73</v>
      </c>
      <c r="I21" s="317" t="s">
        <v>73</v>
      </c>
      <c r="J21" s="317" t="s">
        <v>73</v>
      </c>
      <c r="K21" s="45"/>
      <c r="L21" s="45"/>
    </row>
    <row r="22" spans="1:12" ht="15">
      <c r="A22" s="76" t="s">
        <v>74</v>
      </c>
      <c r="B22" s="74">
        <v>4322.1390000000001</v>
      </c>
      <c r="C22" s="74">
        <v>4493.6149999999998</v>
      </c>
      <c r="D22" s="74">
        <v>4531.8919999999998</v>
      </c>
      <c r="E22" s="74">
        <v>4959.5159999999996</v>
      </c>
      <c r="F22" s="74">
        <v>5476.6480000000001</v>
      </c>
      <c r="G22" s="74">
        <v>6099.6369999999997</v>
      </c>
      <c r="H22" s="74">
        <v>5891.7094539999998</v>
      </c>
      <c r="I22" s="74">
        <v>5890.8044120000004</v>
      </c>
      <c r="J22" s="74">
        <v>6512.7430000000004</v>
      </c>
      <c r="K22" s="45"/>
      <c r="L22" s="45"/>
    </row>
    <row r="23" spans="1:12" ht="15">
      <c r="A23" s="76" t="s">
        <v>75</v>
      </c>
      <c r="B23" s="74">
        <v>326.92500000000001</v>
      </c>
      <c r="C23" s="74">
        <v>328.74</v>
      </c>
      <c r="D23" s="74">
        <v>314.334</v>
      </c>
      <c r="E23" s="74">
        <v>308.17899999999997</v>
      </c>
      <c r="F23" s="74">
        <v>342.77100000000002</v>
      </c>
      <c r="G23" s="74">
        <v>378.58600000000001</v>
      </c>
      <c r="H23" s="74">
        <v>397.73746899999998</v>
      </c>
      <c r="I23" s="74">
        <v>410.019293</v>
      </c>
      <c r="J23" s="74">
        <v>415.47500000000002</v>
      </c>
      <c r="K23" s="45"/>
      <c r="L23" s="45"/>
    </row>
    <row r="24" spans="1:12" ht="15">
      <c r="A24" s="76" t="s">
        <v>76</v>
      </c>
      <c r="B24" s="74">
        <v>803.20699999999999</v>
      </c>
      <c r="C24" s="74">
        <v>859.52599999999995</v>
      </c>
      <c r="D24" s="74">
        <v>872.52099999999996</v>
      </c>
      <c r="E24" s="74">
        <v>908.54300000000001</v>
      </c>
      <c r="F24" s="74">
        <v>922.47</v>
      </c>
      <c r="G24" s="74">
        <v>989.06299999999999</v>
      </c>
      <c r="H24" s="74">
        <v>998.660707</v>
      </c>
      <c r="I24" s="74">
        <v>1086.067967</v>
      </c>
      <c r="J24" s="74">
        <v>1116.5509999999999</v>
      </c>
      <c r="K24" s="45"/>
      <c r="L24" s="45"/>
    </row>
    <row r="25" spans="1:12" ht="15">
      <c r="A25" s="76" t="s">
        <v>77</v>
      </c>
      <c r="B25" s="74">
        <v>1733.663</v>
      </c>
      <c r="C25" s="74">
        <v>1665.8630000000001</v>
      </c>
      <c r="D25" s="74">
        <v>1664.452</v>
      </c>
      <c r="E25" s="74">
        <v>1760.4670000000001</v>
      </c>
      <c r="F25" s="74">
        <v>1802.9269999999999</v>
      </c>
      <c r="G25" s="74">
        <v>1796.6569999999999</v>
      </c>
      <c r="H25" s="74">
        <v>1733.1978389999999</v>
      </c>
      <c r="I25" s="74">
        <v>2187.6681279999998</v>
      </c>
      <c r="J25" s="74">
        <v>2171.2939999999999</v>
      </c>
      <c r="K25" s="45"/>
      <c r="L25" s="45"/>
    </row>
    <row r="26" spans="1:12" ht="15">
      <c r="A26" s="76" t="s">
        <v>78</v>
      </c>
      <c r="B26" s="74">
        <v>2213.5659999999998</v>
      </c>
      <c r="C26" s="74">
        <v>2291.13</v>
      </c>
      <c r="D26" s="74">
        <v>2156.5329999999999</v>
      </c>
      <c r="E26" s="74">
        <v>2220.6129999999998</v>
      </c>
      <c r="F26" s="74">
        <v>1853.22</v>
      </c>
      <c r="G26" s="74">
        <v>1796.9960000000001</v>
      </c>
      <c r="H26" s="74">
        <v>1808.8906919999999</v>
      </c>
      <c r="I26" s="74">
        <v>1858.3671489999999</v>
      </c>
      <c r="J26" s="74">
        <v>1936.539</v>
      </c>
      <c r="K26" s="45"/>
      <c r="L26" s="45"/>
    </row>
    <row r="27" spans="1:12" ht="15.75">
      <c r="A27" s="76" t="s">
        <v>182</v>
      </c>
      <c r="B27" s="74">
        <v>1577.53</v>
      </c>
      <c r="C27" s="74">
        <v>2074.0830000000001</v>
      </c>
      <c r="D27" s="74">
        <v>1948.24</v>
      </c>
      <c r="E27" s="74">
        <v>921.351</v>
      </c>
      <c r="F27" s="74">
        <v>1130.258</v>
      </c>
      <c r="G27" s="74">
        <v>1195.222</v>
      </c>
      <c r="H27" s="74">
        <v>1392.851836</v>
      </c>
      <c r="I27" s="74">
        <v>2198.2477789999998</v>
      </c>
      <c r="J27" s="74">
        <v>8191.8410000000003</v>
      </c>
      <c r="K27" s="45"/>
      <c r="L27" s="45"/>
    </row>
    <row r="28" spans="1:12" ht="15">
      <c r="A28" s="76" t="s">
        <v>79</v>
      </c>
      <c r="B28" s="74">
        <v>7.1310000000000002</v>
      </c>
      <c r="C28" s="74">
        <v>6.8579999999999997</v>
      </c>
      <c r="D28" s="74">
        <v>4.9109999999999996</v>
      </c>
      <c r="E28" s="74">
        <v>4.6950000000000003</v>
      </c>
      <c r="F28" s="74">
        <v>1.986</v>
      </c>
      <c r="G28" s="74">
        <v>2.2280000000000002</v>
      </c>
      <c r="H28" s="74">
        <v>2.5552999999999999</v>
      </c>
      <c r="I28" s="74">
        <v>2.7278560000000001</v>
      </c>
      <c r="J28" s="74">
        <v>3.0339999999999998</v>
      </c>
      <c r="K28" s="45"/>
      <c r="L28" s="45"/>
    </row>
    <row r="29" spans="1:12" ht="15">
      <c r="A29" s="76" t="s">
        <v>80</v>
      </c>
      <c r="B29" s="74">
        <v>3279.9690000000001</v>
      </c>
      <c r="C29" s="74">
        <v>3451.8209999999999</v>
      </c>
      <c r="D29" s="74">
        <v>4587.59</v>
      </c>
      <c r="E29" s="74">
        <v>4251.4859999999999</v>
      </c>
      <c r="F29" s="74">
        <v>4000.3209999999999</v>
      </c>
      <c r="G29" s="74">
        <v>4350.7280000000001</v>
      </c>
      <c r="H29" s="74">
        <v>4554.8564939999997</v>
      </c>
      <c r="I29" s="74">
        <v>4762.711088</v>
      </c>
      <c r="J29" s="74">
        <v>3990.951</v>
      </c>
      <c r="K29" s="45"/>
      <c r="L29" s="45"/>
    </row>
    <row r="30" spans="1:12" ht="15">
      <c r="A30" s="76" t="s">
        <v>81</v>
      </c>
      <c r="B30" s="74">
        <v>774.86800000000005</v>
      </c>
      <c r="C30" s="74">
        <v>822.44799999999998</v>
      </c>
      <c r="D30" s="74">
        <v>729.58399999999995</v>
      </c>
      <c r="E30" s="74">
        <v>639.16999999999996</v>
      </c>
      <c r="F30" s="74">
        <v>642.58000000000004</v>
      </c>
      <c r="G30" s="74">
        <v>625.26300000000003</v>
      </c>
      <c r="H30" s="74">
        <v>1282.267883</v>
      </c>
      <c r="I30" s="74">
        <v>782.34033099999999</v>
      </c>
      <c r="J30" s="74">
        <v>2243.84</v>
      </c>
      <c r="K30" s="45"/>
      <c r="L30" s="45"/>
    </row>
    <row r="31" spans="1:12" ht="15">
      <c r="A31" s="76" t="s">
        <v>82</v>
      </c>
      <c r="B31" s="74">
        <v>5739.6130000000003</v>
      </c>
      <c r="C31" s="74">
        <v>5992.0709999999999</v>
      </c>
      <c r="D31" s="74">
        <v>6204.9179999999997</v>
      </c>
      <c r="E31" s="74">
        <v>6534.6139999999996</v>
      </c>
      <c r="F31" s="74">
        <v>6796.9359999999997</v>
      </c>
      <c r="G31" s="74">
        <v>6871.0630000000001</v>
      </c>
      <c r="H31" s="74">
        <v>7039.058</v>
      </c>
      <c r="I31" s="74">
        <v>7174.4795999999997</v>
      </c>
      <c r="J31" s="74">
        <v>7368.9930000000004</v>
      </c>
      <c r="K31" s="45"/>
      <c r="L31" s="45"/>
    </row>
    <row r="32" spans="1:12" ht="15">
      <c r="A32" s="115" t="s">
        <v>83</v>
      </c>
      <c r="B32" s="74">
        <v>562.24486384744523</v>
      </c>
      <c r="C32" s="317" t="s">
        <v>73</v>
      </c>
      <c r="D32" s="317" t="s">
        <v>73</v>
      </c>
      <c r="E32" s="317" t="s">
        <v>73</v>
      </c>
      <c r="F32" s="317" t="s">
        <v>73</v>
      </c>
      <c r="G32" s="317" t="s">
        <v>73</v>
      </c>
      <c r="H32" s="317" t="s">
        <v>73</v>
      </c>
      <c r="I32" s="317" t="s">
        <v>73</v>
      </c>
      <c r="J32" s="317" t="s">
        <v>73</v>
      </c>
      <c r="K32" s="45"/>
      <c r="L32" s="45"/>
    </row>
    <row r="33" spans="1:12" ht="28.5">
      <c r="A33" s="101" t="s">
        <v>181</v>
      </c>
      <c r="B33" s="74">
        <v>8677.61</v>
      </c>
      <c r="C33" s="74">
        <v>8195.3680000000004</v>
      </c>
      <c r="D33" s="74">
        <v>8485.5030000000006</v>
      </c>
      <c r="E33" s="74">
        <v>8343.8790000000008</v>
      </c>
      <c r="F33" s="74">
        <v>8677.3119999999999</v>
      </c>
      <c r="G33" s="74">
        <v>9608.9349999999995</v>
      </c>
      <c r="H33" s="74">
        <v>11608.807546</v>
      </c>
      <c r="I33" s="74">
        <v>11977.083213</v>
      </c>
      <c r="J33" s="74">
        <v>11051.468999999999</v>
      </c>
      <c r="K33" s="45"/>
      <c r="L33" s="45"/>
    </row>
    <row r="34" spans="1:12" ht="15">
      <c r="A34" s="76" t="s">
        <v>85</v>
      </c>
      <c r="B34" s="74">
        <v>1952.0940000000001</v>
      </c>
      <c r="C34" s="74">
        <v>1924.1220000000001</v>
      </c>
      <c r="D34" s="74">
        <v>1993.82</v>
      </c>
      <c r="E34" s="74">
        <v>2023.588</v>
      </c>
      <c r="F34" s="74">
        <v>2075.029</v>
      </c>
      <c r="G34" s="74">
        <v>2293.5100000000002</v>
      </c>
      <c r="H34" s="74">
        <v>2318.8432760000001</v>
      </c>
      <c r="I34" s="74">
        <v>2036.7357050000001</v>
      </c>
      <c r="J34" s="74">
        <v>2180.489</v>
      </c>
      <c r="K34" s="45"/>
      <c r="L34" s="45"/>
    </row>
    <row r="35" spans="1:12" ht="15">
      <c r="A35" s="61" t="s">
        <v>86</v>
      </c>
      <c r="B35" s="74">
        <v>289.017</v>
      </c>
      <c r="C35" s="74">
        <v>370.27300000000002</v>
      </c>
      <c r="D35" s="74">
        <v>409.08499999999998</v>
      </c>
      <c r="E35" s="74">
        <v>508.43099999999998</v>
      </c>
      <c r="F35" s="74">
        <v>503.55200000000002</v>
      </c>
      <c r="G35" s="74">
        <v>492.55</v>
      </c>
      <c r="H35" s="74">
        <v>475.39455900000002</v>
      </c>
      <c r="I35" s="74">
        <v>492.55213900000001</v>
      </c>
      <c r="J35" s="74">
        <v>533.53399999999999</v>
      </c>
      <c r="K35" s="45"/>
      <c r="L35" s="45"/>
    </row>
    <row r="36" spans="1:12" ht="15">
      <c r="A36" s="76" t="s">
        <v>87</v>
      </c>
      <c r="B36" s="74">
        <v>3991.009</v>
      </c>
      <c r="C36" s="74">
        <v>5291.95</v>
      </c>
      <c r="D36" s="74">
        <v>6008.3010000000004</v>
      </c>
      <c r="E36" s="74">
        <v>5348.1109999999999</v>
      </c>
      <c r="F36" s="74">
        <v>5845.5829999999996</v>
      </c>
      <c r="G36" s="74">
        <v>5527.268</v>
      </c>
      <c r="H36" s="74">
        <v>5967.6807129999997</v>
      </c>
      <c r="I36" s="74">
        <v>5753.4812929999998</v>
      </c>
      <c r="J36" s="74">
        <v>5341.7349999999997</v>
      </c>
      <c r="K36" s="45"/>
      <c r="L36" s="45"/>
    </row>
    <row r="37" spans="1:12" ht="15">
      <c r="A37" s="115" t="s">
        <v>88</v>
      </c>
      <c r="B37" s="74">
        <v>601.48500000000001</v>
      </c>
      <c r="C37" s="74">
        <v>174.49700000000001</v>
      </c>
      <c r="D37" s="74">
        <v>202.86799999999999</v>
      </c>
      <c r="E37" s="317" t="s">
        <v>73</v>
      </c>
      <c r="F37" s="317" t="s">
        <v>73</v>
      </c>
      <c r="G37" s="317" t="s">
        <v>73</v>
      </c>
      <c r="H37" s="317" t="s">
        <v>73</v>
      </c>
      <c r="I37" s="317" t="s">
        <v>73</v>
      </c>
      <c r="J37" s="317" t="s">
        <v>73</v>
      </c>
      <c r="K37" s="45"/>
      <c r="L37" s="45"/>
    </row>
    <row r="38" spans="1:12" ht="15">
      <c r="A38" s="76" t="s">
        <v>89</v>
      </c>
      <c r="B38" s="69">
        <v>2732.5129999999999</v>
      </c>
      <c r="C38" s="69">
        <v>3706.1680000000001</v>
      </c>
      <c r="D38" s="69">
        <v>2589.1390000000001</v>
      </c>
      <c r="E38" s="69">
        <v>2329.7629999999999</v>
      </c>
      <c r="F38" s="69">
        <v>3963.614</v>
      </c>
      <c r="G38" s="69">
        <v>2235.3009999999999</v>
      </c>
      <c r="H38" s="69">
        <v>2428.8786770000002</v>
      </c>
      <c r="I38" s="69">
        <v>2587.9599480000002</v>
      </c>
      <c r="J38" s="69">
        <v>2885.2950000000001</v>
      </c>
      <c r="K38" s="45"/>
      <c r="L38" s="45"/>
    </row>
    <row r="39" spans="1:12" ht="15">
      <c r="A39" s="115" t="s">
        <v>90</v>
      </c>
      <c r="B39" s="74">
        <v>59.052</v>
      </c>
      <c r="C39" s="74">
        <v>78.673000000000002</v>
      </c>
      <c r="D39" s="74">
        <v>78.489000000000004</v>
      </c>
      <c r="E39" s="74">
        <v>21.219000000000001</v>
      </c>
      <c r="F39" s="317" t="s">
        <v>73</v>
      </c>
      <c r="G39" s="317" t="s">
        <v>73</v>
      </c>
      <c r="H39" s="317" t="s">
        <v>73</v>
      </c>
      <c r="I39" s="317" t="s">
        <v>73</v>
      </c>
      <c r="J39" s="317" t="s">
        <v>73</v>
      </c>
      <c r="K39" s="45"/>
      <c r="L39" s="45"/>
    </row>
    <row r="40" spans="1:12" ht="22.5" customHeight="1">
      <c r="A40" s="318" t="s">
        <v>91</v>
      </c>
      <c r="B40" s="319">
        <f t="shared" ref="B40:I40" si="0">SUM(B7:B39)</f>
        <v>58246.876320407253</v>
      </c>
      <c r="C40" s="319">
        <f t="shared" si="0"/>
        <v>60409.126000000018</v>
      </c>
      <c r="D40" s="319">
        <f t="shared" si="0"/>
        <v>61818.063092000011</v>
      </c>
      <c r="E40" s="319">
        <f t="shared" si="0"/>
        <v>61387.149999999994</v>
      </c>
      <c r="F40" s="319">
        <f t="shared" si="0"/>
        <v>64977.381000000016</v>
      </c>
      <c r="G40" s="319">
        <f t="shared" si="0"/>
        <v>66041.229000000007</v>
      </c>
      <c r="H40" s="319">
        <f t="shared" si="0"/>
        <v>70561.243403999993</v>
      </c>
      <c r="I40" s="319">
        <f t="shared" si="0"/>
        <v>72331.915377999991</v>
      </c>
      <c r="J40" s="319">
        <f>SUM(J7:J39)</f>
        <v>80298.263999999996</v>
      </c>
      <c r="K40" s="45"/>
      <c r="L40" s="45"/>
    </row>
    <row r="41" spans="1:12" ht="15">
      <c r="A41" s="45"/>
      <c r="B41" s="45"/>
      <c r="C41" s="45"/>
      <c r="D41" s="45"/>
      <c r="E41" s="45"/>
      <c r="F41" s="45"/>
      <c r="G41" s="45"/>
      <c r="H41" s="45"/>
      <c r="I41" s="45"/>
      <c r="J41" s="45"/>
      <c r="K41" s="45"/>
      <c r="L41" s="45"/>
    </row>
    <row r="42" spans="1:12" s="321" customFormat="1" ht="18" customHeight="1">
      <c r="A42" s="320" t="s">
        <v>168</v>
      </c>
      <c r="B42" s="113"/>
      <c r="C42" s="113"/>
      <c r="D42" s="113"/>
      <c r="E42" s="113"/>
      <c r="F42" s="113"/>
      <c r="G42" s="113"/>
      <c r="H42" s="113"/>
      <c r="I42" s="113"/>
      <c r="J42" s="113"/>
      <c r="K42" s="113"/>
      <c r="L42" s="113"/>
    </row>
    <row r="43" spans="1:12" s="321" customFormat="1" ht="15">
      <c r="A43" s="322" t="s">
        <v>183</v>
      </c>
      <c r="B43" s="113"/>
      <c r="C43" s="113"/>
      <c r="D43" s="113"/>
      <c r="E43" s="113"/>
      <c r="F43" s="113"/>
      <c r="G43" s="113"/>
      <c r="H43" s="113"/>
      <c r="I43" s="113"/>
      <c r="J43" s="113"/>
      <c r="K43" s="113"/>
      <c r="L43" s="113"/>
    </row>
    <row r="44" spans="1:12" ht="15">
      <c r="A44" s="45"/>
      <c r="B44" s="45"/>
      <c r="C44" s="45"/>
      <c r="D44" s="45"/>
      <c r="E44" s="45"/>
      <c r="F44" s="45"/>
      <c r="G44" s="45"/>
      <c r="H44" s="45"/>
      <c r="I44" s="45"/>
      <c r="J44" s="45"/>
      <c r="K44" s="45"/>
      <c r="L44" s="45"/>
    </row>
    <row r="45" spans="1:12" ht="15">
      <c r="A45" s="45"/>
      <c r="B45" s="45"/>
      <c r="C45" s="45"/>
      <c r="D45" s="45"/>
      <c r="E45" s="45"/>
      <c r="F45" s="45"/>
      <c r="G45" s="45"/>
      <c r="H45" s="45"/>
      <c r="I45" s="45"/>
      <c r="J45" s="45"/>
      <c r="K45" s="45"/>
      <c r="L45" s="45"/>
    </row>
    <row r="46" spans="1:12" ht="15">
      <c r="A46" s="45"/>
      <c r="B46" s="45"/>
      <c r="C46" s="45"/>
      <c r="D46" s="45"/>
      <c r="E46" s="45"/>
      <c r="F46" s="45"/>
      <c r="G46" s="45"/>
      <c r="H46" s="45"/>
      <c r="I46" s="45"/>
      <c r="J46" s="45"/>
      <c r="K46" s="45"/>
      <c r="L46" s="45"/>
    </row>
    <row r="47" spans="1:12" ht="15">
      <c r="A47" s="45"/>
      <c r="B47" s="45"/>
      <c r="C47" s="45"/>
      <c r="D47" s="45"/>
      <c r="E47" s="45"/>
      <c r="F47" s="45"/>
      <c r="G47" s="45"/>
      <c r="H47" s="45"/>
      <c r="I47" s="45"/>
      <c r="J47" s="45"/>
      <c r="K47" s="45"/>
      <c r="L47" s="45"/>
    </row>
    <row r="48" spans="1:12" ht="15">
      <c r="A48" s="45"/>
      <c r="B48" s="45"/>
      <c r="C48" s="45"/>
      <c r="D48" s="45"/>
      <c r="E48" s="45"/>
      <c r="F48" s="45"/>
      <c r="G48" s="45"/>
      <c r="H48" s="45"/>
      <c r="I48" s="45"/>
      <c r="J48" s="45"/>
      <c r="K48" s="45"/>
      <c r="L48" s="45"/>
    </row>
    <row r="49" spans="1:12" ht="15">
      <c r="A49" s="45"/>
      <c r="B49" s="45"/>
      <c r="C49" s="45"/>
      <c r="D49" s="45"/>
      <c r="E49" s="45"/>
      <c r="F49" s="45"/>
      <c r="G49" s="45"/>
      <c r="H49" s="45"/>
      <c r="I49" s="45"/>
      <c r="J49" s="45"/>
      <c r="K49" s="45"/>
      <c r="L49" s="45"/>
    </row>
    <row r="50" spans="1:12" ht="15">
      <c r="A50" s="45"/>
      <c r="B50" s="45"/>
      <c r="C50" s="45"/>
      <c r="D50" s="45"/>
      <c r="E50" s="45"/>
      <c r="F50" s="45"/>
      <c r="G50" s="45"/>
      <c r="H50" s="45"/>
      <c r="I50" s="45"/>
      <c r="J50" s="45"/>
      <c r="K50" s="45"/>
      <c r="L50" s="45"/>
    </row>
    <row r="51" spans="1:12" ht="15">
      <c r="A51" s="45"/>
      <c r="B51" s="45"/>
      <c r="C51" s="45"/>
      <c r="D51" s="45"/>
      <c r="E51" s="45"/>
      <c r="F51" s="45"/>
      <c r="G51" s="45"/>
      <c r="H51" s="45"/>
      <c r="I51" s="45"/>
      <c r="J51" s="45"/>
      <c r="K51" s="45"/>
      <c r="L51" s="45"/>
    </row>
    <row r="52" spans="1:12" ht="15">
      <c r="A52" s="45"/>
      <c r="B52" s="45"/>
      <c r="C52" s="45"/>
      <c r="D52" s="45"/>
      <c r="E52" s="45"/>
      <c r="F52" s="45"/>
      <c r="G52" s="45"/>
      <c r="H52" s="45"/>
      <c r="I52" s="45"/>
      <c r="J52" s="45"/>
      <c r="K52" s="45"/>
      <c r="L52" s="45"/>
    </row>
    <row r="53" spans="1:12" ht="15">
      <c r="A53" s="45"/>
      <c r="B53" s="45"/>
      <c r="C53" s="45"/>
      <c r="D53" s="45"/>
      <c r="E53" s="45"/>
      <c r="F53" s="45"/>
      <c r="G53" s="45"/>
      <c r="H53" s="45"/>
      <c r="I53" s="45"/>
      <c r="J53" s="45"/>
      <c r="K53" s="45"/>
      <c r="L53" s="45"/>
    </row>
    <row r="54" spans="1:12" ht="15">
      <c r="A54" s="45"/>
      <c r="B54" s="45"/>
      <c r="C54" s="45"/>
      <c r="D54" s="45"/>
      <c r="E54" s="45"/>
      <c r="F54" s="45"/>
      <c r="G54" s="45"/>
      <c r="H54" s="45"/>
      <c r="I54" s="45"/>
      <c r="J54" s="45"/>
      <c r="K54" s="45"/>
      <c r="L54" s="45"/>
    </row>
  </sheetData>
  <pageMargins left="0.23622047244094491" right="0.23622047244094491" top="0.74803149606299213" bottom="0.74803149606299213" header="0.31496062992125984" footer="0.31496062992125984"/>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rgb="FF92D050"/>
    <pageSetUpPr fitToPage="1"/>
  </sheetPr>
  <dimension ref="A1:P48"/>
  <sheetViews>
    <sheetView workbookViewId="0"/>
  </sheetViews>
  <sheetFormatPr baseColWidth="10" defaultColWidth="11.42578125" defaultRowHeight="12.75"/>
  <cols>
    <col min="1" max="1" width="38.28515625" style="12" customWidth="1"/>
    <col min="2" max="3" width="9.140625" style="12" customWidth="1"/>
    <col min="4" max="4" width="8.140625" style="12" customWidth="1"/>
    <col min="5" max="5" width="4.7109375" style="12" customWidth="1"/>
    <col min="6" max="6" width="9" style="12" hidden="1" customWidth="1"/>
    <col min="7" max="8" width="9" style="12" customWidth="1"/>
    <col min="9" max="9" width="8.140625" style="12" customWidth="1"/>
    <col min="10" max="16384" width="11.42578125" style="12"/>
  </cols>
  <sheetData>
    <row r="1" spans="1:14" s="14" customFormat="1" ht="15">
      <c r="A1" s="77" t="s">
        <v>1035</v>
      </c>
      <c r="B1" s="77"/>
      <c r="C1" s="77"/>
      <c r="D1" s="77"/>
      <c r="E1" s="77"/>
      <c r="F1" s="77"/>
      <c r="G1" s="77"/>
      <c r="H1" s="77"/>
      <c r="I1" s="77"/>
      <c r="J1" s="57"/>
      <c r="K1" s="57"/>
      <c r="L1" s="57"/>
      <c r="M1" s="57"/>
    </row>
    <row r="2" spans="1:14" s="15" customFormat="1" ht="15">
      <c r="A2" s="68" t="s">
        <v>39</v>
      </c>
      <c r="B2" s="68"/>
      <c r="C2" s="68"/>
      <c r="D2" s="68"/>
      <c r="E2" s="68"/>
      <c r="F2" s="68"/>
      <c r="G2" s="68"/>
      <c r="H2" s="68"/>
      <c r="I2" s="68"/>
      <c r="J2" s="56"/>
      <c r="K2" s="56"/>
      <c r="L2" s="56"/>
      <c r="M2" s="56"/>
    </row>
    <row r="3" spans="1:14" s="24" customFormat="1" ht="11.25" customHeight="1">
      <c r="A3" s="333"/>
      <c r="B3" s="68"/>
      <c r="C3" s="68"/>
      <c r="D3" s="68"/>
      <c r="E3" s="68"/>
      <c r="F3" s="68"/>
      <c r="G3" s="68"/>
      <c r="H3" s="68"/>
      <c r="I3" s="68"/>
      <c r="J3" s="56"/>
      <c r="K3" s="56"/>
      <c r="L3" s="56"/>
      <c r="M3" s="56"/>
    </row>
    <row r="4" spans="1:14" s="111" customFormat="1" ht="37.5" customHeight="1">
      <c r="A4" s="313"/>
      <c r="B4" s="314" t="s">
        <v>829</v>
      </c>
      <c r="C4" s="314" t="s">
        <v>934</v>
      </c>
      <c r="D4" s="314" t="s">
        <v>1054</v>
      </c>
      <c r="E4" s="314"/>
      <c r="F4" s="314" t="s">
        <v>938</v>
      </c>
      <c r="G4" s="314" t="s">
        <v>937</v>
      </c>
      <c r="H4" s="314" t="s">
        <v>939</v>
      </c>
      <c r="I4" s="314" t="s">
        <v>1054</v>
      </c>
      <c r="J4" s="315"/>
      <c r="K4" s="315"/>
      <c r="L4" s="315"/>
      <c r="M4" s="112"/>
      <c r="N4" s="110"/>
    </row>
    <row r="5" spans="1:14" s="336" customFormat="1" ht="21" customHeight="1">
      <c r="A5" s="334"/>
      <c r="B5" s="335" t="s">
        <v>607</v>
      </c>
      <c r="C5" s="335" t="s">
        <v>607</v>
      </c>
      <c r="D5" s="335" t="s">
        <v>607</v>
      </c>
      <c r="E5" s="335"/>
      <c r="F5" s="335" t="s">
        <v>606</v>
      </c>
      <c r="G5" s="335" t="s">
        <v>606</v>
      </c>
      <c r="H5" s="335" t="s">
        <v>606</v>
      </c>
      <c r="I5" s="335" t="s">
        <v>606</v>
      </c>
      <c r="J5" s="337"/>
      <c r="K5" s="337"/>
      <c r="L5" s="337"/>
      <c r="M5" s="337"/>
    </row>
    <row r="6" spans="1:14" s="45" customFormat="1" ht="13.5" customHeight="1">
      <c r="A6" s="182" t="s">
        <v>1055</v>
      </c>
      <c r="C6" s="64"/>
      <c r="D6" s="64"/>
      <c r="E6" s="64"/>
      <c r="F6" s="64"/>
      <c r="G6" s="64"/>
      <c r="H6" s="64"/>
      <c r="I6" s="64"/>
    </row>
    <row r="7" spans="1:14" s="45" customFormat="1" ht="13.5" customHeight="1">
      <c r="A7" s="76" t="s">
        <v>58</v>
      </c>
      <c r="B7" s="513">
        <v>7.7720000000000002</v>
      </c>
      <c r="C7" s="74">
        <v>8.1880000000000006</v>
      </c>
      <c r="D7" s="74">
        <v>8.16</v>
      </c>
      <c r="E7" s="74"/>
      <c r="F7" s="74">
        <v>8.0030000000000001</v>
      </c>
      <c r="G7" s="74">
        <v>7.86</v>
      </c>
      <c r="H7" s="74">
        <v>8.4120000000000008</v>
      </c>
      <c r="I7" s="74">
        <v>8.3930000000000007</v>
      </c>
    </row>
    <row r="8" spans="1:14" s="45" customFormat="1" ht="13.5" customHeight="1">
      <c r="A8" s="76" t="s">
        <v>59</v>
      </c>
      <c r="B8" s="74">
        <v>147.95500000000001</v>
      </c>
      <c r="C8" s="74">
        <v>165.55600000000001</v>
      </c>
      <c r="D8" s="74">
        <v>196.15100000000001</v>
      </c>
      <c r="E8" s="74"/>
      <c r="F8" s="74">
        <v>147.08500000000001</v>
      </c>
      <c r="G8" s="74">
        <v>149.41800000000001</v>
      </c>
      <c r="H8" s="74">
        <v>167.01300000000001</v>
      </c>
      <c r="I8" s="74">
        <v>197.64</v>
      </c>
    </row>
    <row r="9" spans="1:14" s="45" customFormat="1" ht="13.5" customHeight="1">
      <c r="A9" s="76" t="s">
        <v>60</v>
      </c>
      <c r="B9" s="74">
        <v>13.474</v>
      </c>
      <c r="C9" s="74">
        <v>14.831</v>
      </c>
      <c r="D9" s="74">
        <v>14.86</v>
      </c>
      <c r="E9" s="74"/>
      <c r="F9" s="74">
        <v>13.742000000000001</v>
      </c>
      <c r="G9" s="74">
        <v>13.507</v>
      </c>
      <c r="H9" s="74">
        <v>15.11</v>
      </c>
      <c r="I9" s="74">
        <v>15.143000000000001</v>
      </c>
    </row>
    <row r="10" spans="1:14" s="45" customFormat="1" ht="13.5" customHeight="1">
      <c r="A10" s="76" t="s">
        <v>61</v>
      </c>
      <c r="B10" s="74">
        <v>18.524999999999999</v>
      </c>
      <c r="C10" s="74">
        <v>19.353999999999999</v>
      </c>
      <c r="D10" s="74">
        <v>19.378</v>
      </c>
      <c r="E10" s="74"/>
      <c r="F10" s="74">
        <v>18.399999999999999</v>
      </c>
      <c r="G10" s="74">
        <v>18.594999999999999</v>
      </c>
      <c r="H10" s="74">
        <v>19.452000000000002</v>
      </c>
      <c r="I10" s="74">
        <v>19.530999999999999</v>
      </c>
    </row>
    <row r="11" spans="1:14" s="45" customFormat="1" ht="13.5" customHeight="1">
      <c r="A11" s="76" t="s">
        <v>62</v>
      </c>
      <c r="B11" s="74">
        <v>9.7260000000000009</v>
      </c>
      <c r="C11" s="74">
        <v>10.475</v>
      </c>
      <c r="D11" s="74">
        <v>10.558999999999999</v>
      </c>
      <c r="E11" s="74"/>
      <c r="F11" s="74">
        <v>9.6020000000000003</v>
      </c>
      <c r="G11" s="74">
        <v>9.82</v>
      </c>
      <c r="H11" s="74">
        <v>10.484999999999999</v>
      </c>
      <c r="I11" s="74">
        <v>10.646000000000001</v>
      </c>
    </row>
    <row r="12" spans="1:14" s="45" customFormat="1" ht="13.5" customHeight="1">
      <c r="A12" s="76" t="s">
        <v>63</v>
      </c>
      <c r="B12" s="74">
        <v>30.617999999999999</v>
      </c>
      <c r="C12" s="74">
        <v>32.433999999999997</v>
      </c>
      <c r="D12" s="74">
        <v>32.924999999999997</v>
      </c>
      <c r="E12" s="74"/>
      <c r="F12" s="74">
        <v>32.087000000000003</v>
      </c>
      <c r="G12" s="74">
        <v>31.388000000000002</v>
      </c>
      <c r="H12" s="74">
        <v>32.613999999999997</v>
      </c>
      <c r="I12" s="74">
        <v>33.786000000000001</v>
      </c>
    </row>
    <row r="13" spans="1:14" s="45" customFormat="1" ht="13.5" customHeight="1">
      <c r="A13" s="76" t="s">
        <v>64</v>
      </c>
      <c r="B13" s="74">
        <v>396.52699999999999</v>
      </c>
      <c r="C13" s="74">
        <v>397.63600000000002</v>
      </c>
      <c r="D13" s="74">
        <v>401.65</v>
      </c>
      <c r="E13" s="74"/>
      <c r="F13" s="74">
        <v>343.28800000000001</v>
      </c>
      <c r="G13" s="74">
        <v>399.08</v>
      </c>
      <c r="H13" s="74">
        <v>401.82400000000001</v>
      </c>
      <c r="I13" s="74">
        <v>406.47500000000002</v>
      </c>
    </row>
    <row r="14" spans="1:14" s="45" customFormat="1" ht="13.5" customHeight="1">
      <c r="A14" s="76" t="s">
        <v>65</v>
      </c>
      <c r="B14" s="74">
        <v>2600.34</v>
      </c>
      <c r="C14" s="74">
        <v>2529.931</v>
      </c>
      <c r="D14" s="74">
        <v>3027.5909999999999</v>
      </c>
      <c r="E14" s="74"/>
      <c r="F14" s="74">
        <v>2576.8029999999999</v>
      </c>
      <c r="G14" s="74">
        <v>2633.3270000000002</v>
      </c>
      <c r="H14" s="74">
        <v>2568.0340000000001</v>
      </c>
      <c r="I14" s="74">
        <v>3041.6640000000002</v>
      </c>
    </row>
    <row r="15" spans="1:14" s="45" customFormat="1" ht="13.5" customHeight="1">
      <c r="A15" s="76" t="s">
        <v>92</v>
      </c>
      <c r="B15" s="74">
        <v>420.577</v>
      </c>
      <c r="C15" s="74">
        <v>409.14100000000002</v>
      </c>
      <c r="D15" s="74">
        <v>427.99299999999999</v>
      </c>
      <c r="E15" s="74"/>
      <c r="F15" s="74">
        <v>415.13400000000001</v>
      </c>
      <c r="G15" s="74">
        <v>427.69400000000002</v>
      </c>
      <c r="H15" s="74">
        <v>417.37900000000002</v>
      </c>
      <c r="I15" s="74">
        <v>439.702</v>
      </c>
    </row>
    <row r="16" spans="1:14" s="45" customFormat="1" ht="13.5" customHeight="1">
      <c r="A16" s="76" t="s">
        <v>93</v>
      </c>
      <c r="B16" s="74">
        <v>1372.258</v>
      </c>
      <c r="C16" s="74">
        <v>1309.1320000000001</v>
      </c>
      <c r="D16" s="74">
        <v>1305.259</v>
      </c>
      <c r="E16" s="74"/>
      <c r="F16" s="74">
        <v>1403.258</v>
      </c>
      <c r="G16" s="74">
        <v>1395.2139999999999</v>
      </c>
      <c r="H16" s="74">
        <v>1384.741</v>
      </c>
      <c r="I16" s="74">
        <v>1361.7560000000001</v>
      </c>
    </row>
    <row r="17" spans="1:9" s="45" customFormat="1" ht="13.5" customHeight="1">
      <c r="A17" s="76" t="s">
        <v>94</v>
      </c>
      <c r="B17" s="74">
        <v>2179.9870000000001</v>
      </c>
      <c r="C17" s="74">
        <v>1981.68</v>
      </c>
      <c r="D17" s="74">
        <v>2071.9270000000001</v>
      </c>
      <c r="E17" s="74"/>
      <c r="F17" s="74">
        <v>2175.1759999999999</v>
      </c>
      <c r="G17" s="74">
        <v>2099.1289999999999</v>
      </c>
      <c r="H17" s="74">
        <v>2177.3510000000001</v>
      </c>
      <c r="I17" s="74">
        <v>2223.9569999999999</v>
      </c>
    </row>
    <row r="18" spans="1:9" s="45" customFormat="1" ht="13.5" customHeight="1">
      <c r="A18" s="76" t="s">
        <v>95</v>
      </c>
      <c r="B18" s="74">
        <v>1089.491</v>
      </c>
      <c r="C18" s="74">
        <v>1156.6030000000001</v>
      </c>
      <c r="D18" s="74">
        <v>1167.048</v>
      </c>
      <c r="E18" s="74"/>
      <c r="F18" s="74">
        <v>1208.6469999999999</v>
      </c>
      <c r="G18" s="74">
        <v>1474.569</v>
      </c>
      <c r="H18" s="74">
        <v>1193.838</v>
      </c>
      <c r="I18" s="74">
        <v>1192.636</v>
      </c>
    </row>
    <row r="19" spans="1:9" s="45" customFormat="1" ht="13.5" customHeight="1">
      <c r="A19" s="76" t="s">
        <v>96</v>
      </c>
      <c r="B19" s="74">
        <v>0</v>
      </c>
      <c r="C19" s="74">
        <v>0</v>
      </c>
      <c r="D19" s="74">
        <v>0</v>
      </c>
      <c r="E19" s="74"/>
      <c r="F19" s="74">
        <v>1008.9880000000001</v>
      </c>
      <c r="G19" s="74">
        <v>648.45399999999995</v>
      </c>
      <c r="H19" s="74">
        <v>1090</v>
      </c>
      <c r="I19" s="74">
        <v>1001</v>
      </c>
    </row>
    <row r="20" spans="1:9" s="52" customFormat="1" ht="13.5" customHeight="1">
      <c r="A20" s="247" t="s">
        <v>97</v>
      </c>
      <c r="B20" s="324">
        <f t="shared" ref="B20:I20" si="0">SUM(B7:B19)</f>
        <v>8287.25</v>
      </c>
      <c r="C20" s="324">
        <f t="shared" si="0"/>
        <v>8034.9610000000002</v>
      </c>
      <c r="D20" s="324">
        <f>SUM(D7:D19)</f>
        <v>8683.5010000000002</v>
      </c>
      <c r="E20" s="324"/>
      <c r="F20" s="324">
        <f t="shared" si="0"/>
        <v>9360.2129999999979</v>
      </c>
      <c r="G20" s="324">
        <f t="shared" si="0"/>
        <v>9308.0550000000003</v>
      </c>
      <c r="H20" s="324">
        <f t="shared" si="0"/>
        <v>9486.2530000000006</v>
      </c>
      <c r="I20" s="324">
        <f t="shared" si="0"/>
        <v>9952.3290000000015</v>
      </c>
    </row>
    <row r="21" spans="1:9" s="45" customFormat="1" ht="13.5" customHeight="1">
      <c r="A21" s="76" t="s">
        <v>98</v>
      </c>
      <c r="B21" s="74">
        <v>7423.8429999999998</v>
      </c>
      <c r="C21" s="74">
        <v>7147.2039999999997</v>
      </c>
      <c r="D21" s="74">
        <v>8091.3289999999997</v>
      </c>
      <c r="E21" s="74"/>
      <c r="F21" s="74">
        <v>6493.0569999999998</v>
      </c>
      <c r="G21" s="74">
        <v>7739.0529999999999</v>
      </c>
      <c r="H21" s="74">
        <v>7154.8209999999999</v>
      </c>
      <c r="I21" s="74">
        <v>8101.442</v>
      </c>
    </row>
    <row r="22" spans="1:9" s="45" customFormat="1" ht="13.5" customHeight="1">
      <c r="A22" s="76" t="s">
        <v>99</v>
      </c>
      <c r="B22" s="74">
        <v>2965.6329999999998</v>
      </c>
      <c r="C22" s="74">
        <v>3000.23</v>
      </c>
      <c r="D22" s="74">
        <v>3050.779</v>
      </c>
      <c r="E22" s="74"/>
      <c r="F22" s="74">
        <v>2930.4810000000002</v>
      </c>
      <c r="G22" s="74">
        <v>2964.2840000000001</v>
      </c>
      <c r="H22" s="74">
        <v>3001.8229999999999</v>
      </c>
      <c r="I22" s="74">
        <v>3061.4560000000001</v>
      </c>
    </row>
    <row r="23" spans="1:9" s="45" customFormat="1" ht="13.5" customHeight="1">
      <c r="A23" s="76" t="s">
        <v>830</v>
      </c>
      <c r="B23" s="74">
        <v>10402.763999999999</v>
      </c>
      <c r="C23" s="74">
        <v>10680</v>
      </c>
      <c r="D23" s="74">
        <v>11018.865</v>
      </c>
      <c r="E23" s="74"/>
      <c r="F23" s="74">
        <v>9718.8150000000005</v>
      </c>
      <c r="G23" s="74">
        <v>10548.893</v>
      </c>
      <c r="H23" s="74">
        <v>10680</v>
      </c>
      <c r="I23" s="74">
        <v>11018.865</v>
      </c>
    </row>
    <row r="24" spans="1:9" s="45" customFormat="1" ht="13.5" customHeight="1">
      <c r="A24" s="76" t="s">
        <v>831</v>
      </c>
      <c r="B24" s="74">
        <v>8998.9480000000003</v>
      </c>
      <c r="C24" s="74">
        <v>9288.3770000000004</v>
      </c>
      <c r="D24" s="74">
        <v>9374.9349999999995</v>
      </c>
      <c r="E24" s="74"/>
      <c r="F24" s="74">
        <v>8683.8060000000005</v>
      </c>
      <c r="G24" s="74">
        <v>8937.1229999999996</v>
      </c>
      <c r="H24" s="74">
        <v>9277.9740000000002</v>
      </c>
      <c r="I24" s="74">
        <v>9363.8469999999998</v>
      </c>
    </row>
    <row r="25" spans="1:9" s="45" customFormat="1" ht="13.5" customHeight="1">
      <c r="A25" s="76" t="s">
        <v>102</v>
      </c>
      <c r="B25" s="74">
        <v>994.78099999999995</v>
      </c>
      <c r="C25" s="74">
        <v>957.04399999999998</v>
      </c>
      <c r="D25" s="74">
        <v>1043.1659999999999</v>
      </c>
      <c r="E25" s="74"/>
      <c r="F25" s="74">
        <v>971.00800000000004</v>
      </c>
      <c r="G25" s="74">
        <v>995.899</v>
      </c>
      <c r="H25" s="74">
        <v>957.49300000000005</v>
      </c>
      <c r="I25" s="74">
        <v>1045.2190000000001</v>
      </c>
    </row>
    <row r="26" spans="1:9" s="45" customFormat="1" ht="13.5" customHeight="1">
      <c r="A26" s="76" t="s">
        <v>832</v>
      </c>
      <c r="B26" s="74">
        <v>6833.9840000000004</v>
      </c>
      <c r="C26" s="74">
        <v>7023.4740000000002</v>
      </c>
      <c r="D26" s="74">
        <v>7087.8119999999999</v>
      </c>
      <c r="E26" s="74"/>
      <c r="F26" s="74">
        <v>6469.6490000000003</v>
      </c>
      <c r="G26" s="74">
        <v>6710.6049999999996</v>
      </c>
      <c r="H26" s="74">
        <v>6930.1570000000002</v>
      </c>
      <c r="I26" s="74">
        <v>6999.0739999999996</v>
      </c>
    </row>
    <row r="27" spans="1:9" s="45" customFormat="1" ht="13.5" customHeight="1">
      <c r="A27" s="247" t="s">
        <v>104</v>
      </c>
      <c r="B27" s="324">
        <f t="shared" ref="B27:I27" si="1">SUM(B21:B26)</f>
        <v>37619.952999999994</v>
      </c>
      <c r="C27" s="324">
        <f t="shared" si="1"/>
        <v>38096.329000000005</v>
      </c>
      <c r="D27" s="324">
        <f t="shared" si="1"/>
        <v>39666.885999999999</v>
      </c>
      <c r="E27" s="324"/>
      <c r="F27" s="324">
        <f t="shared" si="1"/>
        <v>35266.816000000006</v>
      </c>
      <c r="G27" s="324">
        <f t="shared" si="1"/>
        <v>37895.857000000004</v>
      </c>
      <c r="H27" s="324">
        <f t="shared" si="1"/>
        <v>38002.268000000004</v>
      </c>
      <c r="I27" s="324">
        <f t="shared" si="1"/>
        <v>39589.902999999998</v>
      </c>
    </row>
    <row r="28" spans="1:9" s="45" customFormat="1" ht="13.5" customHeight="1">
      <c r="A28" s="76" t="s">
        <v>833</v>
      </c>
      <c r="B28" s="74">
        <v>8063.5749999999998</v>
      </c>
      <c r="C28" s="74">
        <v>7992.6729999999998</v>
      </c>
      <c r="D28" s="74">
        <v>8099.1570000000002</v>
      </c>
      <c r="E28" s="74"/>
      <c r="F28" s="74">
        <v>8563.7330000000002</v>
      </c>
      <c r="G28" s="74">
        <v>8185.4070000000002</v>
      </c>
      <c r="H28" s="74">
        <v>8093.348</v>
      </c>
      <c r="I28" s="74">
        <v>8123.41</v>
      </c>
    </row>
    <row r="29" spans="1:9" s="45" customFormat="1" ht="13.5" customHeight="1">
      <c r="A29" s="76" t="s">
        <v>105</v>
      </c>
      <c r="B29" s="74">
        <v>3984.134</v>
      </c>
      <c r="C29" s="74">
        <v>4119.491</v>
      </c>
      <c r="D29" s="74">
        <v>4278.3360000000002</v>
      </c>
      <c r="E29" s="74"/>
      <c r="F29" s="74">
        <v>3904.6010000000001</v>
      </c>
      <c r="G29" s="74">
        <v>3985.7310000000002</v>
      </c>
      <c r="H29" s="74">
        <v>4121.7889999999998</v>
      </c>
      <c r="I29" s="74">
        <v>4281.2879999999996</v>
      </c>
    </row>
    <row r="30" spans="1:9" s="45" customFormat="1" ht="13.5" customHeight="1">
      <c r="A30" s="76" t="s">
        <v>106</v>
      </c>
      <c r="B30" s="74">
        <v>370.036</v>
      </c>
      <c r="C30" s="74">
        <v>441.74599999999998</v>
      </c>
      <c r="D30" s="74">
        <v>441.24599999999998</v>
      </c>
      <c r="E30" s="74"/>
      <c r="F30" s="74">
        <v>0</v>
      </c>
      <c r="G30" s="74">
        <v>378.73899999999998</v>
      </c>
      <c r="H30" s="74">
        <v>441.02</v>
      </c>
      <c r="I30" s="74">
        <v>440.52</v>
      </c>
    </row>
    <row r="31" spans="1:9" s="45" customFormat="1" ht="13.5" customHeight="1">
      <c r="A31" s="76" t="s">
        <v>107</v>
      </c>
      <c r="B31" s="74">
        <v>117.998</v>
      </c>
      <c r="C31" s="74">
        <v>101.6</v>
      </c>
      <c r="D31" s="74">
        <v>101.59099999999999</v>
      </c>
      <c r="E31" s="74"/>
      <c r="F31" s="74">
        <v>99.643000000000001</v>
      </c>
      <c r="G31" s="74">
        <v>120.267</v>
      </c>
      <c r="H31" s="74">
        <v>101.6</v>
      </c>
      <c r="I31" s="74">
        <v>101.59099999999999</v>
      </c>
    </row>
    <row r="32" spans="1:9" s="45" customFormat="1" ht="13.5" customHeight="1">
      <c r="A32" s="76" t="s">
        <v>108</v>
      </c>
      <c r="B32" s="74">
        <v>410.34699999999998</v>
      </c>
      <c r="C32" s="74">
        <v>429.2</v>
      </c>
      <c r="D32" s="74">
        <v>428.07900000000001</v>
      </c>
      <c r="E32" s="74"/>
      <c r="F32" s="74">
        <v>373.64499999999998</v>
      </c>
      <c r="G32" s="74">
        <v>590.30999999999995</v>
      </c>
      <c r="H32" s="74">
        <v>432.69600000000003</v>
      </c>
      <c r="I32" s="74">
        <v>433.07900000000001</v>
      </c>
    </row>
    <row r="33" spans="1:16" s="52" customFormat="1" ht="13.5" customHeight="1">
      <c r="A33" s="247" t="s">
        <v>109</v>
      </c>
      <c r="B33" s="324">
        <f t="shared" ref="B33:I33" si="2">SUM(B28:B32)</f>
        <v>12946.089999999998</v>
      </c>
      <c r="C33" s="324">
        <f t="shared" si="2"/>
        <v>13084.710000000001</v>
      </c>
      <c r="D33" s="324">
        <f t="shared" si="2"/>
        <v>13348.409</v>
      </c>
      <c r="E33" s="324"/>
      <c r="F33" s="324">
        <f t="shared" si="2"/>
        <v>12941.622000000001</v>
      </c>
      <c r="G33" s="324">
        <f t="shared" si="2"/>
        <v>13260.454</v>
      </c>
      <c r="H33" s="324">
        <f t="shared" si="2"/>
        <v>13190.453</v>
      </c>
      <c r="I33" s="324">
        <f t="shared" si="2"/>
        <v>13379.888000000001</v>
      </c>
    </row>
    <row r="34" spans="1:16" s="45" customFormat="1" ht="13.5" customHeight="1">
      <c r="A34" s="76" t="s">
        <v>110</v>
      </c>
      <c r="B34" s="74">
        <v>345.87400000000002</v>
      </c>
      <c r="C34" s="74">
        <v>364.642</v>
      </c>
      <c r="D34" s="74">
        <v>322.98899999999998</v>
      </c>
      <c r="E34" s="74"/>
      <c r="F34" s="74">
        <v>434.596</v>
      </c>
      <c r="G34" s="74">
        <v>384.82400000000001</v>
      </c>
      <c r="H34" s="74">
        <v>399.23700000000002</v>
      </c>
      <c r="I34" s="74">
        <v>363.12</v>
      </c>
    </row>
    <row r="35" spans="1:16" s="45" customFormat="1" ht="13.5" customHeight="1">
      <c r="A35" s="76" t="s">
        <v>111</v>
      </c>
      <c r="B35" s="74">
        <v>3165.0909999999999</v>
      </c>
      <c r="C35" s="74">
        <v>3349.3589999999999</v>
      </c>
      <c r="D35" s="74">
        <v>3830.7689999999998</v>
      </c>
      <c r="E35" s="74"/>
      <c r="F35" s="74">
        <v>4319.1509999999998</v>
      </c>
      <c r="G35" s="74">
        <v>4568.9610000000002</v>
      </c>
      <c r="H35" s="74">
        <v>5676.8419999999996</v>
      </c>
      <c r="I35" s="74">
        <v>6654.1120000000001</v>
      </c>
    </row>
    <row r="36" spans="1:16" s="45" customFormat="1" ht="13.5" customHeight="1">
      <c r="A36" s="76" t="s">
        <v>112</v>
      </c>
      <c r="B36" s="74">
        <v>2138.2779999999998</v>
      </c>
      <c r="C36" s="74">
        <v>2144.7869999999998</v>
      </c>
      <c r="D36" s="74">
        <v>2135.7330000000002</v>
      </c>
      <c r="E36" s="74"/>
      <c r="F36" s="74">
        <v>2133.4989999999998</v>
      </c>
      <c r="G36" s="74">
        <v>2158.9229999999998</v>
      </c>
      <c r="H36" s="74">
        <v>2155.2869999999998</v>
      </c>
      <c r="I36" s="74">
        <v>2145.7579999999998</v>
      </c>
    </row>
    <row r="37" spans="1:16" s="45" customFormat="1" ht="13.5" customHeight="1">
      <c r="A37" s="76" t="s">
        <v>113</v>
      </c>
      <c r="B37" s="74">
        <v>741.92600000000004</v>
      </c>
      <c r="C37" s="74">
        <v>643.01199999999994</v>
      </c>
      <c r="D37" s="74">
        <v>627.47299999999996</v>
      </c>
      <c r="E37" s="74"/>
      <c r="F37" s="74">
        <v>790.80700000000002</v>
      </c>
      <c r="G37" s="74">
        <v>741.96299999999997</v>
      </c>
      <c r="H37" s="74">
        <v>642.93600000000004</v>
      </c>
      <c r="I37" s="74">
        <v>627.51300000000003</v>
      </c>
    </row>
    <row r="38" spans="1:16" s="45" customFormat="1" ht="13.5" customHeight="1">
      <c r="A38" s="76" t="s">
        <v>114</v>
      </c>
      <c r="B38" s="74">
        <v>875.77599999999995</v>
      </c>
      <c r="C38" s="74">
        <v>988.67100000000005</v>
      </c>
      <c r="D38" s="74">
        <v>976.03700000000003</v>
      </c>
      <c r="E38" s="74"/>
      <c r="F38" s="74">
        <v>880.33500000000004</v>
      </c>
      <c r="G38" s="74">
        <v>875.77599999999995</v>
      </c>
      <c r="H38" s="74">
        <v>988.67100000000005</v>
      </c>
      <c r="I38" s="74">
        <v>976.03700000000003</v>
      </c>
    </row>
    <row r="39" spans="1:16" s="45" customFormat="1" ht="13.5" customHeight="1">
      <c r="A39" s="76" t="s">
        <v>115</v>
      </c>
      <c r="B39" s="74">
        <v>1063.4780000000001</v>
      </c>
      <c r="C39" s="74">
        <v>1023.297</v>
      </c>
      <c r="D39" s="74">
        <v>1035.4449999999999</v>
      </c>
      <c r="E39" s="74"/>
      <c r="F39" s="74">
        <v>706.83900000000006</v>
      </c>
      <c r="G39" s="74">
        <v>607.71400000000006</v>
      </c>
      <c r="H39" s="74">
        <v>642.24699999999996</v>
      </c>
      <c r="I39" s="74">
        <v>792.71199999999999</v>
      </c>
    </row>
    <row r="40" spans="1:16" s="45" customFormat="1" ht="13.5" customHeight="1">
      <c r="A40" s="76" t="s">
        <v>116</v>
      </c>
      <c r="B40" s="74">
        <v>765.47900000000004</v>
      </c>
      <c r="C40" s="74">
        <v>431</v>
      </c>
      <c r="D40" s="74">
        <v>771.66399999999999</v>
      </c>
      <c r="E40" s="74"/>
      <c r="F40" s="74">
        <v>889.23699999999997</v>
      </c>
      <c r="G40" s="74">
        <v>2467.299</v>
      </c>
      <c r="H40" s="74">
        <v>430.91300000000001</v>
      </c>
      <c r="I40" s="74">
        <v>726.65700000000004</v>
      </c>
    </row>
    <row r="41" spans="1:16" s="52" customFormat="1" ht="13.5" customHeight="1">
      <c r="A41" s="247" t="s">
        <v>117</v>
      </c>
      <c r="B41" s="324">
        <f t="shared" ref="B41:I41" si="3">SUM(B34:B40)</f>
        <v>9095.902</v>
      </c>
      <c r="C41" s="324">
        <f t="shared" si="3"/>
        <v>8944.768</v>
      </c>
      <c r="D41" s="324">
        <f t="shared" si="3"/>
        <v>9700.11</v>
      </c>
      <c r="E41" s="324"/>
      <c r="F41" s="324">
        <f t="shared" si="3"/>
        <v>10154.463999999998</v>
      </c>
      <c r="G41" s="324">
        <f t="shared" si="3"/>
        <v>11805.46</v>
      </c>
      <c r="H41" s="324">
        <f t="shared" si="3"/>
        <v>10936.133</v>
      </c>
      <c r="I41" s="324">
        <f t="shared" si="3"/>
        <v>12285.909</v>
      </c>
    </row>
    <row r="42" spans="1:16" s="45" customFormat="1" ht="13.5" customHeight="1">
      <c r="A42" s="76" t="s">
        <v>118</v>
      </c>
      <c r="B42" s="74">
        <v>0.52300000000000002</v>
      </c>
      <c r="C42" s="74">
        <v>1</v>
      </c>
      <c r="D42" s="74">
        <v>4.5010000000000003</v>
      </c>
      <c r="E42" s="74"/>
      <c r="F42" s="74">
        <v>298.267</v>
      </c>
      <c r="G42" s="74">
        <v>0.52300000000000002</v>
      </c>
      <c r="H42" s="74">
        <v>1</v>
      </c>
      <c r="I42" s="74">
        <v>4.5010000000000003</v>
      </c>
    </row>
    <row r="43" spans="1:16" s="45" customFormat="1" ht="13.5" customHeight="1">
      <c r="A43" s="76" t="s">
        <v>84</v>
      </c>
      <c r="B43" s="74">
        <v>6702.8029999999999</v>
      </c>
      <c r="C43" s="74">
        <v>6557.45</v>
      </c>
      <c r="D43" s="74">
        <v>5622.1310000000003</v>
      </c>
      <c r="E43" s="74"/>
      <c r="F43" s="74">
        <v>7085.23</v>
      </c>
      <c r="G43" s="74">
        <v>6661.6260000000002</v>
      </c>
      <c r="H43" s="74">
        <v>7058.5479999999998</v>
      </c>
      <c r="I43" s="74">
        <v>6004.13</v>
      </c>
    </row>
    <row r="44" spans="1:16" s="45" customFormat="1" ht="13.5" customHeight="1">
      <c r="A44" s="247" t="s">
        <v>119</v>
      </c>
      <c r="B44" s="324">
        <f t="shared" ref="B44:D44" si="4">SUM(B42:B43)</f>
        <v>6703.326</v>
      </c>
      <c r="C44" s="324">
        <f t="shared" si="4"/>
        <v>6558.45</v>
      </c>
      <c r="D44" s="324">
        <f t="shared" si="4"/>
        <v>5626.6320000000005</v>
      </c>
      <c r="E44" s="324"/>
      <c r="F44" s="324">
        <f t="shared" ref="F44" si="5">SUM(F42:F43)</f>
        <v>7383.4969999999994</v>
      </c>
      <c r="G44" s="324">
        <f t="shared" ref="G44:H44" si="6">SUM(G42:G43)</f>
        <v>6662.1490000000003</v>
      </c>
      <c r="H44" s="324">
        <f t="shared" si="6"/>
        <v>7059.5479999999998</v>
      </c>
      <c r="I44" s="324">
        <f t="shared" ref="I44" si="7">SUM(I42:I43)</f>
        <v>6008.6310000000003</v>
      </c>
    </row>
    <row r="45" spans="1:16" s="339" customFormat="1" ht="21" customHeight="1">
      <c r="A45" s="318" t="s">
        <v>91</v>
      </c>
      <c r="B45" s="319">
        <f t="shared" ref="B45:D45" si="8">SUM(B44,B41,B33,B27,B20)</f>
        <v>74652.520999999993</v>
      </c>
      <c r="C45" s="319">
        <f t="shared" si="8"/>
        <v>74719.218000000008</v>
      </c>
      <c r="D45" s="319">
        <f t="shared" si="8"/>
        <v>77025.538</v>
      </c>
      <c r="E45" s="319"/>
      <c r="F45" s="319">
        <f t="shared" ref="F45" si="9">SUM(F44,F41,F33,F27,F20)</f>
        <v>75106.612000000008</v>
      </c>
      <c r="G45" s="319">
        <f t="shared" ref="G45:H45" si="10">SUM(G44,G41,G33,G27,G20)</f>
        <v>78931.975000000006</v>
      </c>
      <c r="H45" s="319">
        <f t="shared" si="10"/>
        <v>78674.654999999999</v>
      </c>
      <c r="I45" s="319">
        <f t="shared" ref="I45" si="11">SUM(I44,I41,I33,I27,I20)</f>
        <v>81216.66</v>
      </c>
      <c r="J45" s="337"/>
      <c r="K45" s="338"/>
    </row>
    <row r="46" spans="1:16" s="45" customFormat="1" ht="11.25" customHeight="1">
      <c r="J46" s="46"/>
    </row>
    <row r="47" spans="1:16" ht="14.25" hidden="1">
      <c r="A47" s="29" t="s">
        <v>168</v>
      </c>
      <c r="J47" s="316"/>
    </row>
    <row r="48" spans="1:16" s="113" customFormat="1" ht="27" customHeight="1">
      <c r="A48" s="572" t="s">
        <v>718</v>
      </c>
      <c r="B48" s="572"/>
      <c r="C48" s="572"/>
      <c r="D48" s="572"/>
      <c r="E48" s="572"/>
      <c r="F48" s="572"/>
      <c r="G48" s="327"/>
      <c r="H48" s="327"/>
      <c r="I48" s="327"/>
      <c r="J48" s="327"/>
      <c r="K48" s="327"/>
      <c r="L48" s="327"/>
      <c r="M48" s="327"/>
      <c r="N48" s="327"/>
      <c r="O48" s="327"/>
      <c r="P48" s="327"/>
    </row>
  </sheetData>
  <mergeCells count="1">
    <mergeCell ref="A48:F48"/>
  </mergeCells>
  <pageMargins left="0.7" right="0.7" top="0.78740157499999996" bottom="0.78740157499999996" header="0.3" footer="0.3"/>
  <pageSetup paperSize="9" scale="85" fitToHeight="0" orientation="portrait" r:id="rId1"/>
  <ignoredErrors>
    <ignoredError sqref="B4:C4 E4:G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rgb="FF92D050"/>
  </sheetPr>
  <dimension ref="A1:I90"/>
  <sheetViews>
    <sheetView workbookViewId="0"/>
  </sheetViews>
  <sheetFormatPr baseColWidth="10" defaultColWidth="11.42578125" defaultRowHeight="15"/>
  <cols>
    <col min="1" max="1" width="2.7109375" style="116" customWidth="1"/>
    <col min="2" max="2" width="49.28515625" style="53" customWidth="1"/>
    <col min="3" max="5" width="8.85546875" style="45" customWidth="1"/>
    <col min="6" max="6" width="2.140625" style="45" customWidth="1"/>
    <col min="7" max="7" width="8.85546875" style="45" customWidth="1"/>
    <col min="8" max="16384" width="11.42578125" style="45"/>
  </cols>
  <sheetData>
    <row r="1" spans="1:9" s="14" customFormat="1" ht="15.75">
      <c r="A1" s="77" t="s">
        <v>1004</v>
      </c>
      <c r="B1" s="57"/>
      <c r="C1" s="57"/>
      <c r="D1" s="57"/>
      <c r="E1" s="57"/>
      <c r="F1" s="57"/>
      <c r="G1" s="57"/>
      <c r="H1" s="57"/>
    </row>
    <row r="2" spans="1:9" s="15" customFormat="1">
      <c r="A2" s="68" t="s">
        <v>35</v>
      </c>
      <c r="B2" s="53"/>
      <c r="C2" s="53"/>
      <c r="D2" s="56"/>
      <c r="E2" s="56"/>
      <c r="F2" s="56"/>
      <c r="G2" s="56"/>
      <c r="H2" s="56"/>
    </row>
    <row r="3" spans="1:9" s="24" customFormat="1" ht="11.25" customHeight="1">
      <c r="A3" s="103"/>
      <c r="B3" s="53"/>
      <c r="C3" s="53"/>
      <c r="D3" s="56"/>
      <c r="E3" s="56"/>
      <c r="F3" s="56"/>
      <c r="G3" s="56"/>
      <c r="H3" s="56"/>
    </row>
    <row r="4" spans="1:9" s="111" customFormat="1" ht="37.5" customHeight="1">
      <c r="A4" s="120" t="s">
        <v>120</v>
      </c>
      <c r="B4" s="47"/>
      <c r="C4" s="314" t="s">
        <v>611</v>
      </c>
      <c r="D4" s="314" t="s">
        <v>946</v>
      </c>
      <c r="E4" s="314" t="s">
        <v>938</v>
      </c>
      <c r="F4" s="314"/>
      <c r="G4" s="314" t="s">
        <v>938</v>
      </c>
      <c r="H4" s="112"/>
      <c r="I4" s="110"/>
    </row>
    <row r="5" spans="1:9" s="17" customFormat="1">
      <c r="A5" s="56"/>
      <c r="B5" s="56"/>
      <c r="C5" s="56"/>
      <c r="D5" s="56"/>
      <c r="E5" s="335" t="s">
        <v>607</v>
      </c>
      <c r="F5" s="335"/>
      <c r="G5" s="335" t="s">
        <v>606</v>
      </c>
      <c r="H5" s="56"/>
    </row>
    <row r="6" spans="1:9" s="92" customFormat="1">
      <c r="A6" s="58" t="s">
        <v>121</v>
      </c>
      <c r="B6" s="58"/>
    </row>
    <row r="7" spans="1:9">
      <c r="B7" s="46" t="s">
        <v>58</v>
      </c>
      <c r="C7" s="54">
        <v>7.4580000000000002</v>
      </c>
      <c r="D7" s="55">
        <v>7.8410000000000002</v>
      </c>
      <c r="E7" s="55">
        <v>7.9530000000000003</v>
      </c>
      <c r="G7" s="117">
        <v>8.0030000000000001</v>
      </c>
    </row>
    <row r="8" spans="1:9">
      <c r="B8" s="46" t="s">
        <v>59</v>
      </c>
      <c r="C8" s="54">
        <v>136.26900000000001</v>
      </c>
      <c r="D8" s="55">
        <v>163.38200000000001</v>
      </c>
      <c r="E8" s="55">
        <v>146.22499999999999</v>
      </c>
      <c r="G8" s="117">
        <v>147.08500000000001</v>
      </c>
    </row>
    <row r="9" spans="1:9">
      <c r="B9" s="46" t="s">
        <v>60</v>
      </c>
      <c r="C9" s="54">
        <v>11.753</v>
      </c>
      <c r="D9" s="55">
        <v>12.625999999999999</v>
      </c>
      <c r="E9" s="55">
        <v>13.24</v>
      </c>
      <c r="G9" s="117">
        <v>13.742000000000001</v>
      </c>
    </row>
    <row r="10" spans="1:9">
      <c r="B10" s="46" t="s">
        <v>61</v>
      </c>
      <c r="C10" s="54">
        <v>15.686</v>
      </c>
      <c r="D10" s="55">
        <v>16.812000000000001</v>
      </c>
      <c r="E10" s="55">
        <v>17.991</v>
      </c>
      <c r="G10" s="117">
        <v>18.399999999999999</v>
      </c>
    </row>
    <row r="11" spans="1:9">
      <c r="B11" s="46" t="s">
        <v>62</v>
      </c>
      <c r="C11" s="54">
        <v>6.3159999999999998</v>
      </c>
      <c r="D11" s="55">
        <v>7.7350000000000003</v>
      </c>
      <c r="E11" s="55">
        <v>9.4269999999999996</v>
      </c>
      <c r="G11" s="117">
        <v>9.6020000000000003</v>
      </c>
    </row>
    <row r="12" spans="1:9">
      <c r="B12" s="46" t="s">
        <v>63</v>
      </c>
      <c r="C12" s="54">
        <v>27.370999999999999</v>
      </c>
      <c r="D12" s="55">
        <v>30.337</v>
      </c>
      <c r="E12" s="55">
        <v>30.074000000000002</v>
      </c>
      <c r="G12" s="117">
        <v>32.087000000000003</v>
      </c>
    </row>
    <row r="13" spans="1:9">
      <c r="A13" s="57" t="s">
        <v>122</v>
      </c>
      <c r="B13" s="57"/>
      <c r="D13" s="55"/>
      <c r="E13" s="55"/>
    </row>
    <row r="14" spans="1:9">
      <c r="B14" s="46" t="s">
        <v>64</v>
      </c>
      <c r="C14" s="54">
        <v>326.31900000000002</v>
      </c>
      <c r="D14" s="55">
        <v>277.42099999999999</v>
      </c>
      <c r="E14" s="55">
        <v>335.64499999999998</v>
      </c>
      <c r="G14" s="117">
        <v>343.28800000000001</v>
      </c>
    </row>
    <row r="15" spans="1:9">
      <c r="A15" s="57" t="s">
        <v>123</v>
      </c>
      <c r="B15" s="57"/>
      <c r="D15" s="55"/>
      <c r="E15" s="55"/>
    </row>
    <row r="16" spans="1:9">
      <c r="B16" s="46" t="s">
        <v>65</v>
      </c>
      <c r="C16" s="74">
        <v>2294.9270000000001</v>
      </c>
      <c r="D16" s="74">
        <v>2404.1320000000001</v>
      </c>
      <c r="E16" s="74">
        <v>2523.9079999999999</v>
      </c>
      <c r="F16" s="74"/>
      <c r="G16" s="74">
        <v>2576.8029999999999</v>
      </c>
    </row>
    <row r="17" spans="1:7">
      <c r="A17" s="57" t="s">
        <v>124</v>
      </c>
      <c r="B17" s="57"/>
      <c r="D17" s="55"/>
      <c r="E17" s="55"/>
    </row>
    <row r="18" spans="1:7">
      <c r="B18" s="46" t="s">
        <v>92</v>
      </c>
      <c r="C18" s="74">
        <v>416.56400000000002</v>
      </c>
      <c r="D18" s="74">
        <v>398.33</v>
      </c>
      <c r="E18" s="74">
        <v>411.92899999999997</v>
      </c>
      <c r="F18" s="74"/>
      <c r="G18" s="74">
        <v>415.13400000000001</v>
      </c>
    </row>
    <row r="19" spans="1:7">
      <c r="A19" s="57" t="s">
        <v>125</v>
      </c>
      <c r="B19" s="57"/>
      <c r="D19" s="55"/>
      <c r="E19" s="55"/>
    </row>
    <row r="20" spans="1:7">
      <c r="B20" s="46" t="s">
        <v>93</v>
      </c>
      <c r="C20" s="74">
        <v>1201.6600000000001</v>
      </c>
      <c r="D20" s="74">
        <v>1276.4290000000001</v>
      </c>
      <c r="E20" s="74">
        <v>1311.1010000000001</v>
      </c>
      <c r="F20" s="74"/>
      <c r="G20" s="74">
        <v>1403.258</v>
      </c>
    </row>
    <row r="21" spans="1:7">
      <c r="A21" s="57" t="s">
        <v>126</v>
      </c>
      <c r="B21" s="57"/>
      <c r="D21" s="55"/>
      <c r="E21" s="55"/>
    </row>
    <row r="22" spans="1:7">
      <c r="B22" s="46" t="s">
        <v>94</v>
      </c>
      <c r="C22" s="74">
        <v>2158.2429999999999</v>
      </c>
      <c r="D22" s="74">
        <v>2205.319</v>
      </c>
      <c r="E22" s="74">
        <v>2272.9830000000002</v>
      </c>
      <c r="F22" s="74"/>
      <c r="G22" s="74">
        <v>2175.1759999999999</v>
      </c>
    </row>
    <row r="23" spans="1:7">
      <c r="A23" s="57" t="s">
        <v>127</v>
      </c>
      <c r="B23" s="57"/>
      <c r="D23" s="55"/>
      <c r="E23" s="55"/>
    </row>
    <row r="24" spans="1:7">
      <c r="B24" s="46" t="s">
        <v>95</v>
      </c>
      <c r="C24" s="74">
        <v>1099.3620000000001</v>
      </c>
      <c r="D24" s="74">
        <v>1143.2380000000001</v>
      </c>
      <c r="E24" s="74">
        <v>1139.4780000000001</v>
      </c>
      <c r="F24" s="74"/>
      <c r="G24" s="74">
        <v>1208.6469999999999</v>
      </c>
    </row>
    <row r="25" spans="1:7">
      <c r="B25" s="46" t="s">
        <v>96</v>
      </c>
      <c r="C25" s="74">
        <v>0</v>
      </c>
      <c r="D25" s="74">
        <v>0</v>
      </c>
      <c r="E25" s="74">
        <v>0</v>
      </c>
      <c r="F25" s="74"/>
      <c r="G25" s="74">
        <v>1008.9880000000001</v>
      </c>
    </row>
    <row r="26" spans="1:7">
      <c r="B26" s="46" t="s">
        <v>101</v>
      </c>
      <c r="C26" s="74">
        <v>8007.5559999999996</v>
      </c>
      <c r="D26" s="74">
        <v>8917.86</v>
      </c>
      <c r="E26" s="74">
        <v>8611.0619999999999</v>
      </c>
      <c r="F26" s="74"/>
      <c r="G26" s="74">
        <v>8683.8060000000005</v>
      </c>
    </row>
    <row r="27" spans="1:7">
      <c r="B27" s="46" t="s">
        <v>114</v>
      </c>
      <c r="C27" s="74">
        <v>689.279</v>
      </c>
      <c r="D27" s="74">
        <v>708.67700000000002</v>
      </c>
      <c r="E27" s="74">
        <v>880.33500000000004</v>
      </c>
      <c r="F27" s="74"/>
      <c r="G27" s="74">
        <v>880.33500000000004</v>
      </c>
    </row>
    <row r="28" spans="1:7">
      <c r="B28" s="46" t="s">
        <v>115</v>
      </c>
      <c r="C28" s="74">
        <v>1563.1079999999999</v>
      </c>
      <c r="D28" s="74">
        <v>1556.7059999999999</v>
      </c>
      <c r="E28" s="74">
        <v>1717.367</v>
      </c>
      <c r="F28" s="74"/>
      <c r="G28" s="74">
        <v>706.83900000000006</v>
      </c>
    </row>
    <row r="29" spans="1:7">
      <c r="B29" s="46" t="s">
        <v>116</v>
      </c>
      <c r="C29" s="74">
        <v>79.590999999999994</v>
      </c>
      <c r="D29" s="74">
        <v>1887.41</v>
      </c>
      <c r="E29" s="74">
        <v>3286.4679999999998</v>
      </c>
      <c r="F29" s="74"/>
      <c r="G29" s="74">
        <v>889.23699999999997</v>
      </c>
    </row>
    <row r="30" spans="1:7">
      <c r="B30" s="46" t="s">
        <v>118</v>
      </c>
      <c r="C30" s="74">
        <v>345.63200000000001</v>
      </c>
      <c r="D30" s="74">
        <v>336.916</v>
      </c>
      <c r="E30" s="74">
        <v>323.77300000000002</v>
      </c>
      <c r="F30" s="74"/>
      <c r="G30" s="74">
        <v>298.267</v>
      </c>
    </row>
    <row r="31" spans="1:7">
      <c r="B31" s="46" t="s">
        <v>84</v>
      </c>
      <c r="C31" s="74">
        <v>6827.5129999999999</v>
      </c>
      <c r="D31" s="74">
        <v>6615.6360000000004</v>
      </c>
      <c r="E31" s="74">
        <v>6396.5609999999997</v>
      </c>
      <c r="F31" s="74"/>
      <c r="G31" s="74">
        <v>7085.23</v>
      </c>
    </row>
    <row r="32" spans="1:7">
      <c r="B32" s="92" t="s">
        <v>128</v>
      </c>
      <c r="C32" s="118">
        <f>SUM(C24:C31)</f>
        <v>18612.041000000001</v>
      </c>
      <c r="D32" s="118">
        <f>SUM(D24:D31)</f>
        <v>21166.442999999999</v>
      </c>
      <c r="E32" s="118">
        <f>SUM(E24:E31)</f>
        <v>22355.043999999998</v>
      </c>
      <c r="F32" s="118"/>
      <c r="G32" s="118">
        <f t="shared" ref="G32" si="0">SUM(G24:G31)</f>
        <v>20761.349000000002</v>
      </c>
    </row>
    <row r="33" spans="1:7">
      <c r="A33" s="57" t="s">
        <v>129</v>
      </c>
      <c r="B33" s="57"/>
      <c r="D33" s="55"/>
      <c r="E33" s="55"/>
    </row>
    <row r="34" spans="1:7">
      <c r="B34" s="46" t="s">
        <v>98</v>
      </c>
      <c r="C34" s="74">
        <v>6034.241</v>
      </c>
      <c r="D34" s="74">
        <v>6110.4489999999996</v>
      </c>
      <c r="E34" s="74">
        <v>6707.4629999999997</v>
      </c>
      <c r="F34" s="74"/>
      <c r="G34" s="74">
        <v>6493.0569999999998</v>
      </c>
    </row>
    <row r="35" spans="1:7">
      <c r="B35" s="46" t="s">
        <v>99</v>
      </c>
      <c r="C35" s="74">
        <v>2454.3069999999998</v>
      </c>
      <c r="D35" s="74">
        <v>2986.9259999999999</v>
      </c>
      <c r="E35" s="74">
        <v>2930.0659999999998</v>
      </c>
      <c r="F35" s="74"/>
      <c r="G35" s="74">
        <v>2930.4810000000002</v>
      </c>
    </row>
    <row r="36" spans="1:7">
      <c r="B36" s="46" t="s">
        <v>830</v>
      </c>
      <c r="C36" s="74">
        <v>9113.7749999999996</v>
      </c>
      <c r="D36" s="74">
        <v>9795.31</v>
      </c>
      <c r="E36" s="74">
        <v>9793.0889999999999</v>
      </c>
      <c r="F36" s="74"/>
      <c r="G36" s="74">
        <v>9718.8150000000005</v>
      </c>
    </row>
    <row r="37" spans="1:7">
      <c r="B37" s="58" t="s">
        <v>130</v>
      </c>
      <c r="C37" s="118">
        <f>SUM(C34:C36)</f>
        <v>17602.322999999997</v>
      </c>
      <c r="D37" s="118">
        <f>SUM(D34:D36)</f>
        <v>18892.684999999998</v>
      </c>
      <c r="E37" s="118">
        <f>SUM(E34:E36)</f>
        <v>19430.617999999999</v>
      </c>
      <c r="F37" s="118"/>
      <c r="G37" s="118">
        <f t="shared" ref="G37" si="1">SUM(G34:G36)</f>
        <v>19142.353000000003</v>
      </c>
    </row>
    <row r="38" spans="1:7">
      <c r="A38" s="57" t="s">
        <v>131</v>
      </c>
      <c r="B38" s="57"/>
      <c r="D38" s="55"/>
      <c r="E38" s="55"/>
    </row>
    <row r="39" spans="1:7">
      <c r="B39" s="46" t="s">
        <v>102</v>
      </c>
      <c r="C39" s="74">
        <v>904.29600000000005</v>
      </c>
      <c r="D39" s="74">
        <v>949.93499999999995</v>
      </c>
      <c r="E39" s="74">
        <v>968.60199999999998</v>
      </c>
      <c r="F39" s="74"/>
      <c r="G39" s="74">
        <v>971.00800000000004</v>
      </c>
    </row>
    <row r="40" spans="1:7">
      <c r="A40" s="57" t="s">
        <v>132</v>
      </c>
      <c r="B40" s="57"/>
      <c r="D40" s="55"/>
      <c r="E40" s="55"/>
    </row>
    <row r="41" spans="1:7">
      <c r="B41" s="46" t="s">
        <v>103</v>
      </c>
      <c r="C41" s="74">
        <v>6293.9089999999997</v>
      </c>
      <c r="D41" s="74">
        <v>6371.4080000000004</v>
      </c>
      <c r="E41" s="74">
        <v>6570.2550000000001</v>
      </c>
      <c r="F41" s="74"/>
      <c r="G41" s="74">
        <v>6469.6490000000003</v>
      </c>
    </row>
    <row r="42" spans="1:7">
      <c r="B42" s="46" t="s">
        <v>107</v>
      </c>
      <c r="C42" s="74">
        <v>106.17</v>
      </c>
      <c r="D42" s="74">
        <v>109.962</v>
      </c>
      <c r="E42" s="74">
        <v>99.522000000000006</v>
      </c>
      <c r="F42" s="74"/>
      <c r="G42" s="74">
        <v>101</v>
      </c>
    </row>
    <row r="43" spans="1:7">
      <c r="B43" s="46" t="s">
        <v>110</v>
      </c>
      <c r="C43" s="74">
        <v>408.73899999999998</v>
      </c>
      <c r="D43" s="74">
        <v>460.00299999999999</v>
      </c>
      <c r="E43" s="74">
        <v>402.096</v>
      </c>
      <c r="F43" s="74"/>
      <c r="G43" s="74">
        <v>434.596</v>
      </c>
    </row>
    <row r="44" spans="1:7">
      <c r="B44" s="92" t="s">
        <v>133</v>
      </c>
      <c r="C44" s="93">
        <f>SUM(C41:C43)</f>
        <v>6808.8179999999993</v>
      </c>
      <c r="D44" s="93">
        <f>SUM(D41:D43)</f>
        <v>6941.3730000000005</v>
      </c>
      <c r="E44" s="93">
        <f>SUM(E41:E43)</f>
        <v>7071.8729999999996</v>
      </c>
      <c r="F44" s="93"/>
      <c r="G44" s="93">
        <f t="shared" ref="G44" si="2">SUM(G41:G43)</f>
        <v>7005.2450000000008</v>
      </c>
    </row>
    <row r="45" spans="1:7">
      <c r="A45" s="57" t="s">
        <v>134</v>
      </c>
      <c r="B45" s="57"/>
      <c r="D45" s="55"/>
      <c r="E45" s="55"/>
    </row>
    <row r="46" spans="1:7">
      <c r="B46" s="46" t="s">
        <v>443</v>
      </c>
      <c r="C46" s="74">
        <v>7847.83</v>
      </c>
      <c r="D46" s="74">
        <v>8353.5769999999993</v>
      </c>
      <c r="E46" s="74">
        <v>8516.3719999999994</v>
      </c>
      <c r="F46" s="74"/>
      <c r="G46" s="74">
        <v>8563.7330000000002</v>
      </c>
    </row>
    <row r="47" spans="1:7" hidden="1">
      <c r="B47" s="46" t="s">
        <v>106</v>
      </c>
      <c r="C47" s="74">
        <v>0</v>
      </c>
      <c r="D47" s="74">
        <v>0</v>
      </c>
      <c r="E47" s="74">
        <v>0</v>
      </c>
      <c r="F47" s="74"/>
      <c r="G47" s="74">
        <v>0</v>
      </c>
    </row>
    <row r="48" spans="1:7" hidden="1">
      <c r="B48" s="58" t="s">
        <v>135</v>
      </c>
      <c r="C48" s="118">
        <f>SUM(C46:C47)</f>
        <v>7847.83</v>
      </c>
      <c r="D48" s="118">
        <f>SUM(D46:D47)</f>
        <v>8353.5769999999993</v>
      </c>
      <c r="E48" s="118">
        <f>SUM(E46:E47)</f>
        <v>8516.3719999999994</v>
      </c>
      <c r="F48" s="118"/>
      <c r="G48" s="118">
        <f t="shared" ref="G48" si="3">SUM(G46:G47)</f>
        <v>8563.7330000000002</v>
      </c>
    </row>
    <row r="49" spans="1:7">
      <c r="A49" s="57" t="s">
        <v>136</v>
      </c>
      <c r="B49" s="57"/>
      <c r="D49" s="55"/>
      <c r="E49" s="55"/>
    </row>
    <row r="50" spans="1:7">
      <c r="B50" s="46" t="s">
        <v>105</v>
      </c>
      <c r="C50" s="74">
        <v>3632.2750000000001</v>
      </c>
      <c r="D50" s="74">
        <v>3777.5810000000001</v>
      </c>
      <c r="E50" s="74">
        <v>3900.3820000000001</v>
      </c>
      <c r="F50" s="74"/>
      <c r="G50" s="74">
        <v>3904.6010000000001</v>
      </c>
    </row>
    <row r="51" spans="1:7">
      <c r="A51" s="57" t="s">
        <v>137</v>
      </c>
      <c r="B51" s="57"/>
      <c r="D51" s="55"/>
      <c r="E51" s="55"/>
    </row>
    <row r="52" spans="1:7">
      <c r="B52" s="46" t="s">
        <v>108</v>
      </c>
      <c r="C52" s="74">
        <v>349.89100000000002</v>
      </c>
      <c r="D52" s="74">
        <v>339.59</v>
      </c>
      <c r="E52" s="74">
        <v>369.91800000000001</v>
      </c>
      <c r="F52" s="74"/>
      <c r="G52" s="74">
        <v>373.64499999999998</v>
      </c>
    </row>
    <row r="53" spans="1:7">
      <c r="B53" s="46" t="s">
        <v>111</v>
      </c>
      <c r="C53" s="74">
        <v>2741.7280000000001</v>
      </c>
      <c r="D53" s="74">
        <v>2814.47</v>
      </c>
      <c r="E53" s="74">
        <v>2952.8609999999999</v>
      </c>
      <c r="F53" s="74"/>
      <c r="G53" s="74">
        <v>4319.1509999999998</v>
      </c>
    </row>
    <row r="54" spans="1:7">
      <c r="B54" s="92" t="s">
        <v>138</v>
      </c>
      <c r="C54" s="93">
        <f>SUM(C52:C53)</f>
        <v>3091.6190000000001</v>
      </c>
      <c r="D54" s="93">
        <f>SUM(D52:D53)</f>
        <v>3154.06</v>
      </c>
      <c r="E54" s="93">
        <f>SUM(E52:E53)</f>
        <v>3322.779</v>
      </c>
      <c r="F54" s="93"/>
      <c r="G54" s="93">
        <f t="shared" ref="G54" si="4">SUM(G52:G53)</f>
        <v>4692.7960000000003</v>
      </c>
    </row>
    <row r="55" spans="1:7">
      <c r="A55" s="57" t="s">
        <v>139</v>
      </c>
      <c r="B55" s="57"/>
      <c r="D55" s="55"/>
      <c r="E55" s="55"/>
    </row>
    <row r="56" spans="1:7">
      <c r="B56" s="46" t="s">
        <v>112</v>
      </c>
      <c r="C56" s="74">
        <v>2033.7670000000001</v>
      </c>
      <c r="D56" s="74">
        <v>2108.9360000000001</v>
      </c>
      <c r="E56" s="74">
        <v>2126.404</v>
      </c>
      <c r="F56" s="74"/>
      <c r="G56" s="74">
        <v>2133.4989999999998</v>
      </c>
    </row>
    <row r="57" spans="1:7" s="46" customFormat="1">
      <c r="A57" s="28"/>
      <c r="B57" s="46" t="s">
        <v>113</v>
      </c>
      <c r="C57" s="74">
        <v>677.99199999999996</v>
      </c>
      <c r="D57" s="74">
        <v>735.45399999999995</v>
      </c>
      <c r="E57" s="74">
        <v>794.73699999999997</v>
      </c>
      <c r="F57" s="74"/>
      <c r="G57" s="74">
        <v>790.80700000000002</v>
      </c>
    </row>
    <row r="58" spans="1:7" s="46" customFormat="1">
      <c r="A58" s="28"/>
      <c r="B58" s="92" t="s">
        <v>140</v>
      </c>
      <c r="C58" s="118">
        <f>SUM(C56:C57)</f>
        <v>2711.759</v>
      </c>
      <c r="D58" s="118">
        <f>SUM(D56:D57)</f>
        <v>2844.3900000000003</v>
      </c>
      <c r="E58" s="118">
        <f>SUM(E56:E57)</f>
        <v>2921.1410000000001</v>
      </c>
      <c r="F58" s="118"/>
      <c r="G58" s="118">
        <f t="shared" ref="G58" si="5">SUM(G56:G57)</f>
        <v>2924.3059999999996</v>
      </c>
    </row>
    <row r="59" spans="1:7" s="46" customFormat="1" ht="11.25" customHeight="1">
      <c r="A59" s="119"/>
      <c r="B59" s="94"/>
      <c r="C59" s="95"/>
      <c r="D59" s="95"/>
      <c r="E59" s="95"/>
      <c r="F59" s="93"/>
      <c r="G59" s="95"/>
    </row>
    <row r="60" spans="1:7" ht="11.25" customHeight="1">
      <c r="D60" s="55"/>
      <c r="E60" s="55"/>
      <c r="F60" s="46"/>
    </row>
    <row r="61" spans="1:7" s="53" customFormat="1" ht="35.25" customHeight="1">
      <c r="A61" s="572" t="s">
        <v>840</v>
      </c>
      <c r="B61" s="572"/>
      <c r="C61" s="572"/>
      <c r="D61" s="572"/>
      <c r="E61" s="572"/>
    </row>
    <row r="62" spans="1:7" collapsed="1">
      <c r="D62" s="117"/>
      <c r="E62" s="117"/>
    </row>
    <row r="63" spans="1:7">
      <c r="D63" s="117"/>
      <c r="E63" s="117"/>
    </row>
    <row r="64" spans="1:7">
      <c r="D64" s="117"/>
      <c r="E64" s="117"/>
    </row>
    <row r="65" spans="4:5">
      <c r="D65" s="117"/>
      <c r="E65" s="117"/>
    </row>
    <row r="66" spans="4:5">
      <c r="D66" s="117"/>
      <c r="E66" s="117"/>
    </row>
    <row r="67" spans="4:5">
      <c r="D67" s="117"/>
      <c r="E67" s="117"/>
    </row>
    <row r="68" spans="4:5">
      <c r="D68" s="117"/>
      <c r="E68" s="117"/>
    </row>
    <row r="69" spans="4:5">
      <c r="D69" s="117"/>
      <c r="E69" s="117"/>
    </row>
    <row r="70" spans="4:5">
      <c r="D70" s="117"/>
      <c r="E70" s="117"/>
    </row>
    <row r="71" spans="4:5">
      <c r="D71" s="117"/>
      <c r="E71" s="117"/>
    </row>
    <row r="72" spans="4:5">
      <c r="D72" s="117"/>
      <c r="E72" s="117"/>
    </row>
    <row r="73" spans="4:5">
      <c r="D73" s="117"/>
      <c r="E73" s="117"/>
    </row>
    <row r="74" spans="4:5">
      <c r="D74" s="117"/>
      <c r="E74" s="117"/>
    </row>
    <row r="75" spans="4:5">
      <c r="D75" s="117"/>
      <c r="E75" s="117"/>
    </row>
    <row r="76" spans="4:5">
      <c r="D76" s="117"/>
      <c r="E76" s="117"/>
    </row>
    <row r="77" spans="4:5">
      <c r="D77" s="117"/>
      <c r="E77" s="117"/>
    </row>
    <row r="78" spans="4:5">
      <c r="D78" s="117"/>
      <c r="E78" s="117"/>
    </row>
    <row r="79" spans="4:5">
      <c r="D79" s="117"/>
      <c r="E79" s="117"/>
    </row>
    <row r="80" spans="4:5">
      <c r="D80" s="117"/>
      <c r="E80" s="117"/>
    </row>
    <row r="81" spans="4:5">
      <c r="D81" s="117"/>
      <c r="E81" s="117"/>
    </row>
    <row r="82" spans="4:5">
      <c r="D82" s="117"/>
      <c r="E82" s="117"/>
    </row>
    <row r="83" spans="4:5">
      <c r="D83" s="117"/>
      <c r="E83" s="117"/>
    </row>
    <row r="84" spans="4:5">
      <c r="D84" s="117"/>
      <c r="E84" s="117"/>
    </row>
    <row r="85" spans="4:5">
      <c r="D85" s="117"/>
      <c r="E85" s="117"/>
    </row>
    <row r="86" spans="4:5">
      <c r="D86" s="117"/>
      <c r="E86" s="117"/>
    </row>
    <row r="87" spans="4:5">
      <c r="D87" s="117"/>
      <c r="E87" s="117"/>
    </row>
    <row r="88" spans="4:5">
      <c r="D88" s="117"/>
      <c r="E88" s="117"/>
    </row>
    <row r="89" spans="4:5">
      <c r="D89" s="117"/>
      <c r="E89" s="117"/>
    </row>
    <row r="90" spans="4:5">
      <c r="D90" s="117"/>
      <c r="E90" s="117"/>
    </row>
  </sheetData>
  <mergeCells count="1">
    <mergeCell ref="A61:E61"/>
  </mergeCells>
  <pageMargins left="0.23622047244094491" right="0.23622047244094491" top="0.74803149606299213" bottom="0.74803149606299213" header="0.31496062992125984" footer="0.31496062992125984"/>
  <pageSetup paperSize="9" scale="70" orientation="portrait" horizontalDpi="300" verticalDpi="300" r:id="rId1"/>
  <ignoredErrors>
    <ignoredError sqref="C4:G4"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rgb="FF92D050"/>
  </sheetPr>
  <dimension ref="A1:J83"/>
  <sheetViews>
    <sheetView workbookViewId="0"/>
  </sheetViews>
  <sheetFormatPr baseColWidth="10" defaultColWidth="11.42578125" defaultRowHeight="15"/>
  <cols>
    <col min="1" max="1" width="2.7109375" style="116" customWidth="1"/>
    <col min="2" max="2" width="45.85546875" style="53" customWidth="1"/>
    <col min="3" max="3" width="8" style="45" bestFit="1" customWidth="1"/>
    <col min="4" max="4" width="8.85546875" style="45" bestFit="1" customWidth="1"/>
    <col min="5" max="5" width="8.85546875" style="45" customWidth="1"/>
    <col min="6" max="6" width="3.7109375" style="45" customWidth="1"/>
    <col min="7" max="7" width="7.42578125" style="45" customWidth="1"/>
    <col min="8" max="9" width="7.7109375" style="45" customWidth="1"/>
    <col min="10" max="16384" width="11.42578125" style="45"/>
  </cols>
  <sheetData>
    <row r="1" spans="1:10" s="14" customFormat="1" ht="15.75">
      <c r="A1" s="77" t="s">
        <v>1005</v>
      </c>
      <c r="B1" s="57"/>
      <c r="C1" s="57"/>
      <c r="D1" s="57"/>
      <c r="E1" s="57"/>
      <c r="F1" s="57"/>
      <c r="G1" s="57"/>
      <c r="H1" s="57"/>
      <c r="I1" s="57"/>
    </row>
    <row r="2" spans="1:10" s="15" customFormat="1">
      <c r="A2" s="68" t="s">
        <v>35</v>
      </c>
      <c r="B2" s="53"/>
      <c r="C2" s="56"/>
      <c r="D2" s="56"/>
      <c r="E2" s="56"/>
      <c r="F2" s="56"/>
      <c r="G2" s="56"/>
      <c r="H2" s="56"/>
      <c r="I2" s="56"/>
    </row>
    <row r="3" spans="1:10" s="24" customFormat="1" ht="11.25" customHeight="1">
      <c r="A3" s="103"/>
      <c r="B3" s="53"/>
      <c r="C3" s="56"/>
      <c r="D3" s="56"/>
      <c r="E3" s="56"/>
      <c r="F3" s="56"/>
      <c r="G3" s="56"/>
      <c r="H3" s="56"/>
      <c r="I3" s="56"/>
    </row>
    <row r="4" spans="1:10" s="111" customFormat="1" ht="37.5" customHeight="1">
      <c r="A4" s="120" t="s">
        <v>120</v>
      </c>
      <c r="B4" s="47"/>
      <c r="C4" s="314" t="s">
        <v>945</v>
      </c>
      <c r="D4" s="314" t="s">
        <v>939</v>
      </c>
      <c r="E4" s="314" t="s">
        <v>1053</v>
      </c>
      <c r="F4" s="314"/>
      <c r="G4" s="314" t="s">
        <v>945</v>
      </c>
      <c r="H4" s="314" t="s">
        <v>939</v>
      </c>
      <c r="I4" s="314" t="s">
        <v>1054</v>
      </c>
      <c r="J4" s="110"/>
    </row>
    <row r="5" spans="1:10" s="17" customFormat="1">
      <c r="A5" s="56"/>
      <c r="B5" s="56"/>
      <c r="C5" s="335" t="s">
        <v>607</v>
      </c>
      <c r="D5" s="335" t="s">
        <v>607</v>
      </c>
      <c r="E5" s="335" t="s">
        <v>607</v>
      </c>
      <c r="F5" s="335"/>
      <c r="G5" s="335" t="s">
        <v>606</v>
      </c>
      <c r="H5" s="335" t="s">
        <v>606</v>
      </c>
      <c r="I5" s="335" t="s">
        <v>606</v>
      </c>
    </row>
    <row r="6" spans="1:10" s="92" customFormat="1">
      <c r="A6" s="58" t="s">
        <v>121</v>
      </c>
      <c r="B6" s="58"/>
    </row>
    <row r="7" spans="1:10">
      <c r="B7" s="46" t="s">
        <v>58</v>
      </c>
      <c r="C7" s="55">
        <v>7.7729999999999997</v>
      </c>
      <c r="D7" s="55">
        <v>8.1880000000000006</v>
      </c>
      <c r="E7" s="55">
        <v>8.16</v>
      </c>
      <c r="F7" s="55"/>
      <c r="G7" s="55">
        <v>7.86</v>
      </c>
      <c r="H7" s="55">
        <v>8.4120000000000008</v>
      </c>
      <c r="I7" s="55">
        <v>8.3930000000000007</v>
      </c>
    </row>
    <row r="8" spans="1:10">
      <c r="B8" s="46" t="s">
        <v>59</v>
      </c>
      <c r="C8" s="55">
        <v>147.95500000000001</v>
      </c>
      <c r="D8" s="55">
        <v>165.55600000000001</v>
      </c>
      <c r="E8" s="55">
        <v>196.15100000000001</v>
      </c>
      <c r="F8" s="55"/>
      <c r="G8" s="55">
        <v>149.41800000000001</v>
      </c>
      <c r="H8" s="55">
        <v>167.01300000000001</v>
      </c>
      <c r="I8" s="55">
        <v>197.64</v>
      </c>
    </row>
    <row r="9" spans="1:10">
      <c r="B9" s="46" t="s">
        <v>60</v>
      </c>
      <c r="C9" s="55">
        <v>13.474</v>
      </c>
      <c r="D9" s="55">
        <v>14.831</v>
      </c>
      <c r="E9" s="55">
        <v>14.86</v>
      </c>
      <c r="F9" s="55"/>
      <c r="G9" s="55">
        <v>13.507</v>
      </c>
      <c r="H9" s="55">
        <v>15.11</v>
      </c>
      <c r="I9" s="55">
        <v>15.143000000000001</v>
      </c>
    </row>
    <row r="10" spans="1:10">
      <c r="B10" s="46" t="s">
        <v>61</v>
      </c>
      <c r="C10" s="55">
        <v>18.524999999999999</v>
      </c>
      <c r="D10" s="55">
        <v>19.353999999999999</v>
      </c>
      <c r="E10" s="55">
        <v>19.378</v>
      </c>
      <c r="F10" s="55"/>
      <c r="G10" s="55">
        <v>18.594999999999999</v>
      </c>
      <c r="H10" s="55">
        <v>19.452000000000002</v>
      </c>
      <c r="I10" s="55">
        <v>19.530999999999999</v>
      </c>
    </row>
    <row r="11" spans="1:10">
      <c r="B11" s="46" t="s">
        <v>62</v>
      </c>
      <c r="C11" s="55">
        <v>9.7260000000000009</v>
      </c>
      <c r="D11" s="55">
        <v>10.475</v>
      </c>
      <c r="E11" s="55">
        <v>10.558999999999999</v>
      </c>
      <c r="F11" s="55"/>
      <c r="G11" s="55">
        <v>9.82</v>
      </c>
      <c r="H11" s="55">
        <v>10.484999999999999</v>
      </c>
      <c r="I11" s="55">
        <v>10.646000000000001</v>
      </c>
    </row>
    <row r="12" spans="1:10">
      <c r="B12" s="46" t="s">
        <v>63</v>
      </c>
      <c r="C12" s="55">
        <v>30.617999999999999</v>
      </c>
      <c r="D12" s="55">
        <v>32.433999999999997</v>
      </c>
      <c r="E12" s="55">
        <v>32.924999999999997</v>
      </c>
      <c r="F12" s="55"/>
      <c r="G12" s="55">
        <v>31.388000000000002</v>
      </c>
      <c r="H12" s="55">
        <v>32.613999999999997</v>
      </c>
      <c r="I12" s="55">
        <v>33.786000000000001</v>
      </c>
    </row>
    <row r="13" spans="1:10">
      <c r="A13" s="57" t="s">
        <v>122</v>
      </c>
      <c r="B13" s="57"/>
      <c r="C13" s="55"/>
      <c r="D13" s="55"/>
      <c r="E13" s="55"/>
      <c r="F13" s="55"/>
      <c r="G13" s="55"/>
      <c r="H13" s="55"/>
      <c r="I13" s="55"/>
    </row>
    <row r="14" spans="1:10">
      <c r="B14" s="46" t="s">
        <v>64</v>
      </c>
      <c r="C14" s="55">
        <v>396.52699999999999</v>
      </c>
      <c r="D14" s="55">
        <v>397.63600000000002</v>
      </c>
      <c r="E14" s="55">
        <v>401.65</v>
      </c>
      <c r="F14" s="55"/>
      <c r="G14" s="55">
        <v>399.08</v>
      </c>
      <c r="H14" s="55">
        <v>401.82400000000001</v>
      </c>
      <c r="I14" s="55">
        <v>406.47500000000002</v>
      </c>
    </row>
    <row r="15" spans="1:10">
      <c r="B15" s="46" t="s">
        <v>106</v>
      </c>
      <c r="C15" s="74">
        <v>370.036</v>
      </c>
      <c r="D15" s="74">
        <v>441.74599999999998</v>
      </c>
      <c r="E15" s="74">
        <v>441.24599999999998</v>
      </c>
      <c r="F15" s="74"/>
      <c r="G15" s="74">
        <v>378.73899999999998</v>
      </c>
      <c r="H15" s="74">
        <v>441.02</v>
      </c>
      <c r="I15" s="74">
        <v>440.52</v>
      </c>
    </row>
    <row r="16" spans="1:10">
      <c r="B16" s="92" t="s">
        <v>122</v>
      </c>
      <c r="C16" s="118">
        <f>SUM(C14:C15)</f>
        <v>766.56299999999999</v>
      </c>
      <c r="D16" s="118">
        <f t="shared" ref="D16:H16" si="0">SUM(D14:D15)</f>
        <v>839.38200000000006</v>
      </c>
      <c r="E16" s="118">
        <f t="shared" si="0"/>
        <v>842.89599999999996</v>
      </c>
      <c r="F16" s="118"/>
      <c r="G16" s="118">
        <f t="shared" si="0"/>
        <v>777.81899999999996</v>
      </c>
      <c r="H16" s="118">
        <f t="shared" si="0"/>
        <v>842.84400000000005</v>
      </c>
      <c r="I16" s="118">
        <f>SUM(I14:I15)</f>
        <v>846.995</v>
      </c>
    </row>
    <row r="17" spans="1:9">
      <c r="A17" s="57" t="s">
        <v>123</v>
      </c>
      <c r="B17" s="57"/>
      <c r="C17" s="55"/>
      <c r="D17" s="55"/>
      <c r="E17" s="55"/>
      <c r="F17" s="55"/>
      <c r="G17" s="55"/>
      <c r="H17" s="55"/>
      <c r="I17" s="55"/>
    </row>
    <row r="18" spans="1:9">
      <c r="B18" s="46" t="s">
        <v>65</v>
      </c>
      <c r="C18" s="74">
        <v>2600.34</v>
      </c>
      <c r="D18" s="74">
        <v>2529.931</v>
      </c>
      <c r="E18" s="74">
        <v>3027.5909999999999</v>
      </c>
      <c r="F18" s="74"/>
      <c r="G18" s="74">
        <v>2633.3270000000002</v>
      </c>
      <c r="H18" s="74">
        <v>2568.0340000000001</v>
      </c>
      <c r="I18" s="74">
        <v>3041.6640000000002</v>
      </c>
    </row>
    <row r="19" spans="1:9">
      <c r="A19" s="57" t="s">
        <v>835</v>
      </c>
      <c r="B19" s="57"/>
      <c r="C19" s="55"/>
      <c r="D19" s="55"/>
      <c r="E19" s="55"/>
      <c r="F19" s="55"/>
      <c r="G19" s="55"/>
      <c r="H19" s="55"/>
      <c r="I19" s="55"/>
    </row>
    <row r="20" spans="1:9">
      <c r="B20" s="46" t="s">
        <v>92</v>
      </c>
      <c r="C20" s="74">
        <v>420.577</v>
      </c>
      <c r="D20" s="74">
        <v>409.14100000000002</v>
      </c>
      <c r="E20" s="74">
        <v>427.99299999999999</v>
      </c>
      <c r="F20" s="74"/>
      <c r="G20" s="74">
        <v>427.69400000000002</v>
      </c>
      <c r="H20" s="74">
        <v>417.37900000000002</v>
      </c>
      <c r="I20" s="74">
        <v>439.702</v>
      </c>
    </row>
    <row r="21" spans="1:9">
      <c r="A21" s="57" t="s">
        <v>125</v>
      </c>
      <c r="B21" s="57"/>
      <c r="C21" s="55"/>
      <c r="D21" s="55"/>
      <c r="E21" s="55"/>
      <c r="F21" s="55"/>
      <c r="G21" s="55"/>
      <c r="H21" s="55"/>
      <c r="I21" s="55"/>
    </row>
    <row r="22" spans="1:9">
      <c r="B22" s="46" t="s">
        <v>93</v>
      </c>
      <c r="C22" s="74">
        <v>1372.258</v>
      </c>
      <c r="D22" s="74">
        <v>1309.1320000000001</v>
      </c>
      <c r="E22" s="74">
        <v>1305.259</v>
      </c>
      <c r="F22" s="74"/>
      <c r="G22" s="74">
        <v>1395.2139999999999</v>
      </c>
      <c r="H22" s="74">
        <v>1384.741</v>
      </c>
      <c r="I22" s="74">
        <v>1361.7560000000001</v>
      </c>
    </row>
    <row r="23" spans="1:9">
      <c r="A23" s="57" t="s">
        <v>126</v>
      </c>
      <c r="B23" s="57"/>
      <c r="C23" s="55"/>
      <c r="D23" s="55"/>
      <c r="E23" s="55"/>
      <c r="F23" s="55"/>
      <c r="G23" s="55"/>
      <c r="H23" s="55"/>
      <c r="I23" s="55"/>
    </row>
    <row r="24" spans="1:9">
      <c r="B24" s="46" t="s">
        <v>94</v>
      </c>
      <c r="C24" s="74">
        <v>2179.9870000000001</v>
      </c>
      <c r="D24" s="74">
        <v>1981.68</v>
      </c>
      <c r="E24" s="74">
        <v>2071.9270000000001</v>
      </c>
      <c r="F24" s="74"/>
      <c r="G24" s="74">
        <v>2099.1289999999999</v>
      </c>
      <c r="H24" s="74">
        <v>2177.3510000000001</v>
      </c>
      <c r="I24" s="74">
        <v>2223.9569999999999</v>
      </c>
    </row>
    <row r="25" spans="1:9">
      <c r="A25" s="57" t="s">
        <v>127</v>
      </c>
      <c r="B25" s="57"/>
      <c r="C25" s="55"/>
      <c r="D25" s="55"/>
      <c r="E25" s="55"/>
      <c r="F25" s="55"/>
      <c r="G25" s="55"/>
      <c r="H25" s="55"/>
      <c r="I25" s="55"/>
    </row>
    <row r="26" spans="1:9">
      <c r="B26" s="46" t="s">
        <v>95</v>
      </c>
      <c r="C26" s="74">
        <v>1089.491</v>
      </c>
      <c r="D26" s="74">
        <v>1156.6030000000001</v>
      </c>
      <c r="E26" s="74">
        <v>1167.048</v>
      </c>
      <c r="F26" s="74"/>
      <c r="G26" s="74">
        <v>1474.569</v>
      </c>
      <c r="H26" s="74">
        <v>1193.838</v>
      </c>
      <c r="I26" s="74">
        <v>1192.636</v>
      </c>
    </row>
    <row r="27" spans="1:9">
      <c r="B27" s="46" t="s">
        <v>96</v>
      </c>
      <c r="C27" s="74">
        <v>0</v>
      </c>
      <c r="D27" s="74">
        <v>0</v>
      </c>
      <c r="E27" s="74">
        <v>0</v>
      </c>
      <c r="F27" s="74"/>
      <c r="G27" s="74">
        <v>648.45399999999995</v>
      </c>
      <c r="H27" s="74">
        <v>1090</v>
      </c>
      <c r="I27" s="74">
        <v>1001</v>
      </c>
    </row>
    <row r="28" spans="1:9">
      <c r="B28" s="46" t="s">
        <v>101</v>
      </c>
      <c r="C28" s="74">
        <v>8998.9480000000003</v>
      </c>
      <c r="D28" s="74">
        <v>9288.3770000000004</v>
      </c>
      <c r="E28" s="74">
        <v>9374.9349999999995</v>
      </c>
      <c r="F28" s="74"/>
      <c r="G28" s="74">
        <v>8937.1229999999996</v>
      </c>
      <c r="H28" s="74">
        <v>9277.9740000000002</v>
      </c>
      <c r="I28" s="74">
        <v>9363.8469999999998</v>
      </c>
    </row>
    <row r="29" spans="1:9">
      <c r="B29" s="46" t="s">
        <v>114</v>
      </c>
      <c r="C29" s="74">
        <v>875.77599999999995</v>
      </c>
      <c r="D29" s="74">
        <v>988.67100000000005</v>
      </c>
      <c r="E29" s="74">
        <v>976.03700000000003</v>
      </c>
      <c r="F29" s="74"/>
      <c r="G29" s="74">
        <v>875.77599999999995</v>
      </c>
      <c r="H29" s="74">
        <v>988.67100000000005</v>
      </c>
      <c r="I29" s="74">
        <v>976.03700000000003</v>
      </c>
    </row>
    <row r="30" spans="1:9">
      <c r="B30" s="46" t="s">
        <v>115</v>
      </c>
      <c r="C30" s="74">
        <v>1063.4780000000001</v>
      </c>
      <c r="D30" s="74">
        <v>1023.297</v>
      </c>
      <c r="E30" s="74">
        <v>1035.4449999999999</v>
      </c>
      <c r="F30" s="74"/>
      <c r="G30" s="74">
        <v>607.71400000000006</v>
      </c>
      <c r="H30" s="74">
        <v>642.24699999999996</v>
      </c>
      <c r="I30" s="74">
        <v>792.71199999999999</v>
      </c>
    </row>
    <row r="31" spans="1:9">
      <c r="B31" s="46" t="s">
        <v>116</v>
      </c>
      <c r="C31" s="74">
        <v>765.47900000000004</v>
      </c>
      <c r="D31" s="74">
        <v>431</v>
      </c>
      <c r="E31" s="74">
        <v>771.66399999999999</v>
      </c>
      <c r="F31" s="74"/>
      <c r="G31" s="74">
        <v>2467.299</v>
      </c>
      <c r="H31" s="74">
        <v>430.91300000000001</v>
      </c>
      <c r="I31" s="74">
        <v>726.65700000000004</v>
      </c>
    </row>
    <row r="32" spans="1:9">
      <c r="B32" s="46" t="s">
        <v>118</v>
      </c>
      <c r="C32" s="74">
        <v>0.52300000000000002</v>
      </c>
      <c r="D32" s="74">
        <v>1</v>
      </c>
      <c r="E32" s="74">
        <v>4.5010000000000003</v>
      </c>
      <c r="F32" s="74"/>
      <c r="G32" s="74">
        <v>0.52300000000000002</v>
      </c>
      <c r="H32" s="74">
        <v>1</v>
      </c>
      <c r="I32" s="74">
        <v>4.5010000000000003</v>
      </c>
    </row>
    <row r="33" spans="1:9">
      <c r="B33" s="46" t="s">
        <v>84</v>
      </c>
      <c r="C33" s="74">
        <v>6702.8029999999999</v>
      </c>
      <c r="D33" s="74">
        <v>6557.45</v>
      </c>
      <c r="E33" s="74">
        <v>5622.1310000000003</v>
      </c>
      <c r="F33" s="74"/>
      <c r="G33" s="74">
        <v>6661.6260000000002</v>
      </c>
      <c r="H33" s="74">
        <v>7058.5479999999998</v>
      </c>
      <c r="I33" s="74">
        <v>6004.13</v>
      </c>
    </row>
    <row r="34" spans="1:9">
      <c r="B34" s="92" t="s">
        <v>128</v>
      </c>
      <c r="C34" s="118">
        <f t="shared" ref="C34:H34" si="1">SUM(C26:C33)</f>
        <v>19496.498</v>
      </c>
      <c r="D34" s="118">
        <f t="shared" si="1"/>
        <v>19446.398000000001</v>
      </c>
      <c r="E34" s="118">
        <f t="shared" si="1"/>
        <v>18951.761000000002</v>
      </c>
      <c r="F34" s="118"/>
      <c r="G34" s="118">
        <f t="shared" si="1"/>
        <v>21673.084000000003</v>
      </c>
      <c r="H34" s="118">
        <f t="shared" si="1"/>
        <v>20683.190999999999</v>
      </c>
      <c r="I34" s="118">
        <f>SUM(I26:I33)</f>
        <v>20061.52</v>
      </c>
    </row>
    <row r="35" spans="1:9">
      <c r="A35" s="57" t="s">
        <v>129</v>
      </c>
      <c r="B35" s="57"/>
      <c r="C35" s="55"/>
      <c r="D35" s="55"/>
      <c r="E35" s="55"/>
      <c r="F35" s="55"/>
      <c r="G35" s="55"/>
      <c r="H35" s="55"/>
      <c r="I35" s="55"/>
    </row>
    <row r="36" spans="1:9">
      <c r="B36" s="46" t="s">
        <v>98</v>
      </c>
      <c r="C36" s="74">
        <v>7423.8429999999998</v>
      </c>
      <c r="D36" s="74">
        <v>7147.2039999999997</v>
      </c>
      <c r="E36" s="74">
        <v>8091.3289999999997</v>
      </c>
      <c r="F36" s="74"/>
      <c r="G36" s="74">
        <v>7739.0529999999999</v>
      </c>
      <c r="H36" s="74">
        <v>7154.8209999999999</v>
      </c>
      <c r="I36" s="74">
        <v>8101.442</v>
      </c>
    </row>
    <row r="37" spans="1:9">
      <c r="B37" s="46" t="s">
        <v>99</v>
      </c>
      <c r="C37" s="74">
        <v>2965.6329999999998</v>
      </c>
      <c r="D37" s="74">
        <v>3000.23</v>
      </c>
      <c r="E37" s="74">
        <v>3050.779</v>
      </c>
      <c r="F37" s="74"/>
      <c r="G37" s="74">
        <v>2964.2840000000001</v>
      </c>
      <c r="H37" s="74">
        <v>3001.8229999999999</v>
      </c>
      <c r="I37" s="74">
        <v>3061.4560000000001</v>
      </c>
    </row>
    <row r="38" spans="1:9">
      <c r="B38" s="46" t="s">
        <v>100</v>
      </c>
      <c r="C38" s="74">
        <v>10402.763999999999</v>
      </c>
      <c r="D38" s="74">
        <v>10680</v>
      </c>
      <c r="E38" s="74">
        <v>11018.865</v>
      </c>
      <c r="F38" s="74"/>
      <c r="G38" s="74">
        <v>10548.893</v>
      </c>
      <c r="H38" s="74">
        <v>10680</v>
      </c>
      <c r="I38" s="74">
        <v>11018.865</v>
      </c>
    </row>
    <row r="39" spans="1:9">
      <c r="B39" s="58" t="s">
        <v>130</v>
      </c>
      <c r="C39" s="118">
        <f t="shared" ref="C39:I39" si="2">SUM(C36:C38)</f>
        <v>20792.239999999998</v>
      </c>
      <c r="D39" s="118">
        <f>SUM(D36:D38)</f>
        <v>20827.434000000001</v>
      </c>
      <c r="E39" s="118">
        <f t="shared" si="2"/>
        <v>22160.972999999998</v>
      </c>
      <c r="F39" s="118"/>
      <c r="G39" s="118">
        <f t="shared" si="2"/>
        <v>21252.23</v>
      </c>
      <c r="H39" s="118">
        <f t="shared" si="2"/>
        <v>20836.644</v>
      </c>
      <c r="I39" s="118">
        <f t="shared" si="2"/>
        <v>22181.762999999999</v>
      </c>
    </row>
    <row r="40" spans="1:9">
      <c r="A40" s="57" t="s">
        <v>131</v>
      </c>
      <c r="B40" s="57"/>
      <c r="C40" s="55"/>
      <c r="D40" s="55"/>
      <c r="E40" s="55"/>
      <c r="F40" s="55"/>
      <c r="G40" s="55"/>
      <c r="H40" s="55"/>
      <c r="I40" s="55"/>
    </row>
    <row r="41" spans="1:9">
      <c r="B41" s="46" t="s">
        <v>102</v>
      </c>
      <c r="C41" s="74">
        <v>994.78099999999995</v>
      </c>
      <c r="D41" s="74">
        <v>957.04399999999998</v>
      </c>
      <c r="E41" s="74">
        <v>1043.1659999999999</v>
      </c>
      <c r="F41" s="74"/>
      <c r="G41" s="74">
        <v>995.899</v>
      </c>
      <c r="H41" s="74">
        <v>957.49300000000005</v>
      </c>
      <c r="I41" s="74">
        <v>1045.2190000000001</v>
      </c>
    </row>
    <row r="42" spans="1:9">
      <c r="A42" s="57" t="s">
        <v>836</v>
      </c>
      <c r="B42" s="57"/>
      <c r="C42" s="55"/>
      <c r="D42" s="55"/>
      <c r="E42" s="55"/>
      <c r="F42" s="55"/>
      <c r="G42" s="55"/>
      <c r="H42" s="55"/>
      <c r="I42" s="55"/>
    </row>
    <row r="43" spans="1:9">
      <c r="B43" s="46" t="s">
        <v>832</v>
      </c>
      <c r="C43" s="74">
        <v>6833.9840000000004</v>
      </c>
      <c r="D43" s="74">
        <v>7023.4740000000002</v>
      </c>
      <c r="E43" s="74">
        <v>7087.8119999999999</v>
      </c>
      <c r="F43" s="74"/>
      <c r="G43" s="74">
        <v>6710.6049999999996</v>
      </c>
      <c r="H43" s="74">
        <v>6930.1570000000002</v>
      </c>
      <c r="I43" s="74">
        <v>6999.0739999999996</v>
      </c>
    </row>
    <row r="44" spans="1:9">
      <c r="A44" s="57" t="s">
        <v>837</v>
      </c>
      <c r="B44" s="57"/>
      <c r="C44" s="55"/>
      <c r="D44" s="55"/>
      <c r="E44" s="55"/>
      <c r="F44" s="55"/>
      <c r="G44" s="55"/>
      <c r="H44" s="55"/>
      <c r="I44" s="55"/>
    </row>
    <row r="45" spans="1:9">
      <c r="B45" s="46" t="s">
        <v>833</v>
      </c>
      <c r="C45" s="74">
        <v>8063.5749999999998</v>
      </c>
      <c r="D45" s="74">
        <v>7992.6729999999998</v>
      </c>
      <c r="E45" s="74">
        <v>8099.1570000000002</v>
      </c>
      <c r="F45" s="74"/>
      <c r="G45" s="74">
        <v>8185.4070000000002</v>
      </c>
      <c r="H45" s="74">
        <v>8093.348</v>
      </c>
      <c r="I45" s="74">
        <v>8123.41</v>
      </c>
    </row>
    <row r="46" spans="1:9">
      <c r="A46" s="57" t="s">
        <v>838</v>
      </c>
      <c r="B46" s="57"/>
      <c r="C46" s="74"/>
      <c r="D46" s="74"/>
      <c r="E46" s="74"/>
      <c r="F46" s="74"/>
      <c r="G46" s="74"/>
      <c r="H46" s="74"/>
      <c r="I46" s="74"/>
    </row>
    <row r="47" spans="1:9">
      <c r="B47" s="46" t="s">
        <v>105</v>
      </c>
      <c r="C47" s="74">
        <v>3984.134</v>
      </c>
      <c r="D47" s="74">
        <v>4119.491</v>
      </c>
      <c r="E47" s="74">
        <v>4278.3360000000002</v>
      </c>
      <c r="F47" s="74"/>
      <c r="G47" s="74">
        <v>3985.7310000000002</v>
      </c>
      <c r="H47" s="74">
        <v>4121.7889999999998</v>
      </c>
      <c r="I47" s="74">
        <v>4281.2879999999996</v>
      </c>
    </row>
    <row r="48" spans="1:9">
      <c r="B48" s="46" t="s">
        <v>107</v>
      </c>
      <c r="C48" s="74">
        <v>117.998</v>
      </c>
      <c r="D48" s="74">
        <v>101.6</v>
      </c>
      <c r="E48" s="74">
        <v>101.59099999999999</v>
      </c>
      <c r="F48" s="74"/>
      <c r="G48" s="74">
        <v>120.267</v>
      </c>
      <c r="H48" s="74">
        <v>101.6</v>
      </c>
      <c r="I48" s="74">
        <v>101.59099999999999</v>
      </c>
    </row>
    <row r="49" spans="1:9">
      <c r="B49" s="46" t="s">
        <v>110</v>
      </c>
      <c r="C49" s="74">
        <v>345.87400000000002</v>
      </c>
      <c r="D49" s="74">
        <v>364.642</v>
      </c>
      <c r="E49" s="74">
        <v>322.98899999999998</v>
      </c>
      <c r="F49" s="74"/>
      <c r="G49" s="74">
        <v>384.82400000000001</v>
      </c>
      <c r="H49" s="74">
        <v>399.23700000000002</v>
      </c>
      <c r="I49" s="74">
        <v>363.12</v>
      </c>
    </row>
    <row r="50" spans="1:9">
      <c r="B50" s="92" t="s">
        <v>839</v>
      </c>
      <c r="C50" s="93">
        <f>SUM(C47:C49)</f>
        <v>4448.0059999999994</v>
      </c>
      <c r="D50" s="93">
        <f>SUM(D47:D49)</f>
        <v>4585.7330000000002</v>
      </c>
      <c r="E50" s="93">
        <f>SUM(E47:E49)</f>
        <v>4702.9160000000002</v>
      </c>
      <c r="F50" s="93"/>
      <c r="G50" s="93">
        <f t="shared" ref="G50:I50" si="3">SUM(G47:G49)</f>
        <v>4490.8220000000001</v>
      </c>
      <c r="H50" s="93">
        <f t="shared" si="3"/>
        <v>4622.6260000000002</v>
      </c>
      <c r="I50" s="93">
        <f t="shared" si="3"/>
        <v>4745.9989999999998</v>
      </c>
    </row>
    <row r="51" spans="1:9">
      <c r="A51" s="57" t="s">
        <v>137</v>
      </c>
      <c r="B51" s="57"/>
      <c r="C51" s="55"/>
      <c r="D51" s="55"/>
      <c r="E51" s="55"/>
      <c r="F51" s="55"/>
      <c r="G51" s="55"/>
      <c r="H51" s="55"/>
      <c r="I51" s="55"/>
    </row>
    <row r="52" spans="1:9">
      <c r="B52" s="46" t="s">
        <v>108</v>
      </c>
      <c r="C52" s="74">
        <v>410.34699999999998</v>
      </c>
      <c r="D52" s="74">
        <v>429.2</v>
      </c>
      <c r="E52" s="74">
        <v>428.07900000000001</v>
      </c>
      <c r="F52" s="74"/>
      <c r="G52" s="74">
        <v>590.30999999999995</v>
      </c>
      <c r="H52" s="74">
        <v>432.69600000000003</v>
      </c>
      <c r="I52" s="74">
        <v>433.07900000000001</v>
      </c>
    </row>
    <row r="53" spans="1:9">
      <c r="B53" s="46" t="s">
        <v>111</v>
      </c>
      <c r="C53" s="74">
        <v>3165.0909999999999</v>
      </c>
      <c r="D53" s="74">
        <v>3349.3589999999999</v>
      </c>
      <c r="E53" s="74">
        <v>3830.7689999999998</v>
      </c>
      <c r="F53" s="74"/>
      <c r="G53" s="74">
        <v>4568.9610000000002</v>
      </c>
      <c r="H53" s="74">
        <v>5676.8419999999996</v>
      </c>
      <c r="I53" s="74">
        <v>6654.1120000000001</v>
      </c>
    </row>
    <row r="54" spans="1:9">
      <c r="B54" s="92" t="s">
        <v>138</v>
      </c>
      <c r="C54" s="93">
        <f t="shared" ref="C54:I54" si="4">SUM(C52:C53)</f>
        <v>3575.4380000000001</v>
      </c>
      <c r="D54" s="93">
        <f t="shared" si="4"/>
        <v>3778.5589999999997</v>
      </c>
      <c r="E54" s="93">
        <f t="shared" si="4"/>
        <v>4258.848</v>
      </c>
      <c r="F54" s="93"/>
      <c r="G54" s="93">
        <f t="shared" si="4"/>
        <v>5159.2710000000006</v>
      </c>
      <c r="H54" s="93">
        <f t="shared" si="4"/>
        <v>6109.5379999999996</v>
      </c>
      <c r="I54" s="93">
        <f t="shared" si="4"/>
        <v>7087.1909999999998</v>
      </c>
    </row>
    <row r="55" spans="1:9">
      <c r="A55" s="57" t="s">
        <v>139</v>
      </c>
      <c r="B55" s="57"/>
      <c r="C55" s="55"/>
      <c r="D55" s="55"/>
      <c r="E55" s="55"/>
      <c r="F55" s="55"/>
      <c r="G55" s="55"/>
      <c r="H55" s="55"/>
      <c r="I55" s="55"/>
    </row>
    <row r="56" spans="1:9">
      <c r="B56" s="46" t="s">
        <v>112</v>
      </c>
      <c r="C56" s="74">
        <v>2138.2779999999998</v>
      </c>
      <c r="D56" s="74">
        <v>2144.7869999999998</v>
      </c>
      <c r="E56" s="74">
        <v>2135.7330000000002</v>
      </c>
      <c r="F56" s="74"/>
      <c r="G56" s="74">
        <v>2158.9229999999998</v>
      </c>
      <c r="H56" s="74">
        <v>2155.2869999999998</v>
      </c>
      <c r="I56" s="74">
        <v>2145.7579999999998</v>
      </c>
    </row>
    <row r="57" spans="1:9" s="46" customFormat="1">
      <c r="A57" s="28"/>
      <c r="B57" s="46" t="s">
        <v>113</v>
      </c>
      <c r="C57" s="74">
        <v>741.92600000000004</v>
      </c>
      <c r="D57" s="74">
        <v>643.01199999999994</v>
      </c>
      <c r="E57" s="74">
        <v>627.47299999999996</v>
      </c>
      <c r="F57" s="74"/>
      <c r="G57" s="74">
        <v>741.96299999999997</v>
      </c>
      <c r="H57" s="74">
        <v>642.93600000000004</v>
      </c>
      <c r="I57" s="74">
        <v>627.51300000000003</v>
      </c>
    </row>
    <row r="58" spans="1:9" s="46" customFormat="1">
      <c r="A58" s="28"/>
      <c r="B58" s="92" t="s">
        <v>140</v>
      </c>
      <c r="C58" s="118">
        <f t="shared" ref="C58:I58" si="5">SUM(C56:C57)</f>
        <v>2880.2039999999997</v>
      </c>
      <c r="D58" s="118">
        <f t="shared" si="5"/>
        <v>2787.799</v>
      </c>
      <c r="E58" s="118">
        <f t="shared" si="5"/>
        <v>2763.2060000000001</v>
      </c>
      <c r="F58" s="118"/>
      <c r="G58" s="118">
        <f t="shared" si="5"/>
        <v>2900.8859999999995</v>
      </c>
      <c r="H58" s="118">
        <f t="shared" si="5"/>
        <v>2798.223</v>
      </c>
      <c r="I58" s="118">
        <f t="shared" si="5"/>
        <v>2773.2709999999997</v>
      </c>
    </row>
    <row r="59" spans="1:9" s="46" customFormat="1" ht="11.25" customHeight="1">
      <c r="A59" s="119"/>
      <c r="B59" s="94"/>
      <c r="C59" s="451"/>
      <c r="D59" s="451"/>
      <c r="E59" s="451"/>
      <c r="F59" s="451"/>
      <c r="G59" s="451"/>
      <c r="H59" s="451"/>
      <c r="I59" s="451"/>
    </row>
    <row r="60" spans="1:9" ht="11.25" customHeight="1">
      <c r="D60" s="55"/>
      <c r="E60" s="55"/>
      <c r="F60" s="46"/>
    </row>
    <row r="61" spans="1:9" s="53" customFormat="1" ht="57.75" customHeight="1">
      <c r="A61" s="572" t="s">
        <v>834</v>
      </c>
      <c r="B61" s="572"/>
      <c r="C61" s="572"/>
      <c r="D61" s="572"/>
      <c r="E61" s="572"/>
      <c r="F61" s="572"/>
      <c r="G61" s="572"/>
      <c r="H61" s="572"/>
    </row>
    <row r="62" spans="1:9">
      <c r="D62" s="117"/>
      <c r="E62" s="117"/>
    </row>
    <row r="63" spans="1:9">
      <c r="D63" s="117"/>
      <c r="E63" s="117"/>
    </row>
    <row r="64" spans="1:9">
      <c r="D64" s="117"/>
      <c r="E64" s="117"/>
    </row>
    <row r="65" spans="4:5">
      <c r="D65" s="117"/>
      <c r="E65" s="117"/>
    </row>
    <row r="66" spans="4:5">
      <c r="D66" s="117"/>
      <c r="E66" s="117"/>
    </row>
    <row r="67" spans="4:5">
      <c r="D67" s="117"/>
      <c r="E67" s="117"/>
    </row>
    <row r="68" spans="4:5">
      <c r="D68" s="117"/>
      <c r="E68" s="117"/>
    </row>
    <row r="69" spans="4:5">
      <c r="D69" s="117"/>
      <c r="E69" s="117"/>
    </row>
    <row r="70" spans="4:5">
      <c r="D70" s="117"/>
      <c r="E70" s="117"/>
    </row>
    <row r="71" spans="4:5">
      <c r="D71" s="117"/>
      <c r="E71" s="117"/>
    </row>
    <row r="72" spans="4:5">
      <c r="D72" s="117"/>
      <c r="E72" s="117"/>
    </row>
    <row r="73" spans="4:5">
      <c r="D73" s="117"/>
      <c r="E73" s="117"/>
    </row>
    <row r="74" spans="4:5">
      <c r="D74" s="117"/>
      <c r="E74" s="117"/>
    </row>
    <row r="75" spans="4:5">
      <c r="D75" s="117"/>
      <c r="E75" s="117"/>
    </row>
    <row r="76" spans="4:5">
      <c r="D76" s="117"/>
      <c r="E76" s="117"/>
    </row>
    <row r="77" spans="4:5">
      <c r="D77" s="117"/>
      <c r="E77" s="117"/>
    </row>
    <row r="78" spans="4:5">
      <c r="D78" s="117"/>
      <c r="E78" s="117"/>
    </row>
    <row r="79" spans="4:5">
      <c r="D79" s="117"/>
      <c r="E79" s="117"/>
    </row>
    <row r="80" spans="4:5">
      <c r="D80" s="117"/>
      <c r="E80" s="117"/>
    </row>
    <row r="81" spans="4:5">
      <c r="D81" s="117"/>
      <c r="E81" s="117"/>
    </row>
    <row r="82" spans="4:5">
      <c r="D82" s="117"/>
      <c r="E82" s="117"/>
    </row>
    <row r="83" spans="4:5">
      <c r="D83" s="117"/>
      <c r="E83" s="117"/>
    </row>
  </sheetData>
  <mergeCells count="1">
    <mergeCell ref="A61:H61"/>
  </mergeCells>
  <pageMargins left="0.23622047244094491" right="0.23622047244094491"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tabColor rgb="FF92D050"/>
  </sheetPr>
  <dimension ref="A1:AC172"/>
  <sheetViews>
    <sheetView topLeftCell="A4" workbookViewId="0">
      <selection activeCell="AE18" sqref="AE18"/>
    </sheetView>
  </sheetViews>
  <sheetFormatPr baseColWidth="10" defaultRowHeight="12.75" outlineLevelRow="1" outlineLevelCol="2"/>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6" width="6.28515625" style="185" hidden="1" customWidth="1" outlineLevel="2"/>
    <col min="27" max="27" width="6.28515625" style="185" customWidth="1" collapsed="1"/>
    <col min="28" max="28" width="6.28515625" style="185" hidden="1" customWidth="1" outlineLevel="1"/>
    <col min="29" max="29" width="6.28515625" style="185" customWidth="1" collapsed="1"/>
    <col min="30" max="254" width="11.42578125" style="185"/>
    <col min="255" max="255" width="59.5703125" style="185" customWidth="1"/>
    <col min="256" max="264" width="0" style="185" hidden="1" customWidth="1"/>
    <col min="265" max="265" width="6.5703125" style="185" customWidth="1"/>
    <col min="266" max="266" width="6.85546875" style="185" bestFit="1" customWidth="1"/>
    <col min="267" max="268" width="7.7109375" style="185" bestFit="1" customWidth="1"/>
    <col min="269" max="269" width="0" style="185" hidden="1" customWidth="1"/>
    <col min="270" max="270" width="9" style="185" customWidth="1"/>
    <col min="271" max="271" width="8" style="185" bestFit="1" customWidth="1"/>
    <col min="272" max="272" width="0" style="185" hidden="1" customWidth="1"/>
    <col min="273" max="273" width="8" style="185" customWidth="1"/>
    <col min="274" max="274" width="0" style="185" hidden="1" customWidth="1"/>
    <col min="275" max="275" width="8" style="185" bestFit="1" customWidth="1"/>
    <col min="276" max="276" width="0" style="185" hidden="1" customWidth="1"/>
    <col min="277" max="277" width="8" style="185" customWidth="1"/>
    <col min="278" max="278" width="0" style="185" hidden="1" customWidth="1"/>
    <col min="279" max="281" width="8" style="185" bestFit="1" customWidth="1"/>
    <col min="282" max="282" width="17.42578125" style="185" bestFit="1" customWidth="1"/>
    <col min="283" max="510" width="11.42578125" style="185"/>
    <col min="511" max="511" width="59.5703125" style="185" customWidth="1"/>
    <col min="512" max="520" width="0" style="185" hidden="1" customWidth="1"/>
    <col min="521" max="521" width="6.5703125" style="185" customWidth="1"/>
    <col min="522" max="522" width="6.85546875" style="185" bestFit="1" customWidth="1"/>
    <col min="523" max="524" width="7.7109375" style="185" bestFit="1" customWidth="1"/>
    <col min="525" max="525" width="0" style="185" hidden="1" customWidth="1"/>
    <col min="526" max="526" width="9" style="185" customWidth="1"/>
    <col min="527" max="527" width="8" style="185" bestFit="1" customWidth="1"/>
    <col min="528" max="528" width="0" style="185" hidden="1" customWidth="1"/>
    <col min="529" max="529" width="8" style="185" customWidth="1"/>
    <col min="530" max="530" width="0" style="185" hidden="1" customWidth="1"/>
    <col min="531" max="531" width="8" style="185" bestFit="1" customWidth="1"/>
    <col min="532" max="532" width="0" style="185" hidden="1" customWidth="1"/>
    <col min="533" max="533" width="8" style="185" customWidth="1"/>
    <col min="534" max="534" width="0" style="185" hidden="1" customWidth="1"/>
    <col min="535" max="537" width="8" style="185" bestFit="1" customWidth="1"/>
    <col min="538" max="538" width="17.42578125" style="185" bestFit="1" customWidth="1"/>
    <col min="539" max="766" width="11.42578125" style="185"/>
    <col min="767" max="767" width="59.5703125" style="185" customWidth="1"/>
    <col min="768" max="776" width="0" style="185" hidden="1" customWidth="1"/>
    <col min="777" max="777" width="6.5703125" style="185" customWidth="1"/>
    <col min="778" max="778" width="6.85546875" style="185" bestFit="1" customWidth="1"/>
    <col min="779" max="780" width="7.7109375" style="185" bestFit="1" customWidth="1"/>
    <col min="781" max="781" width="0" style="185" hidden="1" customWidth="1"/>
    <col min="782" max="782" width="9" style="185" customWidth="1"/>
    <col min="783" max="783" width="8" style="185" bestFit="1" customWidth="1"/>
    <col min="784" max="784" width="0" style="185" hidden="1" customWidth="1"/>
    <col min="785" max="785" width="8" style="185" customWidth="1"/>
    <col min="786" max="786" width="0" style="185" hidden="1" customWidth="1"/>
    <col min="787" max="787" width="8" style="185" bestFit="1" customWidth="1"/>
    <col min="788" max="788" width="0" style="185" hidden="1" customWidth="1"/>
    <col min="789" max="789" width="8" style="185" customWidth="1"/>
    <col min="790" max="790" width="0" style="185" hidden="1" customWidth="1"/>
    <col min="791" max="793" width="8" style="185" bestFit="1" customWidth="1"/>
    <col min="794" max="794" width="17.42578125" style="185" bestFit="1" customWidth="1"/>
    <col min="795" max="1022" width="11.42578125" style="185"/>
    <col min="1023" max="1023" width="59.5703125" style="185" customWidth="1"/>
    <col min="1024" max="1032" width="0" style="185" hidden="1" customWidth="1"/>
    <col min="1033" max="1033" width="6.5703125" style="185" customWidth="1"/>
    <col min="1034" max="1034" width="6.85546875" style="185" bestFit="1" customWidth="1"/>
    <col min="1035" max="1036" width="7.7109375" style="185" bestFit="1" customWidth="1"/>
    <col min="1037" max="1037" width="0" style="185" hidden="1" customWidth="1"/>
    <col min="1038" max="1038" width="9" style="185" customWidth="1"/>
    <col min="1039" max="1039" width="8" style="185" bestFit="1" customWidth="1"/>
    <col min="1040" max="1040" width="0" style="185" hidden="1" customWidth="1"/>
    <col min="1041" max="1041" width="8" style="185" customWidth="1"/>
    <col min="1042" max="1042" width="0" style="185" hidden="1" customWidth="1"/>
    <col min="1043" max="1043" width="8" style="185" bestFit="1" customWidth="1"/>
    <col min="1044" max="1044" width="0" style="185" hidden="1" customWidth="1"/>
    <col min="1045" max="1045" width="8" style="185" customWidth="1"/>
    <col min="1046" max="1046" width="0" style="185" hidden="1" customWidth="1"/>
    <col min="1047" max="1049" width="8" style="185" bestFit="1" customWidth="1"/>
    <col min="1050" max="1050" width="17.42578125" style="185" bestFit="1" customWidth="1"/>
    <col min="1051" max="1278" width="11.42578125" style="185"/>
    <col min="1279" max="1279" width="59.5703125" style="185" customWidth="1"/>
    <col min="1280" max="1288" width="0" style="185" hidden="1" customWidth="1"/>
    <col min="1289" max="1289" width="6.5703125" style="185" customWidth="1"/>
    <col min="1290" max="1290" width="6.85546875" style="185" bestFit="1" customWidth="1"/>
    <col min="1291" max="1292" width="7.7109375" style="185" bestFit="1" customWidth="1"/>
    <col min="1293" max="1293" width="0" style="185" hidden="1" customWidth="1"/>
    <col min="1294" max="1294" width="9" style="185" customWidth="1"/>
    <col min="1295" max="1295" width="8" style="185" bestFit="1" customWidth="1"/>
    <col min="1296" max="1296" width="0" style="185" hidden="1" customWidth="1"/>
    <col min="1297" max="1297" width="8" style="185" customWidth="1"/>
    <col min="1298" max="1298" width="0" style="185" hidden="1" customWidth="1"/>
    <col min="1299" max="1299" width="8" style="185" bestFit="1" customWidth="1"/>
    <col min="1300" max="1300" width="0" style="185" hidden="1" customWidth="1"/>
    <col min="1301" max="1301" width="8" style="185" customWidth="1"/>
    <col min="1302" max="1302" width="0" style="185" hidden="1" customWidth="1"/>
    <col min="1303" max="1305" width="8" style="185" bestFit="1" customWidth="1"/>
    <col min="1306" max="1306" width="17.42578125" style="185" bestFit="1" customWidth="1"/>
    <col min="1307" max="1534" width="11.42578125" style="185"/>
    <col min="1535" max="1535" width="59.5703125" style="185" customWidth="1"/>
    <col min="1536" max="1544" width="0" style="185" hidden="1" customWidth="1"/>
    <col min="1545" max="1545" width="6.5703125" style="185" customWidth="1"/>
    <col min="1546" max="1546" width="6.85546875" style="185" bestFit="1" customWidth="1"/>
    <col min="1547" max="1548" width="7.7109375" style="185" bestFit="1" customWidth="1"/>
    <col min="1549" max="1549" width="0" style="185" hidden="1" customWidth="1"/>
    <col min="1550" max="1550" width="9" style="185" customWidth="1"/>
    <col min="1551" max="1551" width="8" style="185" bestFit="1" customWidth="1"/>
    <col min="1552" max="1552" width="0" style="185" hidden="1" customWidth="1"/>
    <col min="1553" max="1553" width="8" style="185" customWidth="1"/>
    <col min="1554" max="1554" width="0" style="185" hidden="1" customWidth="1"/>
    <col min="1555" max="1555" width="8" style="185" bestFit="1" customWidth="1"/>
    <col min="1556" max="1556" width="0" style="185" hidden="1" customWidth="1"/>
    <col min="1557" max="1557" width="8" style="185" customWidth="1"/>
    <col min="1558" max="1558" width="0" style="185" hidden="1" customWidth="1"/>
    <col min="1559" max="1561" width="8" style="185" bestFit="1" customWidth="1"/>
    <col min="1562" max="1562" width="17.42578125" style="185" bestFit="1" customWidth="1"/>
    <col min="1563" max="1790" width="11.42578125" style="185"/>
    <col min="1791" max="1791" width="59.5703125" style="185" customWidth="1"/>
    <col min="1792" max="1800" width="0" style="185" hidden="1" customWidth="1"/>
    <col min="1801" max="1801" width="6.5703125" style="185" customWidth="1"/>
    <col min="1802" max="1802" width="6.85546875" style="185" bestFit="1" customWidth="1"/>
    <col min="1803" max="1804" width="7.7109375" style="185" bestFit="1" customWidth="1"/>
    <col min="1805" max="1805" width="0" style="185" hidden="1" customWidth="1"/>
    <col min="1806" max="1806" width="9" style="185" customWidth="1"/>
    <col min="1807" max="1807" width="8" style="185" bestFit="1" customWidth="1"/>
    <col min="1808" max="1808" width="0" style="185" hidden="1" customWidth="1"/>
    <col min="1809" max="1809" width="8" style="185" customWidth="1"/>
    <col min="1810" max="1810" width="0" style="185" hidden="1" customWidth="1"/>
    <col min="1811" max="1811" width="8" style="185" bestFit="1" customWidth="1"/>
    <col min="1812" max="1812" width="0" style="185" hidden="1" customWidth="1"/>
    <col min="1813" max="1813" width="8" style="185" customWidth="1"/>
    <col min="1814" max="1814" width="0" style="185" hidden="1" customWidth="1"/>
    <col min="1815" max="1817" width="8" style="185" bestFit="1" customWidth="1"/>
    <col min="1818" max="1818" width="17.42578125" style="185" bestFit="1" customWidth="1"/>
    <col min="1819" max="2046" width="11.42578125" style="185"/>
    <col min="2047" max="2047" width="59.5703125" style="185" customWidth="1"/>
    <col min="2048" max="2056" width="0" style="185" hidden="1" customWidth="1"/>
    <col min="2057" max="2057" width="6.5703125" style="185" customWidth="1"/>
    <col min="2058" max="2058" width="6.85546875" style="185" bestFit="1" customWidth="1"/>
    <col min="2059" max="2060" width="7.7109375" style="185" bestFit="1" customWidth="1"/>
    <col min="2061" max="2061" width="0" style="185" hidden="1" customWidth="1"/>
    <col min="2062" max="2062" width="9" style="185" customWidth="1"/>
    <col min="2063" max="2063" width="8" style="185" bestFit="1" customWidth="1"/>
    <col min="2064" max="2064" width="0" style="185" hidden="1" customWidth="1"/>
    <col min="2065" max="2065" width="8" style="185" customWidth="1"/>
    <col min="2066" max="2066" width="0" style="185" hidden="1" customWidth="1"/>
    <col min="2067" max="2067" width="8" style="185" bestFit="1" customWidth="1"/>
    <col min="2068" max="2068" width="0" style="185" hidden="1" customWidth="1"/>
    <col min="2069" max="2069" width="8" style="185" customWidth="1"/>
    <col min="2070" max="2070" width="0" style="185" hidden="1" customWidth="1"/>
    <col min="2071" max="2073" width="8" style="185" bestFit="1" customWidth="1"/>
    <col min="2074" max="2074" width="17.42578125" style="185" bestFit="1" customWidth="1"/>
    <col min="2075" max="2302" width="11.42578125" style="185"/>
    <col min="2303" max="2303" width="59.5703125" style="185" customWidth="1"/>
    <col min="2304" max="2312" width="0" style="185" hidden="1" customWidth="1"/>
    <col min="2313" max="2313" width="6.5703125" style="185" customWidth="1"/>
    <col min="2314" max="2314" width="6.85546875" style="185" bestFit="1" customWidth="1"/>
    <col min="2315" max="2316" width="7.7109375" style="185" bestFit="1" customWidth="1"/>
    <col min="2317" max="2317" width="0" style="185" hidden="1" customWidth="1"/>
    <col min="2318" max="2318" width="9" style="185" customWidth="1"/>
    <col min="2319" max="2319" width="8" style="185" bestFit="1" customWidth="1"/>
    <col min="2320" max="2320" width="0" style="185" hidden="1" customWidth="1"/>
    <col min="2321" max="2321" width="8" style="185" customWidth="1"/>
    <col min="2322" max="2322" width="0" style="185" hidden="1" customWidth="1"/>
    <col min="2323" max="2323" width="8" style="185" bestFit="1" customWidth="1"/>
    <col min="2324" max="2324" width="0" style="185" hidden="1" customWidth="1"/>
    <col min="2325" max="2325" width="8" style="185" customWidth="1"/>
    <col min="2326" max="2326" width="0" style="185" hidden="1" customWidth="1"/>
    <col min="2327" max="2329" width="8" style="185" bestFit="1" customWidth="1"/>
    <col min="2330" max="2330" width="17.42578125" style="185" bestFit="1" customWidth="1"/>
    <col min="2331" max="2558" width="11.42578125" style="185"/>
    <col min="2559" max="2559" width="59.5703125" style="185" customWidth="1"/>
    <col min="2560" max="2568" width="0" style="185" hidden="1" customWidth="1"/>
    <col min="2569" max="2569" width="6.5703125" style="185" customWidth="1"/>
    <col min="2570" max="2570" width="6.85546875" style="185" bestFit="1" customWidth="1"/>
    <col min="2571" max="2572" width="7.7109375" style="185" bestFit="1" customWidth="1"/>
    <col min="2573" max="2573" width="0" style="185" hidden="1" customWidth="1"/>
    <col min="2574" max="2574" width="9" style="185" customWidth="1"/>
    <col min="2575" max="2575" width="8" style="185" bestFit="1" customWidth="1"/>
    <col min="2576" max="2576" width="0" style="185" hidden="1" customWidth="1"/>
    <col min="2577" max="2577" width="8" style="185" customWidth="1"/>
    <col min="2578" max="2578" width="0" style="185" hidden="1" customWidth="1"/>
    <col min="2579" max="2579" width="8" style="185" bestFit="1" customWidth="1"/>
    <col min="2580" max="2580" width="0" style="185" hidden="1" customWidth="1"/>
    <col min="2581" max="2581" width="8" style="185" customWidth="1"/>
    <col min="2582" max="2582" width="0" style="185" hidden="1" customWidth="1"/>
    <col min="2583" max="2585" width="8" style="185" bestFit="1" customWidth="1"/>
    <col min="2586" max="2586" width="17.42578125" style="185" bestFit="1" customWidth="1"/>
    <col min="2587" max="2814" width="11.42578125" style="185"/>
    <col min="2815" max="2815" width="59.5703125" style="185" customWidth="1"/>
    <col min="2816" max="2824" width="0" style="185" hidden="1" customWidth="1"/>
    <col min="2825" max="2825" width="6.5703125" style="185" customWidth="1"/>
    <col min="2826" max="2826" width="6.85546875" style="185" bestFit="1" customWidth="1"/>
    <col min="2827" max="2828" width="7.7109375" style="185" bestFit="1" customWidth="1"/>
    <col min="2829" max="2829" width="0" style="185" hidden="1" customWidth="1"/>
    <col min="2830" max="2830" width="9" style="185" customWidth="1"/>
    <col min="2831" max="2831" width="8" style="185" bestFit="1" customWidth="1"/>
    <col min="2832" max="2832" width="0" style="185" hidden="1" customWidth="1"/>
    <col min="2833" max="2833" width="8" style="185" customWidth="1"/>
    <col min="2834" max="2834" width="0" style="185" hidden="1" customWidth="1"/>
    <col min="2835" max="2835" width="8" style="185" bestFit="1" customWidth="1"/>
    <col min="2836" max="2836" width="0" style="185" hidden="1" customWidth="1"/>
    <col min="2837" max="2837" width="8" style="185" customWidth="1"/>
    <col min="2838" max="2838" width="0" style="185" hidden="1" customWidth="1"/>
    <col min="2839" max="2841" width="8" style="185" bestFit="1" customWidth="1"/>
    <col min="2842" max="2842" width="17.42578125" style="185" bestFit="1" customWidth="1"/>
    <col min="2843" max="3070" width="11.42578125" style="185"/>
    <col min="3071" max="3071" width="59.5703125" style="185" customWidth="1"/>
    <col min="3072" max="3080" width="0" style="185" hidden="1" customWidth="1"/>
    <col min="3081" max="3081" width="6.5703125" style="185" customWidth="1"/>
    <col min="3082" max="3082" width="6.85546875" style="185" bestFit="1" customWidth="1"/>
    <col min="3083" max="3084" width="7.7109375" style="185" bestFit="1" customWidth="1"/>
    <col min="3085" max="3085" width="0" style="185" hidden="1" customWidth="1"/>
    <col min="3086" max="3086" width="9" style="185" customWidth="1"/>
    <col min="3087" max="3087" width="8" style="185" bestFit="1" customWidth="1"/>
    <col min="3088" max="3088" width="0" style="185" hidden="1" customWidth="1"/>
    <col min="3089" max="3089" width="8" style="185" customWidth="1"/>
    <col min="3090" max="3090" width="0" style="185" hidden="1" customWidth="1"/>
    <col min="3091" max="3091" width="8" style="185" bestFit="1" customWidth="1"/>
    <col min="3092" max="3092" width="0" style="185" hidden="1" customWidth="1"/>
    <col min="3093" max="3093" width="8" style="185" customWidth="1"/>
    <col min="3094" max="3094" width="0" style="185" hidden="1" customWidth="1"/>
    <col min="3095" max="3097" width="8" style="185" bestFit="1" customWidth="1"/>
    <col min="3098" max="3098" width="17.42578125" style="185" bestFit="1" customWidth="1"/>
    <col min="3099" max="3326" width="11.42578125" style="185"/>
    <col min="3327" max="3327" width="59.5703125" style="185" customWidth="1"/>
    <col min="3328" max="3336" width="0" style="185" hidden="1" customWidth="1"/>
    <col min="3337" max="3337" width="6.5703125" style="185" customWidth="1"/>
    <col min="3338" max="3338" width="6.85546875" style="185" bestFit="1" customWidth="1"/>
    <col min="3339" max="3340" width="7.7109375" style="185" bestFit="1" customWidth="1"/>
    <col min="3341" max="3341" width="0" style="185" hidden="1" customWidth="1"/>
    <col min="3342" max="3342" width="9" style="185" customWidth="1"/>
    <col min="3343" max="3343" width="8" style="185" bestFit="1" customWidth="1"/>
    <col min="3344" max="3344" width="0" style="185" hidden="1" customWidth="1"/>
    <col min="3345" max="3345" width="8" style="185" customWidth="1"/>
    <col min="3346" max="3346" width="0" style="185" hidden="1" customWidth="1"/>
    <col min="3347" max="3347" width="8" style="185" bestFit="1" customWidth="1"/>
    <col min="3348" max="3348" width="0" style="185" hidden="1" customWidth="1"/>
    <col min="3349" max="3349" width="8" style="185" customWidth="1"/>
    <col min="3350" max="3350" width="0" style="185" hidden="1" customWidth="1"/>
    <col min="3351" max="3353" width="8" style="185" bestFit="1" customWidth="1"/>
    <col min="3354" max="3354" width="17.42578125" style="185" bestFit="1" customWidth="1"/>
    <col min="3355" max="3582" width="11.42578125" style="185"/>
    <col min="3583" max="3583" width="59.5703125" style="185" customWidth="1"/>
    <col min="3584" max="3592" width="0" style="185" hidden="1" customWidth="1"/>
    <col min="3593" max="3593" width="6.5703125" style="185" customWidth="1"/>
    <col min="3594" max="3594" width="6.85546875" style="185" bestFit="1" customWidth="1"/>
    <col min="3595" max="3596" width="7.7109375" style="185" bestFit="1" customWidth="1"/>
    <col min="3597" max="3597" width="0" style="185" hidden="1" customWidth="1"/>
    <col min="3598" max="3598" width="9" style="185" customWidth="1"/>
    <col min="3599" max="3599" width="8" style="185" bestFit="1" customWidth="1"/>
    <col min="3600" max="3600" width="0" style="185" hidden="1" customWidth="1"/>
    <col min="3601" max="3601" width="8" style="185" customWidth="1"/>
    <col min="3602" max="3602" width="0" style="185" hidden="1" customWidth="1"/>
    <col min="3603" max="3603" width="8" style="185" bestFit="1" customWidth="1"/>
    <col min="3604" max="3604" width="0" style="185" hidden="1" customWidth="1"/>
    <col min="3605" max="3605" width="8" style="185" customWidth="1"/>
    <col min="3606" max="3606" width="0" style="185" hidden="1" customWidth="1"/>
    <col min="3607" max="3609" width="8" style="185" bestFit="1" customWidth="1"/>
    <col min="3610" max="3610" width="17.42578125" style="185" bestFit="1" customWidth="1"/>
    <col min="3611" max="3838" width="11.42578125" style="185"/>
    <col min="3839" max="3839" width="59.5703125" style="185" customWidth="1"/>
    <col min="3840" max="3848" width="0" style="185" hidden="1" customWidth="1"/>
    <col min="3849" max="3849" width="6.5703125" style="185" customWidth="1"/>
    <col min="3850" max="3850" width="6.85546875" style="185" bestFit="1" customWidth="1"/>
    <col min="3851" max="3852" width="7.7109375" style="185" bestFit="1" customWidth="1"/>
    <col min="3853" max="3853" width="0" style="185" hidden="1" customWidth="1"/>
    <col min="3854" max="3854" width="9" style="185" customWidth="1"/>
    <col min="3855" max="3855" width="8" style="185" bestFit="1" customWidth="1"/>
    <col min="3856" max="3856" width="0" style="185" hidden="1" customWidth="1"/>
    <col min="3857" max="3857" width="8" style="185" customWidth="1"/>
    <col min="3858" max="3858" width="0" style="185" hidden="1" customWidth="1"/>
    <col min="3859" max="3859" width="8" style="185" bestFit="1" customWidth="1"/>
    <col min="3860" max="3860" width="0" style="185" hidden="1" customWidth="1"/>
    <col min="3861" max="3861" width="8" style="185" customWidth="1"/>
    <col min="3862" max="3862" width="0" style="185" hidden="1" customWidth="1"/>
    <col min="3863" max="3865" width="8" style="185" bestFit="1" customWidth="1"/>
    <col min="3866" max="3866" width="17.42578125" style="185" bestFit="1" customWidth="1"/>
    <col min="3867" max="4094" width="11.42578125" style="185"/>
    <col min="4095" max="4095" width="59.5703125" style="185" customWidth="1"/>
    <col min="4096" max="4104" width="0" style="185" hidden="1" customWidth="1"/>
    <col min="4105" max="4105" width="6.5703125" style="185" customWidth="1"/>
    <col min="4106" max="4106" width="6.85546875" style="185" bestFit="1" customWidth="1"/>
    <col min="4107" max="4108" width="7.7109375" style="185" bestFit="1" customWidth="1"/>
    <col min="4109" max="4109" width="0" style="185" hidden="1" customWidth="1"/>
    <col min="4110" max="4110" width="9" style="185" customWidth="1"/>
    <col min="4111" max="4111" width="8" style="185" bestFit="1" customWidth="1"/>
    <col min="4112" max="4112" width="0" style="185" hidden="1" customWidth="1"/>
    <col min="4113" max="4113" width="8" style="185" customWidth="1"/>
    <col min="4114" max="4114" width="0" style="185" hidden="1" customWidth="1"/>
    <col min="4115" max="4115" width="8" style="185" bestFit="1" customWidth="1"/>
    <col min="4116" max="4116" width="0" style="185" hidden="1" customWidth="1"/>
    <col min="4117" max="4117" width="8" style="185" customWidth="1"/>
    <col min="4118" max="4118" width="0" style="185" hidden="1" customWidth="1"/>
    <col min="4119" max="4121" width="8" style="185" bestFit="1" customWidth="1"/>
    <col min="4122" max="4122" width="17.42578125" style="185" bestFit="1" customWidth="1"/>
    <col min="4123" max="4350" width="11.42578125" style="185"/>
    <col min="4351" max="4351" width="59.5703125" style="185" customWidth="1"/>
    <col min="4352" max="4360" width="0" style="185" hidden="1" customWidth="1"/>
    <col min="4361" max="4361" width="6.5703125" style="185" customWidth="1"/>
    <col min="4362" max="4362" width="6.85546875" style="185" bestFit="1" customWidth="1"/>
    <col min="4363" max="4364" width="7.7109375" style="185" bestFit="1" customWidth="1"/>
    <col min="4365" max="4365" width="0" style="185" hidden="1" customWidth="1"/>
    <col min="4366" max="4366" width="9" style="185" customWidth="1"/>
    <col min="4367" max="4367" width="8" style="185" bestFit="1" customWidth="1"/>
    <col min="4368" max="4368" width="0" style="185" hidden="1" customWidth="1"/>
    <col min="4369" max="4369" width="8" style="185" customWidth="1"/>
    <col min="4370" max="4370" width="0" style="185" hidden="1" customWidth="1"/>
    <col min="4371" max="4371" width="8" style="185" bestFit="1" customWidth="1"/>
    <col min="4372" max="4372" width="0" style="185" hidden="1" customWidth="1"/>
    <col min="4373" max="4373" width="8" style="185" customWidth="1"/>
    <col min="4374" max="4374" width="0" style="185" hidden="1" customWidth="1"/>
    <col min="4375" max="4377" width="8" style="185" bestFit="1" customWidth="1"/>
    <col min="4378" max="4378" width="17.42578125" style="185" bestFit="1" customWidth="1"/>
    <col min="4379" max="4606" width="11.42578125" style="185"/>
    <col min="4607" max="4607" width="59.5703125" style="185" customWidth="1"/>
    <col min="4608" max="4616" width="0" style="185" hidden="1" customWidth="1"/>
    <col min="4617" max="4617" width="6.5703125" style="185" customWidth="1"/>
    <col min="4618" max="4618" width="6.85546875" style="185" bestFit="1" customWidth="1"/>
    <col min="4619" max="4620" width="7.7109375" style="185" bestFit="1" customWidth="1"/>
    <col min="4621" max="4621" width="0" style="185" hidden="1" customWidth="1"/>
    <col min="4622" max="4622" width="9" style="185" customWidth="1"/>
    <col min="4623" max="4623" width="8" style="185" bestFit="1" customWidth="1"/>
    <col min="4624" max="4624" width="0" style="185" hidden="1" customWidth="1"/>
    <col min="4625" max="4625" width="8" style="185" customWidth="1"/>
    <col min="4626" max="4626" width="0" style="185" hidden="1" customWidth="1"/>
    <col min="4627" max="4627" width="8" style="185" bestFit="1" customWidth="1"/>
    <col min="4628" max="4628" width="0" style="185" hidden="1" customWidth="1"/>
    <col min="4629" max="4629" width="8" style="185" customWidth="1"/>
    <col min="4630" max="4630" width="0" style="185" hidden="1" customWidth="1"/>
    <col min="4631" max="4633" width="8" style="185" bestFit="1" customWidth="1"/>
    <col min="4634" max="4634" width="17.42578125" style="185" bestFit="1" customWidth="1"/>
    <col min="4635" max="4862" width="11.42578125" style="185"/>
    <col min="4863" max="4863" width="59.5703125" style="185" customWidth="1"/>
    <col min="4864" max="4872" width="0" style="185" hidden="1" customWidth="1"/>
    <col min="4873" max="4873" width="6.5703125" style="185" customWidth="1"/>
    <col min="4874" max="4874" width="6.85546875" style="185" bestFit="1" customWidth="1"/>
    <col min="4875" max="4876" width="7.7109375" style="185" bestFit="1" customWidth="1"/>
    <col min="4877" max="4877" width="0" style="185" hidden="1" customWidth="1"/>
    <col min="4878" max="4878" width="9" style="185" customWidth="1"/>
    <col min="4879" max="4879" width="8" style="185" bestFit="1" customWidth="1"/>
    <col min="4880" max="4880" width="0" style="185" hidden="1" customWidth="1"/>
    <col min="4881" max="4881" width="8" style="185" customWidth="1"/>
    <col min="4882" max="4882" width="0" style="185" hidden="1" customWidth="1"/>
    <col min="4883" max="4883" width="8" style="185" bestFit="1" customWidth="1"/>
    <col min="4884" max="4884" width="0" style="185" hidden="1" customWidth="1"/>
    <col min="4885" max="4885" width="8" style="185" customWidth="1"/>
    <col min="4886" max="4886" width="0" style="185" hidden="1" customWidth="1"/>
    <col min="4887" max="4889" width="8" style="185" bestFit="1" customWidth="1"/>
    <col min="4890" max="4890" width="17.42578125" style="185" bestFit="1" customWidth="1"/>
    <col min="4891" max="5118" width="11.42578125" style="185"/>
    <col min="5119" max="5119" width="59.5703125" style="185" customWidth="1"/>
    <col min="5120" max="5128" width="0" style="185" hidden="1" customWidth="1"/>
    <col min="5129" max="5129" width="6.5703125" style="185" customWidth="1"/>
    <col min="5130" max="5130" width="6.85546875" style="185" bestFit="1" customWidth="1"/>
    <col min="5131" max="5132" width="7.7109375" style="185" bestFit="1" customWidth="1"/>
    <col min="5133" max="5133" width="0" style="185" hidden="1" customWidth="1"/>
    <col min="5134" max="5134" width="9" style="185" customWidth="1"/>
    <col min="5135" max="5135" width="8" style="185" bestFit="1" customWidth="1"/>
    <col min="5136" max="5136" width="0" style="185" hidden="1" customWidth="1"/>
    <col min="5137" max="5137" width="8" style="185" customWidth="1"/>
    <col min="5138" max="5138" width="0" style="185" hidden="1" customWidth="1"/>
    <col min="5139" max="5139" width="8" style="185" bestFit="1" customWidth="1"/>
    <col min="5140" max="5140" width="0" style="185" hidden="1" customWidth="1"/>
    <col min="5141" max="5141" width="8" style="185" customWidth="1"/>
    <col min="5142" max="5142" width="0" style="185" hidden="1" customWidth="1"/>
    <col min="5143" max="5145" width="8" style="185" bestFit="1" customWidth="1"/>
    <col min="5146" max="5146" width="17.42578125" style="185" bestFit="1" customWidth="1"/>
    <col min="5147" max="5374" width="11.42578125" style="185"/>
    <col min="5375" max="5375" width="59.5703125" style="185" customWidth="1"/>
    <col min="5376" max="5384" width="0" style="185" hidden="1" customWidth="1"/>
    <col min="5385" max="5385" width="6.5703125" style="185" customWidth="1"/>
    <col min="5386" max="5386" width="6.85546875" style="185" bestFit="1" customWidth="1"/>
    <col min="5387" max="5388" width="7.7109375" style="185" bestFit="1" customWidth="1"/>
    <col min="5389" max="5389" width="0" style="185" hidden="1" customWidth="1"/>
    <col min="5390" max="5390" width="9" style="185" customWidth="1"/>
    <col min="5391" max="5391" width="8" style="185" bestFit="1" customWidth="1"/>
    <col min="5392" max="5392" width="0" style="185" hidden="1" customWidth="1"/>
    <col min="5393" max="5393" width="8" style="185" customWidth="1"/>
    <col min="5394" max="5394" width="0" style="185" hidden="1" customWidth="1"/>
    <col min="5395" max="5395" width="8" style="185" bestFit="1" customWidth="1"/>
    <col min="5396" max="5396" width="0" style="185" hidden="1" customWidth="1"/>
    <col min="5397" max="5397" width="8" style="185" customWidth="1"/>
    <col min="5398" max="5398" width="0" style="185" hidden="1" customWidth="1"/>
    <col min="5399" max="5401" width="8" style="185" bestFit="1" customWidth="1"/>
    <col min="5402" max="5402" width="17.42578125" style="185" bestFit="1" customWidth="1"/>
    <col min="5403" max="5630" width="11.42578125" style="185"/>
    <col min="5631" max="5631" width="59.5703125" style="185" customWidth="1"/>
    <col min="5632" max="5640" width="0" style="185" hidden="1" customWidth="1"/>
    <col min="5641" max="5641" width="6.5703125" style="185" customWidth="1"/>
    <col min="5642" max="5642" width="6.85546875" style="185" bestFit="1" customWidth="1"/>
    <col min="5643" max="5644" width="7.7109375" style="185" bestFit="1" customWidth="1"/>
    <col min="5645" max="5645" width="0" style="185" hidden="1" customWidth="1"/>
    <col min="5646" max="5646" width="9" style="185" customWidth="1"/>
    <col min="5647" max="5647" width="8" style="185" bestFit="1" customWidth="1"/>
    <col min="5648" max="5648" width="0" style="185" hidden="1" customWidth="1"/>
    <col min="5649" max="5649" width="8" style="185" customWidth="1"/>
    <col min="5650" max="5650" width="0" style="185" hidden="1" customWidth="1"/>
    <col min="5651" max="5651" width="8" style="185" bestFit="1" customWidth="1"/>
    <col min="5652" max="5652" width="0" style="185" hidden="1" customWidth="1"/>
    <col min="5653" max="5653" width="8" style="185" customWidth="1"/>
    <col min="5654" max="5654" width="0" style="185" hidden="1" customWidth="1"/>
    <col min="5655" max="5657" width="8" style="185" bestFit="1" customWidth="1"/>
    <col min="5658" max="5658" width="17.42578125" style="185" bestFit="1" customWidth="1"/>
    <col min="5659" max="5886" width="11.42578125" style="185"/>
    <col min="5887" max="5887" width="59.5703125" style="185" customWidth="1"/>
    <col min="5888" max="5896" width="0" style="185" hidden="1" customWidth="1"/>
    <col min="5897" max="5897" width="6.5703125" style="185" customWidth="1"/>
    <col min="5898" max="5898" width="6.85546875" style="185" bestFit="1" customWidth="1"/>
    <col min="5899" max="5900" width="7.7109375" style="185" bestFit="1" customWidth="1"/>
    <col min="5901" max="5901" width="0" style="185" hidden="1" customWidth="1"/>
    <col min="5902" max="5902" width="9" style="185" customWidth="1"/>
    <col min="5903" max="5903" width="8" style="185" bestFit="1" customWidth="1"/>
    <col min="5904" max="5904" width="0" style="185" hidden="1" customWidth="1"/>
    <col min="5905" max="5905" width="8" style="185" customWidth="1"/>
    <col min="5906" max="5906" width="0" style="185" hidden="1" customWidth="1"/>
    <col min="5907" max="5907" width="8" style="185" bestFit="1" customWidth="1"/>
    <col min="5908" max="5908" width="0" style="185" hidden="1" customWidth="1"/>
    <col min="5909" max="5909" width="8" style="185" customWidth="1"/>
    <col min="5910" max="5910" width="0" style="185" hidden="1" customWidth="1"/>
    <col min="5911" max="5913" width="8" style="185" bestFit="1" customWidth="1"/>
    <col min="5914" max="5914" width="17.42578125" style="185" bestFit="1" customWidth="1"/>
    <col min="5915" max="6142" width="11.42578125" style="185"/>
    <col min="6143" max="6143" width="59.5703125" style="185" customWidth="1"/>
    <col min="6144" max="6152" width="0" style="185" hidden="1" customWidth="1"/>
    <col min="6153" max="6153" width="6.5703125" style="185" customWidth="1"/>
    <col min="6154" max="6154" width="6.85546875" style="185" bestFit="1" customWidth="1"/>
    <col min="6155" max="6156" width="7.7109375" style="185" bestFit="1" customWidth="1"/>
    <col min="6157" max="6157" width="0" style="185" hidden="1" customWidth="1"/>
    <col min="6158" max="6158" width="9" style="185" customWidth="1"/>
    <col min="6159" max="6159" width="8" style="185" bestFit="1" customWidth="1"/>
    <col min="6160" max="6160" width="0" style="185" hidden="1" customWidth="1"/>
    <col min="6161" max="6161" width="8" style="185" customWidth="1"/>
    <col min="6162" max="6162" width="0" style="185" hidden="1" customWidth="1"/>
    <col min="6163" max="6163" width="8" style="185" bestFit="1" customWidth="1"/>
    <col min="6164" max="6164" width="0" style="185" hidden="1" customWidth="1"/>
    <col min="6165" max="6165" width="8" style="185" customWidth="1"/>
    <col min="6166" max="6166" width="0" style="185" hidden="1" customWidth="1"/>
    <col min="6167" max="6169" width="8" style="185" bestFit="1" customWidth="1"/>
    <col min="6170" max="6170" width="17.42578125" style="185" bestFit="1" customWidth="1"/>
    <col min="6171" max="6398" width="11.42578125" style="185"/>
    <col min="6399" max="6399" width="59.5703125" style="185" customWidth="1"/>
    <col min="6400" max="6408" width="0" style="185" hidden="1" customWidth="1"/>
    <col min="6409" max="6409" width="6.5703125" style="185" customWidth="1"/>
    <col min="6410" max="6410" width="6.85546875" style="185" bestFit="1" customWidth="1"/>
    <col min="6411" max="6412" width="7.7109375" style="185" bestFit="1" customWidth="1"/>
    <col min="6413" max="6413" width="0" style="185" hidden="1" customWidth="1"/>
    <col min="6414" max="6414" width="9" style="185" customWidth="1"/>
    <col min="6415" max="6415" width="8" style="185" bestFit="1" customWidth="1"/>
    <col min="6416" max="6416" width="0" style="185" hidden="1" customWidth="1"/>
    <col min="6417" max="6417" width="8" style="185" customWidth="1"/>
    <col min="6418" max="6418" width="0" style="185" hidden="1" customWidth="1"/>
    <col min="6419" max="6419" width="8" style="185" bestFit="1" customWidth="1"/>
    <col min="6420" max="6420" width="0" style="185" hidden="1" customWidth="1"/>
    <col min="6421" max="6421" width="8" style="185" customWidth="1"/>
    <col min="6422" max="6422" width="0" style="185" hidden="1" customWidth="1"/>
    <col min="6423" max="6425" width="8" style="185" bestFit="1" customWidth="1"/>
    <col min="6426" max="6426" width="17.42578125" style="185" bestFit="1" customWidth="1"/>
    <col min="6427" max="6654" width="11.42578125" style="185"/>
    <col min="6655" max="6655" width="59.5703125" style="185" customWidth="1"/>
    <col min="6656" max="6664" width="0" style="185" hidden="1" customWidth="1"/>
    <col min="6665" max="6665" width="6.5703125" style="185" customWidth="1"/>
    <col min="6666" max="6666" width="6.85546875" style="185" bestFit="1" customWidth="1"/>
    <col min="6667" max="6668" width="7.7109375" style="185" bestFit="1" customWidth="1"/>
    <col min="6669" max="6669" width="0" style="185" hidden="1" customWidth="1"/>
    <col min="6670" max="6670" width="9" style="185" customWidth="1"/>
    <col min="6671" max="6671" width="8" style="185" bestFit="1" customWidth="1"/>
    <col min="6672" max="6672" width="0" style="185" hidden="1" customWidth="1"/>
    <col min="6673" max="6673" width="8" style="185" customWidth="1"/>
    <col min="6674" max="6674" width="0" style="185" hidden="1" customWidth="1"/>
    <col min="6675" max="6675" width="8" style="185" bestFit="1" customWidth="1"/>
    <col min="6676" max="6676" width="0" style="185" hidden="1" customWidth="1"/>
    <col min="6677" max="6677" width="8" style="185" customWidth="1"/>
    <col min="6678" max="6678" width="0" style="185" hidden="1" customWidth="1"/>
    <col min="6679" max="6681" width="8" style="185" bestFit="1" customWidth="1"/>
    <col min="6682" max="6682" width="17.42578125" style="185" bestFit="1" customWidth="1"/>
    <col min="6683" max="6910" width="11.42578125" style="185"/>
    <col min="6911" max="6911" width="59.5703125" style="185" customWidth="1"/>
    <col min="6912" max="6920" width="0" style="185" hidden="1" customWidth="1"/>
    <col min="6921" max="6921" width="6.5703125" style="185" customWidth="1"/>
    <col min="6922" max="6922" width="6.85546875" style="185" bestFit="1" customWidth="1"/>
    <col min="6923" max="6924" width="7.7109375" style="185" bestFit="1" customWidth="1"/>
    <col min="6925" max="6925" width="0" style="185" hidden="1" customWidth="1"/>
    <col min="6926" max="6926" width="9" style="185" customWidth="1"/>
    <col min="6927" max="6927" width="8" style="185" bestFit="1" customWidth="1"/>
    <col min="6928" max="6928" width="0" style="185" hidden="1" customWidth="1"/>
    <col min="6929" max="6929" width="8" style="185" customWidth="1"/>
    <col min="6930" max="6930" width="0" style="185" hidden="1" customWidth="1"/>
    <col min="6931" max="6931" width="8" style="185" bestFit="1" customWidth="1"/>
    <col min="6932" max="6932" width="0" style="185" hidden="1" customWidth="1"/>
    <col min="6933" max="6933" width="8" style="185" customWidth="1"/>
    <col min="6934" max="6934" width="0" style="185" hidden="1" customWidth="1"/>
    <col min="6935" max="6937" width="8" style="185" bestFit="1" customWidth="1"/>
    <col min="6938" max="6938" width="17.42578125" style="185" bestFit="1" customWidth="1"/>
    <col min="6939" max="7166" width="11.42578125" style="185"/>
    <col min="7167" max="7167" width="59.5703125" style="185" customWidth="1"/>
    <col min="7168" max="7176" width="0" style="185" hidden="1" customWidth="1"/>
    <col min="7177" max="7177" width="6.5703125" style="185" customWidth="1"/>
    <col min="7178" max="7178" width="6.85546875" style="185" bestFit="1" customWidth="1"/>
    <col min="7179" max="7180" width="7.7109375" style="185" bestFit="1" customWidth="1"/>
    <col min="7181" max="7181" width="0" style="185" hidden="1" customWidth="1"/>
    <col min="7182" max="7182" width="9" style="185" customWidth="1"/>
    <col min="7183" max="7183" width="8" style="185" bestFit="1" customWidth="1"/>
    <col min="7184" max="7184" width="0" style="185" hidden="1" customWidth="1"/>
    <col min="7185" max="7185" width="8" style="185" customWidth="1"/>
    <col min="7186" max="7186" width="0" style="185" hidden="1" customWidth="1"/>
    <col min="7187" max="7187" width="8" style="185" bestFit="1" customWidth="1"/>
    <col min="7188" max="7188" width="0" style="185" hidden="1" customWidth="1"/>
    <col min="7189" max="7189" width="8" style="185" customWidth="1"/>
    <col min="7190" max="7190" width="0" style="185" hidden="1" customWidth="1"/>
    <col min="7191" max="7193" width="8" style="185" bestFit="1" customWidth="1"/>
    <col min="7194" max="7194" width="17.42578125" style="185" bestFit="1" customWidth="1"/>
    <col min="7195" max="7422" width="11.42578125" style="185"/>
    <col min="7423" max="7423" width="59.5703125" style="185" customWidth="1"/>
    <col min="7424" max="7432" width="0" style="185" hidden="1" customWidth="1"/>
    <col min="7433" max="7433" width="6.5703125" style="185" customWidth="1"/>
    <col min="7434" max="7434" width="6.85546875" style="185" bestFit="1" customWidth="1"/>
    <col min="7435" max="7436" width="7.7109375" style="185" bestFit="1" customWidth="1"/>
    <col min="7437" max="7437" width="0" style="185" hidden="1" customWidth="1"/>
    <col min="7438" max="7438" width="9" style="185" customWidth="1"/>
    <col min="7439" max="7439" width="8" style="185" bestFit="1" customWidth="1"/>
    <col min="7440" max="7440" width="0" style="185" hidden="1" customWidth="1"/>
    <col min="7441" max="7441" width="8" style="185" customWidth="1"/>
    <col min="7442" max="7442" width="0" style="185" hidden="1" customWidth="1"/>
    <col min="7443" max="7443" width="8" style="185" bestFit="1" customWidth="1"/>
    <col min="7444" max="7444" width="0" style="185" hidden="1" customWidth="1"/>
    <col min="7445" max="7445" width="8" style="185" customWidth="1"/>
    <col min="7446" max="7446" width="0" style="185" hidden="1" customWidth="1"/>
    <col min="7447" max="7449" width="8" style="185" bestFit="1" customWidth="1"/>
    <col min="7450" max="7450" width="17.42578125" style="185" bestFit="1" customWidth="1"/>
    <col min="7451" max="7678" width="11.42578125" style="185"/>
    <col min="7679" max="7679" width="59.5703125" style="185" customWidth="1"/>
    <col min="7680" max="7688" width="0" style="185" hidden="1" customWidth="1"/>
    <col min="7689" max="7689" width="6.5703125" style="185" customWidth="1"/>
    <col min="7690" max="7690" width="6.85546875" style="185" bestFit="1" customWidth="1"/>
    <col min="7691" max="7692" width="7.7109375" style="185" bestFit="1" customWidth="1"/>
    <col min="7693" max="7693" width="0" style="185" hidden="1" customWidth="1"/>
    <col min="7694" max="7694" width="9" style="185" customWidth="1"/>
    <col min="7695" max="7695" width="8" style="185" bestFit="1" customWidth="1"/>
    <col min="7696" max="7696" width="0" style="185" hidden="1" customWidth="1"/>
    <col min="7697" max="7697" width="8" style="185" customWidth="1"/>
    <col min="7698" max="7698" width="0" style="185" hidden="1" customWidth="1"/>
    <col min="7699" max="7699" width="8" style="185" bestFit="1" customWidth="1"/>
    <col min="7700" max="7700" width="0" style="185" hidden="1" customWidth="1"/>
    <col min="7701" max="7701" width="8" style="185" customWidth="1"/>
    <col min="7702" max="7702" width="0" style="185" hidden="1" customWidth="1"/>
    <col min="7703" max="7705" width="8" style="185" bestFit="1" customWidth="1"/>
    <col min="7706" max="7706" width="17.42578125" style="185" bestFit="1" customWidth="1"/>
    <col min="7707" max="7934" width="11.42578125" style="185"/>
    <col min="7935" max="7935" width="59.5703125" style="185" customWidth="1"/>
    <col min="7936" max="7944" width="0" style="185" hidden="1" customWidth="1"/>
    <col min="7945" max="7945" width="6.5703125" style="185" customWidth="1"/>
    <col min="7946" max="7946" width="6.85546875" style="185" bestFit="1" customWidth="1"/>
    <col min="7947" max="7948" width="7.7109375" style="185" bestFit="1" customWidth="1"/>
    <col min="7949" max="7949" width="0" style="185" hidden="1" customWidth="1"/>
    <col min="7950" max="7950" width="9" style="185" customWidth="1"/>
    <col min="7951" max="7951" width="8" style="185" bestFit="1" customWidth="1"/>
    <col min="7952" max="7952" width="0" style="185" hidden="1" customWidth="1"/>
    <col min="7953" max="7953" width="8" style="185" customWidth="1"/>
    <col min="7954" max="7954" width="0" style="185" hidden="1" customWidth="1"/>
    <col min="7955" max="7955" width="8" style="185" bestFit="1" customWidth="1"/>
    <col min="7956" max="7956" width="0" style="185" hidden="1" customWidth="1"/>
    <col min="7957" max="7957" width="8" style="185" customWidth="1"/>
    <col min="7958" max="7958" width="0" style="185" hidden="1" customWidth="1"/>
    <col min="7959" max="7961" width="8" style="185" bestFit="1" customWidth="1"/>
    <col min="7962" max="7962" width="17.42578125" style="185" bestFit="1" customWidth="1"/>
    <col min="7963" max="8190" width="11.42578125" style="185"/>
    <col min="8191" max="8191" width="59.5703125" style="185" customWidth="1"/>
    <col min="8192" max="8200" width="0" style="185" hidden="1" customWidth="1"/>
    <col min="8201" max="8201" width="6.5703125" style="185" customWidth="1"/>
    <col min="8202" max="8202" width="6.85546875" style="185" bestFit="1" customWidth="1"/>
    <col min="8203" max="8204" width="7.7109375" style="185" bestFit="1" customWidth="1"/>
    <col min="8205" max="8205" width="0" style="185" hidden="1" customWidth="1"/>
    <col min="8206" max="8206" width="9" style="185" customWidth="1"/>
    <col min="8207" max="8207" width="8" style="185" bestFit="1" customWidth="1"/>
    <col min="8208" max="8208" width="0" style="185" hidden="1" customWidth="1"/>
    <col min="8209" max="8209" width="8" style="185" customWidth="1"/>
    <col min="8210" max="8210" width="0" style="185" hidden="1" customWidth="1"/>
    <col min="8211" max="8211" width="8" style="185" bestFit="1" customWidth="1"/>
    <col min="8212" max="8212" width="0" style="185" hidden="1" customWidth="1"/>
    <col min="8213" max="8213" width="8" style="185" customWidth="1"/>
    <col min="8214" max="8214" width="0" style="185" hidden="1" customWidth="1"/>
    <col min="8215" max="8217" width="8" style="185" bestFit="1" customWidth="1"/>
    <col min="8218" max="8218" width="17.42578125" style="185" bestFit="1" customWidth="1"/>
    <col min="8219" max="8446" width="11.42578125" style="185"/>
    <col min="8447" max="8447" width="59.5703125" style="185" customWidth="1"/>
    <col min="8448" max="8456" width="0" style="185" hidden="1" customWidth="1"/>
    <col min="8457" max="8457" width="6.5703125" style="185" customWidth="1"/>
    <col min="8458" max="8458" width="6.85546875" style="185" bestFit="1" customWidth="1"/>
    <col min="8459" max="8460" width="7.7109375" style="185" bestFit="1" customWidth="1"/>
    <col min="8461" max="8461" width="0" style="185" hidden="1" customWidth="1"/>
    <col min="8462" max="8462" width="9" style="185" customWidth="1"/>
    <col min="8463" max="8463" width="8" style="185" bestFit="1" customWidth="1"/>
    <col min="8464" max="8464" width="0" style="185" hidden="1" customWidth="1"/>
    <col min="8465" max="8465" width="8" style="185" customWidth="1"/>
    <col min="8466" max="8466" width="0" style="185" hidden="1" customWidth="1"/>
    <col min="8467" max="8467" width="8" style="185" bestFit="1" customWidth="1"/>
    <col min="8468" max="8468" width="0" style="185" hidden="1" customWidth="1"/>
    <col min="8469" max="8469" width="8" style="185" customWidth="1"/>
    <col min="8470" max="8470" width="0" style="185" hidden="1" customWidth="1"/>
    <col min="8471" max="8473" width="8" style="185" bestFit="1" customWidth="1"/>
    <col min="8474" max="8474" width="17.42578125" style="185" bestFit="1" customWidth="1"/>
    <col min="8475" max="8702" width="11.42578125" style="185"/>
    <col min="8703" max="8703" width="59.5703125" style="185" customWidth="1"/>
    <col min="8704" max="8712" width="0" style="185" hidden="1" customWidth="1"/>
    <col min="8713" max="8713" width="6.5703125" style="185" customWidth="1"/>
    <col min="8714" max="8714" width="6.85546875" style="185" bestFit="1" customWidth="1"/>
    <col min="8715" max="8716" width="7.7109375" style="185" bestFit="1" customWidth="1"/>
    <col min="8717" max="8717" width="0" style="185" hidden="1" customWidth="1"/>
    <col min="8718" max="8718" width="9" style="185" customWidth="1"/>
    <col min="8719" max="8719" width="8" style="185" bestFit="1" customWidth="1"/>
    <col min="8720" max="8720" width="0" style="185" hidden="1" customWidth="1"/>
    <col min="8721" max="8721" width="8" style="185" customWidth="1"/>
    <col min="8722" max="8722" width="0" style="185" hidden="1" customWidth="1"/>
    <col min="8723" max="8723" width="8" style="185" bestFit="1" customWidth="1"/>
    <col min="8724" max="8724" width="0" style="185" hidden="1" customWidth="1"/>
    <col min="8725" max="8725" width="8" style="185" customWidth="1"/>
    <col min="8726" max="8726" width="0" style="185" hidden="1" customWidth="1"/>
    <col min="8727" max="8729" width="8" style="185" bestFit="1" customWidth="1"/>
    <col min="8730" max="8730" width="17.42578125" style="185" bestFit="1" customWidth="1"/>
    <col min="8731" max="8958" width="11.42578125" style="185"/>
    <col min="8959" max="8959" width="59.5703125" style="185" customWidth="1"/>
    <col min="8960" max="8968" width="0" style="185" hidden="1" customWidth="1"/>
    <col min="8969" max="8969" width="6.5703125" style="185" customWidth="1"/>
    <col min="8970" max="8970" width="6.85546875" style="185" bestFit="1" customWidth="1"/>
    <col min="8971" max="8972" width="7.7109375" style="185" bestFit="1" customWidth="1"/>
    <col min="8973" max="8973" width="0" style="185" hidden="1" customWidth="1"/>
    <col min="8974" max="8974" width="9" style="185" customWidth="1"/>
    <col min="8975" max="8975" width="8" style="185" bestFit="1" customWidth="1"/>
    <col min="8976" max="8976" width="0" style="185" hidden="1" customWidth="1"/>
    <col min="8977" max="8977" width="8" style="185" customWidth="1"/>
    <col min="8978" max="8978" width="0" style="185" hidden="1" customWidth="1"/>
    <col min="8979" max="8979" width="8" style="185" bestFit="1" customWidth="1"/>
    <col min="8980" max="8980" width="0" style="185" hidden="1" customWidth="1"/>
    <col min="8981" max="8981" width="8" style="185" customWidth="1"/>
    <col min="8982" max="8982" width="0" style="185" hidden="1" customWidth="1"/>
    <col min="8983" max="8985" width="8" style="185" bestFit="1" customWidth="1"/>
    <col min="8986" max="8986" width="17.42578125" style="185" bestFit="1" customWidth="1"/>
    <col min="8987" max="9214" width="11.42578125" style="185"/>
    <col min="9215" max="9215" width="59.5703125" style="185" customWidth="1"/>
    <col min="9216" max="9224" width="0" style="185" hidden="1" customWidth="1"/>
    <col min="9225" max="9225" width="6.5703125" style="185" customWidth="1"/>
    <col min="9226" max="9226" width="6.85546875" style="185" bestFit="1" customWidth="1"/>
    <col min="9227" max="9228" width="7.7109375" style="185" bestFit="1" customWidth="1"/>
    <col min="9229" max="9229" width="0" style="185" hidden="1" customWidth="1"/>
    <col min="9230" max="9230" width="9" style="185" customWidth="1"/>
    <col min="9231" max="9231" width="8" style="185" bestFit="1" customWidth="1"/>
    <col min="9232" max="9232" width="0" style="185" hidden="1" customWidth="1"/>
    <col min="9233" max="9233" width="8" style="185" customWidth="1"/>
    <col min="9234" max="9234" width="0" style="185" hidden="1" customWidth="1"/>
    <col min="9235" max="9235" width="8" style="185" bestFit="1" customWidth="1"/>
    <col min="9236" max="9236" width="0" style="185" hidden="1" customWidth="1"/>
    <col min="9237" max="9237" width="8" style="185" customWidth="1"/>
    <col min="9238" max="9238" width="0" style="185" hidden="1" customWidth="1"/>
    <col min="9239" max="9241" width="8" style="185" bestFit="1" customWidth="1"/>
    <col min="9242" max="9242" width="17.42578125" style="185" bestFit="1" customWidth="1"/>
    <col min="9243" max="9470" width="11.42578125" style="185"/>
    <col min="9471" max="9471" width="59.5703125" style="185" customWidth="1"/>
    <col min="9472" max="9480" width="0" style="185" hidden="1" customWidth="1"/>
    <col min="9481" max="9481" width="6.5703125" style="185" customWidth="1"/>
    <col min="9482" max="9482" width="6.85546875" style="185" bestFit="1" customWidth="1"/>
    <col min="9483" max="9484" width="7.7109375" style="185" bestFit="1" customWidth="1"/>
    <col min="9485" max="9485" width="0" style="185" hidden="1" customWidth="1"/>
    <col min="9486" max="9486" width="9" style="185" customWidth="1"/>
    <col min="9487" max="9487" width="8" style="185" bestFit="1" customWidth="1"/>
    <col min="9488" max="9488" width="0" style="185" hidden="1" customWidth="1"/>
    <col min="9489" max="9489" width="8" style="185" customWidth="1"/>
    <col min="9490" max="9490" width="0" style="185" hidden="1" customWidth="1"/>
    <col min="9491" max="9491" width="8" style="185" bestFit="1" customWidth="1"/>
    <col min="9492" max="9492" width="0" style="185" hidden="1" customWidth="1"/>
    <col min="9493" max="9493" width="8" style="185" customWidth="1"/>
    <col min="9494" max="9494" width="0" style="185" hidden="1" customWidth="1"/>
    <col min="9495" max="9497" width="8" style="185" bestFit="1" customWidth="1"/>
    <col min="9498" max="9498" width="17.42578125" style="185" bestFit="1" customWidth="1"/>
    <col min="9499" max="9726" width="11.42578125" style="185"/>
    <col min="9727" max="9727" width="59.5703125" style="185" customWidth="1"/>
    <col min="9728" max="9736" width="0" style="185" hidden="1" customWidth="1"/>
    <col min="9737" max="9737" width="6.5703125" style="185" customWidth="1"/>
    <col min="9738" max="9738" width="6.85546875" style="185" bestFit="1" customWidth="1"/>
    <col min="9739" max="9740" width="7.7109375" style="185" bestFit="1" customWidth="1"/>
    <col min="9741" max="9741" width="0" style="185" hidden="1" customWidth="1"/>
    <col min="9742" max="9742" width="9" style="185" customWidth="1"/>
    <col min="9743" max="9743" width="8" style="185" bestFit="1" customWidth="1"/>
    <col min="9744" max="9744" width="0" style="185" hidden="1" customWidth="1"/>
    <col min="9745" max="9745" width="8" style="185" customWidth="1"/>
    <col min="9746" max="9746" width="0" style="185" hidden="1" customWidth="1"/>
    <col min="9747" max="9747" width="8" style="185" bestFit="1" customWidth="1"/>
    <col min="9748" max="9748" width="0" style="185" hidden="1" customWidth="1"/>
    <col min="9749" max="9749" width="8" style="185" customWidth="1"/>
    <col min="9750" max="9750" width="0" style="185" hidden="1" customWidth="1"/>
    <col min="9751" max="9753" width="8" style="185" bestFit="1" customWidth="1"/>
    <col min="9754" max="9754" width="17.42578125" style="185" bestFit="1" customWidth="1"/>
    <col min="9755" max="9982" width="11.42578125" style="185"/>
    <col min="9983" max="9983" width="59.5703125" style="185" customWidth="1"/>
    <col min="9984" max="9992" width="0" style="185" hidden="1" customWidth="1"/>
    <col min="9993" max="9993" width="6.5703125" style="185" customWidth="1"/>
    <col min="9994" max="9994" width="6.85546875" style="185" bestFit="1" customWidth="1"/>
    <col min="9995" max="9996" width="7.7109375" style="185" bestFit="1" customWidth="1"/>
    <col min="9997" max="9997" width="0" style="185" hidden="1" customWidth="1"/>
    <col min="9998" max="9998" width="9" style="185" customWidth="1"/>
    <col min="9999" max="9999" width="8" style="185" bestFit="1" customWidth="1"/>
    <col min="10000" max="10000" width="0" style="185" hidden="1" customWidth="1"/>
    <col min="10001" max="10001" width="8" style="185" customWidth="1"/>
    <col min="10002" max="10002" width="0" style="185" hidden="1" customWidth="1"/>
    <col min="10003" max="10003" width="8" style="185" bestFit="1" customWidth="1"/>
    <col min="10004" max="10004" width="0" style="185" hidden="1" customWidth="1"/>
    <col min="10005" max="10005" width="8" style="185" customWidth="1"/>
    <col min="10006" max="10006" width="0" style="185" hidden="1" customWidth="1"/>
    <col min="10007" max="10009" width="8" style="185" bestFit="1" customWidth="1"/>
    <col min="10010" max="10010" width="17.42578125" style="185" bestFit="1" customWidth="1"/>
    <col min="10011" max="10238" width="11.42578125" style="185"/>
    <col min="10239" max="10239" width="59.5703125" style="185" customWidth="1"/>
    <col min="10240" max="10248" width="0" style="185" hidden="1" customWidth="1"/>
    <col min="10249" max="10249" width="6.5703125" style="185" customWidth="1"/>
    <col min="10250" max="10250" width="6.85546875" style="185" bestFit="1" customWidth="1"/>
    <col min="10251" max="10252" width="7.7109375" style="185" bestFit="1" customWidth="1"/>
    <col min="10253" max="10253" width="0" style="185" hidden="1" customWidth="1"/>
    <col min="10254" max="10254" width="9" style="185" customWidth="1"/>
    <col min="10255" max="10255" width="8" style="185" bestFit="1" customWidth="1"/>
    <col min="10256" max="10256" width="0" style="185" hidden="1" customWidth="1"/>
    <col min="10257" max="10257" width="8" style="185" customWidth="1"/>
    <col min="10258" max="10258" width="0" style="185" hidden="1" customWidth="1"/>
    <col min="10259" max="10259" width="8" style="185" bestFit="1" customWidth="1"/>
    <col min="10260" max="10260" width="0" style="185" hidden="1" customWidth="1"/>
    <col min="10261" max="10261" width="8" style="185" customWidth="1"/>
    <col min="10262" max="10262" width="0" style="185" hidden="1" customWidth="1"/>
    <col min="10263" max="10265" width="8" style="185" bestFit="1" customWidth="1"/>
    <col min="10266" max="10266" width="17.42578125" style="185" bestFit="1" customWidth="1"/>
    <col min="10267" max="10494" width="11.42578125" style="185"/>
    <col min="10495" max="10495" width="59.5703125" style="185" customWidth="1"/>
    <col min="10496" max="10504" width="0" style="185" hidden="1" customWidth="1"/>
    <col min="10505" max="10505" width="6.5703125" style="185" customWidth="1"/>
    <col min="10506" max="10506" width="6.85546875" style="185" bestFit="1" customWidth="1"/>
    <col min="10507" max="10508" width="7.7109375" style="185" bestFit="1" customWidth="1"/>
    <col min="10509" max="10509" width="0" style="185" hidden="1" customWidth="1"/>
    <col min="10510" max="10510" width="9" style="185" customWidth="1"/>
    <col min="10511" max="10511" width="8" style="185" bestFit="1" customWidth="1"/>
    <col min="10512" max="10512" width="0" style="185" hidden="1" customWidth="1"/>
    <col min="10513" max="10513" width="8" style="185" customWidth="1"/>
    <col min="10514" max="10514" width="0" style="185" hidden="1" customWidth="1"/>
    <col min="10515" max="10515" width="8" style="185" bestFit="1" customWidth="1"/>
    <col min="10516" max="10516" width="0" style="185" hidden="1" customWidth="1"/>
    <col min="10517" max="10517" width="8" style="185" customWidth="1"/>
    <col min="10518" max="10518" width="0" style="185" hidden="1" customWidth="1"/>
    <col min="10519" max="10521" width="8" style="185" bestFit="1" customWidth="1"/>
    <col min="10522" max="10522" width="17.42578125" style="185" bestFit="1" customWidth="1"/>
    <col min="10523" max="10750" width="11.42578125" style="185"/>
    <col min="10751" max="10751" width="59.5703125" style="185" customWidth="1"/>
    <col min="10752" max="10760" width="0" style="185" hidden="1" customWidth="1"/>
    <col min="10761" max="10761" width="6.5703125" style="185" customWidth="1"/>
    <col min="10762" max="10762" width="6.85546875" style="185" bestFit="1" customWidth="1"/>
    <col min="10763" max="10764" width="7.7109375" style="185" bestFit="1" customWidth="1"/>
    <col min="10765" max="10765" width="0" style="185" hidden="1" customWidth="1"/>
    <col min="10766" max="10766" width="9" style="185" customWidth="1"/>
    <col min="10767" max="10767" width="8" style="185" bestFit="1" customWidth="1"/>
    <col min="10768" max="10768" width="0" style="185" hidden="1" customWidth="1"/>
    <col min="10769" max="10769" width="8" style="185" customWidth="1"/>
    <col min="10770" max="10770" width="0" style="185" hidden="1" customWidth="1"/>
    <col min="10771" max="10771" width="8" style="185" bestFit="1" customWidth="1"/>
    <col min="10772" max="10772" width="0" style="185" hidden="1" customWidth="1"/>
    <col min="10773" max="10773" width="8" style="185" customWidth="1"/>
    <col min="10774" max="10774" width="0" style="185" hidden="1" customWidth="1"/>
    <col min="10775" max="10777" width="8" style="185" bestFit="1" customWidth="1"/>
    <col min="10778" max="10778" width="17.42578125" style="185" bestFit="1" customWidth="1"/>
    <col min="10779" max="11006" width="11.42578125" style="185"/>
    <col min="11007" max="11007" width="59.5703125" style="185" customWidth="1"/>
    <col min="11008" max="11016" width="0" style="185" hidden="1" customWidth="1"/>
    <col min="11017" max="11017" width="6.5703125" style="185" customWidth="1"/>
    <col min="11018" max="11018" width="6.85546875" style="185" bestFit="1" customWidth="1"/>
    <col min="11019" max="11020" width="7.7109375" style="185" bestFit="1" customWidth="1"/>
    <col min="11021" max="11021" width="0" style="185" hidden="1" customWidth="1"/>
    <col min="11022" max="11022" width="9" style="185" customWidth="1"/>
    <col min="11023" max="11023" width="8" style="185" bestFit="1" customWidth="1"/>
    <col min="11024" max="11024" width="0" style="185" hidden="1" customWidth="1"/>
    <col min="11025" max="11025" width="8" style="185" customWidth="1"/>
    <col min="11026" max="11026" width="0" style="185" hidden="1" customWidth="1"/>
    <col min="11027" max="11027" width="8" style="185" bestFit="1" customWidth="1"/>
    <col min="11028" max="11028" width="0" style="185" hidden="1" customWidth="1"/>
    <col min="11029" max="11029" width="8" style="185" customWidth="1"/>
    <col min="11030" max="11030" width="0" style="185" hidden="1" customWidth="1"/>
    <col min="11031" max="11033" width="8" style="185" bestFit="1" customWidth="1"/>
    <col min="11034" max="11034" width="17.42578125" style="185" bestFit="1" customWidth="1"/>
    <col min="11035" max="11262" width="11.42578125" style="185"/>
    <col min="11263" max="11263" width="59.5703125" style="185" customWidth="1"/>
    <col min="11264" max="11272" width="0" style="185" hidden="1" customWidth="1"/>
    <col min="11273" max="11273" width="6.5703125" style="185" customWidth="1"/>
    <col min="11274" max="11274" width="6.85546875" style="185" bestFit="1" customWidth="1"/>
    <col min="11275" max="11276" width="7.7109375" style="185" bestFit="1" customWidth="1"/>
    <col min="11277" max="11277" width="0" style="185" hidden="1" customWidth="1"/>
    <col min="11278" max="11278" width="9" style="185" customWidth="1"/>
    <col min="11279" max="11279" width="8" style="185" bestFit="1" customWidth="1"/>
    <col min="11280" max="11280" width="0" style="185" hidden="1" customWidth="1"/>
    <col min="11281" max="11281" width="8" style="185" customWidth="1"/>
    <col min="11282" max="11282" width="0" style="185" hidden="1" customWidth="1"/>
    <col min="11283" max="11283" width="8" style="185" bestFit="1" customWidth="1"/>
    <col min="11284" max="11284" width="0" style="185" hidden="1" customWidth="1"/>
    <col min="11285" max="11285" width="8" style="185" customWidth="1"/>
    <col min="11286" max="11286" width="0" style="185" hidden="1" customWidth="1"/>
    <col min="11287" max="11289" width="8" style="185" bestFit="1" customWidth="1"/>
    <col min="11290" max="11290" width="17.42578125" style="185" bestFit="1" customWidth="1"/>
    <col min="11291" max="11518" width="11.42578125" style="185"/>
    <col min="11519" max="11519" width="59.5703125" style="185" customWidth="1"/>
    <col min="11520" max="11528" width="0" style="185" hidden="1" customWidth="1"/>
    <col min="11529" max="11529" width="6.5703125" style="185" customWidth="1"/>
    <col min="11530" max="11530" width="6.85546875" style="185" bestFit="1" customWidth="1"/>
    <col min="11531" max="11532" width="7.7109375" style="185" bestFit="1" customWidth="1"/>
    <col min="11533" max="11533" width="0" style="185" hidden="1" customWidth="1"/>
    <col min="11534" max="11534" width="9" style="185" customWidth="1"/>
    <col min="11535" max="11535" width="8" style="185" bestFit="1" customWidth="1"/>
    <col min="11536" max="11536" width="0" style="185" hidden="1" customWidth="1"/>
    <col min="11537" max="11537" width="8" style="185" customWidth="1"/>
    <col min="11538" max="11538" width="0" style="185" hidden="1" customWidth="1"/>
    <col min="11539" max="11539" width="8" style="185" bestFit="1" customWidth="1"/>
    <col min="11540" max="11540" width="0" style="185" hidden="1" customWidth="1"/>
    <col min="11541" max="11541" width="8" style="185" customWidth="1"/>
    <col min="11542" max="11542" width="0" style="185" hidden="1" customWidth="1"/>
    <col min="11543" max="11545" width="8" style="185" bestFit="1" customWidth="1"/>
    <col min="11546" max="11546" width="17.42578125" style="185" bestFit="1" customWidth="1"/>
    <col min="11547" max="11774" width="11.42578125" style="185"/>
    <col min="11775" max="11775" width="59.5703125" style="185" customWidth="1"/>
    <col min="11776" max="11784" width="0" style="185" hidden="1" customWidth="1"/>
    <col min="11785" max="11785" width="6.5703125" style="185" customWidth="1"/>
    <col min="11786" max="11786" width="6.85546875" style="185" bestFit="1" customWidth="1"/>
    <col min="11787" max="11788" width="7.7109375" style="185" bestFit="1" customWidth="1"/>
    <col min="11789" max="11789" width="0" style="185" hidden="1" customWidth="1"/>
    <col min="11790" max="11790" width="9" style="185" customWidth="1"/>
    <col min="11791" max="11791" width="8" style="185" bestFit="1" customWidth="1"/>
    <col min="11792" max="11792" width="0" style="185" hidden="1" customWidth="1"/>
    <col min="11793" max="11793" width="8" style="185" customWidth="1"/>
    <col min="11794" max="11794" width="0" style="185" hidden="1" customWidth="1"/>
    <col min="11795" max="11795" width="8" style="185" bestFit="1" customWidth="1"/>
    <col min="11796" max="11796" width="0" style="185" hidden="1" customWidth="1"/>
    <col min="11797" max="11797" width="8" style="185" customWidth="1"/>
    <col min="11798" max="11798" width="0" style="185" hidden="1" customWidth="1"/>
    <col min="11799" max="11801" width="8" style="185" bestFit="1" customWidth="1"/>
    <col min="11802" max="11802" width="17.42578125" style="185" bestFit="1" customWidth="1"/>
    <col min="11803" max="12030" width="11.42578125" style="185"/>
    <col min="12031" max="12031" width="59.5703125" style="185" customWidth="1"/>
    <col min="12032" max="12040" width="0" style="185" hidden="1" customWidth="1"/>
    <col min="12041" max="12041" width="6.5703125" style="185" customWidth="1"/>
    <col min="12042" max="12042" width="6.85546875" style="185" bestFit="1" customWidth="1"/>
    <col min="12043" max="12044" width="7.7109375" style="185" bestFit="1" customWidth="1"/>
    <col min="12045" max="12045" width="0" style="185" hidden="1" customWidth="1"/>
    <col min="12046" max="12046" width="9" style="185" customWidth="1"/>
    <col min="12047" max="12047" width="8" style="185" bestFit="1" customWidth="1"/>
    <col min="12048" max="12048" width="0" style="185" hidden="1" customWidth="1"/>
    <col min="12049" max="12049" width="8" style="185" customWidth="1"/>
    <col min="12050" max="12050" width="0" style="185" hidden="1" customWidth="1"/>
    <col min="12051" max="12051" width="8" style="185" bestFit="1" customWidth="1"/>
    <col min="12052" max="12052" width="0" style="185" hidden="1" customWidth="1"/>
    <col min="12053" max="12053" width="8" style="185" customWidth="1"/>
    <col min="12054" max="12054" width="0" style="185" hidden="1" customWidth="1"/>
    <col min="12055" max="12057" width="8" style="185" bestFit="1" customWidth="1"/>
    <col min="12058" max="12058" width="17.42578125" style="185" bestFit="1" customWidth="1"/>
    <col min="12059" max="12286" width="11.42578125" style="185"/>
    <col min="12287" max="12287" width="59.5703125" style="185" customWidth="1"/>
    <col min="12288" max="12296" width="0" style="185" hidden="1" customWidth="1"/>
    <col min="12297" max="12297" width="6.5703125" style="185" customWidth="1"/>
    <col min="12298" max="12298" width="6.85546875" style="185" bestFit="1" customWidth="1"/>
    <col min="12299" max="12300" width="7.7109375" style="185" bestFit="1" customWidth="1"/>
    <col min="12301" max="12301" width="0" style="185" hidden="1" customWidth="1"/>
    <col min="12302" max="12302" width="9" style="185" customWidth="1"/>
    <col min="12303" max="12303" width="8" style="185" bestFit="1" customWidth="1"/>
    <col min="12304" max="12304" width="0" style="185" hidden="1" customWidth="1"/>
    <col min="12305" max="12305" width="8" style="185" customWidth="1"/>
    <col min="12306" max="12306" width="0" style="185" hidden="1" customWidth="1"/>
    <col min="12307" max="12307" width="8" style="185" bestFit="1" customWidth="1"/>
    <col min="12308" max="12308" width="0" style="185" hidden="1" customWidth="1"/>
    <col min="12309" max="12309" width="8" style="185" customWidth="1"/>
    <col min="12310" max="12310" width="0" style="185" hidden="1" customWidth="1"/>
    <col min="12311" max="12313" width="8" style="185" bestFit="1" customWidth="1"/>
    <col min="12314" max="12314" width="17.42578125" style="185" bestFit="1" customWidth="1"/>
    <col min="12315" max="12542" width="11.42578125" style="185"/>
    <col min="12543" max="12543" width="59.5703125" style="185" customWidth="1"/>
    <col min="12544" max="12552" width="0" style="185" hidden="1" customWidth="1"/>
    <col min="12553" max="12553" width="6.5703125" style="185" customWidth="1"/>
    <col min="12554" max="12554" width="6.85546875" style="185" bestFit="1" customWidth="1"/>
    <col min="12555" max="12556" width="7.7109375" style="185" bestFit="1" customWidth="1"/>
    <col min="12557" max="12557" width="0" style="185" hidden="1" customWidth="1"/>
    <col min="12558" max="12558" width="9" style="185" customWidth="1"/>
    <col min="12559" max="12559" width="8" style="185" bestFit="1" customWidth="1"/>
    <col min="12560" max="12560" width="0" style="185" hidden="1" customWidth="1"/>
    <col min="12561" max="12561" width="8" style="185" customWidth="1"/>
    <col min="12562" max="12562" width="0" style="185" hidden="1" customWidth="1"/>
    <col min="12563" max="12563" width="8" style="185" bestFit="1" customWidth="1"/>
    <col min="12564" max="12564" width="0" style="185" hidden="1" customWidth="1"/>
    <col min="12565" max="12565" width="8" style="185" customWidth="1"/>
    <col min="12566" max="12566" width="0" style="185" hidden="1" customWidth="1"/>
    <col min="12567" max="12569" width="8" style="185" bestFit="1" customWidth="1"/>
    <col min="12570" max="12570" width="17.42578125" style="185" bestFit="1" customWidth="1"/>
    <col min="12571" max="12798" width="11.42578125" style="185"/>
    <col min="12799" max="12799" width="59.5703125" style="185" customWidth="1"/>
    <col min="12800" max="12808" width="0" style="185" hidden="1" customWidth="1"/>
    <col min="12809" max="12809" width="6.5703125" style="185" customWidth="1"/>
    <col min="12810" max="12810" width="6.85546875" style="185" bestFit="1" customWidth="1"/>
    <col min="12811" max="12812" width="7.7109375" style="185" bestFit="1" customWidth="1"/>
    <col min="12813" max="12813" width="0" style="185" hidden="1" customWidth="1"/>
    <col min="12814" max="12814" width="9" style="185" customWidth="1"/>
    <col min="12815" max="12815" width="8" style="185" bestFit="1" customWidth="1"/>
    <col min="12816" max="12816" width="0" style="185" hidden="1" customWidth="1"/>
    <col min="12817" max="12817" width="8" style="185" customWidth="1"/>
    <col min="12818" max="12818" width="0" style="185" hidden="1" customWidth="1"/>
    <col min="12819" max="12819" width="8" style="185" bestFit="1" customWidth="1"/>
    <col min="12820" max="12820" width="0" style="185" hidden="1" customWidth="1"/>
    <col min="12821" max="12821" width="8" style="185" customWidth="1"/>
    <col min="12822" max="12822" width="0" style="185" hidden="1" customWidth="1"/>
    <col min="12823" max="12825" width="8" style="185" bestFit="1" customWidth="1"/>
    <col min="12826" max="12826" width="17.42578125" style="185" bestFit="1" customWidth="1"/>
    <col min="12827" max="13054" width="11.42578125" style="185"/>
    <col min="13055" max="13055" width="59.5703125" style="185" customWidth="1"/>
    <col min="13056" max="13064" width="0" style="185" hidden="1" customWidth="1"/>
    <col min="13065" max="13065" width="6.5703125" style="185" customWidth="1"/>
    <col min="13066" max="13066" width="6.85546875" style="185" bestFit="1" customWidth="1"/>
    <col min="13067" max="13068" width="7.7109375" style="185" bestFit="1" customWidth="1"/>
    <col min="13069" max="13069" width="0" style="185" hidden="1" customWidth="1"/>
    <col min="13070" max="13070" width="9" style="185" customWidth="1"/>
    <col min="13071" max="13071" width="8" style="185" bestFit="1" customWidth="1"/>
    <col min="13072" max="13072" width="0" style="185" hidden="1" customWidth="1"/>
    <col min="13073" max="13073" width="8" style="185" customWidth="1"/>
    <col min="13074" max="13074" width="0" style="185" hidden="1" customWidth="1"/>
    <col min="13075" max="13075" width="8" style="185" bestFit="1" customWidth="1"/>
    <col min="13076" max="13076" width="0" style="185" hidden="1" customWidth="1"/>
    <col min="13077" max="13077" width="8" style="185" customWidth="1"/>
    <col min="13078" max="13078" width="0" style="185" hidden="1" customWidth="1"/>
    <col min="13079" max="13081" width="8" style="185" bestFit="1" customWidth="1"/>
    <col min="13082" max="13082" width="17.42578125" style="185" bestFit="1" customWidth="1"/>
    <col min="13083" max="13310" width="11.42578125" style="185"/>
    <col min="13311" max="13311" width="59.5703125" style="185" customWidth="1"/>
    <col min="13312" max="13320" width="0" style="185" hidden="1" customWidth="1"/>
    <col min="13321" max="13321" width="6.5703125" style="185" customWidth="1"/>
    <col min="13322" max="13322" width="6.85546875" style="185" bestFit="1" customWidth="1"/>
    <col min="13323" max="13324" width="7.7109375" style="185" bestFit="1" customWidth="1"/>
    <col min="13325" max="13325" width="0" style="185" hidden="1" customWidth="1"/>
    <col min="13326" max="13326" width="9" style="185" customWidth="1"/>
    <col min="13327" max="13327" width="8" style="185" bestFit="1" customWidth="1"/>
    <col min="13328" max="13328" width="0" style="185" hidden="1" customWidth="1"/>
    <col min="13329" max="13329" width="8" style="185" customWidth="1"/>
    <col min="13330" max="13330" width="0" style="185" hidden="1" customWidth="1"/>
    <col min="13331" max="13331" width="8" style="185" bestFit="1" customWidth="1"/>
    <col min="13332" max="13332" width="0" style="185" hidden="1" customWidth="1"/>
    <col min="13333" max="13333" width="8" style="185" customWidth="1"/>
    <col min="13334" max="13334" width="0" style="185" hidden="1" customWidth="1"/>
    <col min="13335" max="13337" width="8" style="185" bestFit="1" customWidth="1"/>
    <col min="13338" max="13338" width="17.42578125" style="185" bestFit="1" customWidth="1"/>
    <col min="13339" max="13566" width="11.42578125" style="185"/>
    <col min="13567" max="13567" width="59.5703125" style="185" customWidth="1"/>
    <col min="13568" max="13576" width="0" style="185" hidden="1" customWidth="1"/>
    <col min="13577" max="13577" width="6.5703125" style="185" customWidth="1"/>
    <col min="13578" max="13578" width="6.85546875" style="185" bestFit="1" customWidth="1"/>
    <col min="13579" max="13580" width="7.7109375" style="185" bestFit="1" customWidth="1"/>
    <col min="13581" max="13581" width="0" style="185" hidden="1" customWidth="1"/>
    <col min="13582" max="13582" width="9" style="185" customWidth="1"/>
    <col min="13583" max="13583" width="8" style="185" bestFit="1" customWidth="1"/>
    <col min="13584" max="13584" width="0" style="185" hidden="1" customWidth="1"/>
    <col min="13585" max="13585" width="8" style="185" customWidth="1"/>
    <col min="13586" max="13586" width="0" style="185" hidden="1" customWidth="1"/>
    <col min="13587" max="13587" width="8" style="185" bestFit="1" customWidth="1"/>
    <col min="13588" max="13588" width="0" style="185" hidden="1" customWidth="1"/>
    <col min="13589" max="13589" width="8" style="185" customWidth="1"/>
    <col min="13590" max="13590" width="0" style="185" hidden="1" customWidth="1"/>
    <col min="13591" max="13593" width="8" style="185" bestFit="1" customWidth="1"/>
    <col min="13594" max="13594" width="17.42578125" style="185" bestFit="1" customWidth="1"/>
    <col min="13595" max="13822" width="11.42578125" style="185"/>
    <col min="13823" max="13823" width="59.5703125" style="185" customWidth="1"/>
    <col min="13824" max="13832" width="0" style="185" hidden="1" customWidth="1"/>
    <col min="13833" max="13833" width="6.5703125" style="185" customWidth="1"/>
    <col min="13834" max="13834" width="6.85546875" style="185" bestFit="1" customWidth="1"/>
    <col min="13835" max="13836" width="7.7109375" style="185" bestFit="1" customWidth="1"/>
    <col min="13837" max="13837" width="0" style="185" hidden="1" customWidth="1"/>
    <col min="13838" max="13838" width="9" style="185" customWidth="1"/>
    <col min="13839" max="13839" width="8" style="185" bestFit="1" customWidth="1"/>
    <col min="13840" max="13840" width="0" style="185" hidden="1" customWidth="1"/>
    <col min="13841" max="13841" width="8" style="185" customWidth="1"/>
    <col min="13842" max="13842" width="0" style="185" hidden="1" customWidth="1"/>
    <col min="13843" max="13843" width="8" style="185" bestFit="1" customWidth="1"/>
    <col min="13844" max="13844" width="0" style="185" hidden="1" customWidth="1"/>
    <col min="13845" max="13845" width="8" style="185" customWidth="1"/>
    <col min="13846" max="13846" width="0" style="185" hidden="1" customWidth="1"/>
    <col min="13847" max="13849" width="8" style="185" bestFit="1" customWidth="1"/>
    <col min="13850" max="13850" width="17.42578125" style="185" bestFit="1" customWidth="1"/>
    <col min="13851" max="14078" width="11.42578125" style="185"/>
    <col min="14079" max="14079" width="59.5703125" style="185" customWidth="1"/>
    <col min="14080" max="14088" width="0" style="185" hidden="1" customWidth="1"/>
    <col min="14089" max="14089" width="6.5703125" style="185" customWidth="1"/>
    <col min="14090" max="14090" width="6.85546875" style="185" bestFit="1" customWidth="1"/>
    <col min="14091" max="14092" width="7.7109375" style="185" bestFit="1" customWidth="1"/>
    <col min="14093" max="14093" width="0" style="185" hidden="1" customWidth="1"/>
    <col min="14094" max="14094" width="9" style="185" customWidth="1"/>
    <col min="14095" max="14095" width="8" style="185" bestFit="1" customWidth="1"/>
    <col min="14096" max="14096" width="0" style="185" hidden="1" customWidth="1"/>
    <col min="14097" max="14097" width="8" style="185" customWidth="1"/>
    <col min="14098" max="14098" width="0" style="185" hidden="1" customWidth="1"/>
    <col min="14099" max="14099" width="8" style="185" bestFit="1" customWidth="1"/>
    <col min="14100" max="14100" width="0" style="185" hidden="1" customWidth="1"/>
    <col min="14101" max="14101" width="8" style="185" customWidth="1"/>
    <col min="14102" max="14102" width="0" style="185" hidden="1" customWidth="1"/>
    <col min="14103" max="14105" width="8" style="185" bestFit="1" customWidth="1"/>
    <col min="14106" max="14106" width="17.42578125" style="185" bestFit="1" customWidth="1"/>
    <col min="14107" max="14334" width="11.42578125" style="185"/>
    <col min="14335" max="14335" width="59.5703125" style="185" customWidth="1"/>
    <col min="14336" max="14344" width="0" style="185" hidden="1" customWidth="1"/>
    <col min="14345" max="14345" width="6.5703125" style="185" customWidth="1"/>
    <col min="14346" max="14346" width="6.85546875" style="185" bestFit="1" customWidth="1"/>
    <col min="14347" max="14348" width="7.7109375" style="185" bestFit="1" customWidth="1"/>
    <col min="14349" max="14349" width="0" style="185" hidden="1" customWidth="1"/>
    <col min="14350" max="14350" width="9" style="185" customWidth="1"/>
    <col min="14351" max="14351" width="8" style="185" bestFit="1" customWidth="1"/>
    <col min="14352" max="14352" width="0" style="185" hidden="1" customWidth="1"/>
    <col min="14353" max="14353" width="8" style="185" customWidth="1"/>
    <col min="14354" max="14354" width="0" style="185" hidden="1" customWidth="1"/>
    <col min="14355" max="14355" width="8" style="185" bestFit="1" customWidth="1"/>
    <col min="14356" max="14356" width="0" style="185" hidden="1" customWidth="1"/>
    <col min="14357" max="14357" width="8" style="185" customWidth="1"/>
    <col min="14358" max="14358" width="0" style="185" hidden="1" customWidth="1"/>
    <col min="14359" max="14361" width="8" style="185" bestFit="1" customWidth="1"/>
    <col min="14362" max="14362" width="17.42578125" style="185" bestFit="1" customWidth="1"/>
    <col min="14363" max="14590" width="11.42578125" style="185"/>
    <col min="14591" max="14591" width="59.5703125" style="185" customWidth="1"/>
    <col min="14592" max="14600" width="0" style="185" hidden="1" customWidth="1"/>
    <col min="14601" max="14601" width="6.5703125" style="185" customWidth="1"/>
    <col min="14602" max="14602" width="6.85546875" style="185" bestFit="1" customWidth="1"/>
    <col min="14603" max="14604" width="7.7109375" style="185" bestFit="1" customWidth="1"/>
    <col min="14605" max="14605" width="0" style="185" hidden="1" customWidth="1"/>
    <col min="14606" max="14606" width="9" style="185" customWidth="1"/>
    <col min="14607" max="14607" width="8" style="185" bestFit="1" customWidth="1"/>
    <col min="14608" max="14608" width="0" style="185" hidden="1" customWidth="1"/>
    <col min="14609" max="14609" width="8" style="185" customWidth="1"/>
    <col min="14610" max="14610" width="0" style="185" hidden="1" customWidth="1"/>
    <col min="14611" max="14611" width="8" style="185" bestFit="1" customWidth="1"/>
    <col min="14612" max="14612" width="0" style="185" hidden="1" customWidth="1"/>
    <col min="14613" max="14613" width="8" style="185" customWidth="1"/>
    <col min="14614" max="14614" width="0" style="185" hidden="1" customWidth="1"/>
    <col min="14615" max="14617" width="8" style="185" bestFit="1" customWidth="1"/>
    <col min="14618" max="14618" width="17.42578125" style="185" bestFit="1" customWidth="1"/>
    <col min="14619" max="14846" width="11.42578125" style="185"/>
    <col min="14847" max="14847" width="59.5703125" style="185" customWidth="1"/>
    <col min="14848" max="14856" width="0" style="185" hidden="1" customWidth="1"/>
    <col min="14857" max="14857" width="6.5703125" style="185" customWidth="1"/>
    <col min="14858" max="14858" width="6.85546875" style="185" bestFit="1" customWidth="1"/>
    <col min="14859" max="14860" width="7.7109375" style="185" bestFit="1" customWidth="1"/>
    <col min="14861" max="14861" width="0" style="185" hidden="1" customWidth="1"/>
    <col min="14862" max="14862" width="9" style="185" customWidth="1"/>
    <col min="14863" max="14863" width="8" style="185" bestFit="1" customWidth="1"/>
    <col min="14864" max="14864" width="0" style="185" hidden="1" customWidth="1"/>
    <col min="14865" max="14865" width="8" style="185" customWidth="1"/>
    <col min="14866" max="14866" width="0" style="185" hidden="1" customWidth="1"/>
    <col min="14867" max="14867" width="8" style="185" bestFit="1" customWidth="1"/>
    <col min="14868" max="14868" width="0" style="185" hidden="1" customWidth="1"/>
    <col min="14869" max="14869" width="8" style="185" customWidth="1"/>
    <col min="14870" max="14870" width="0" style="185" hidden="1" customWidth="1"/>
    <col min="14871" max="14873" width="8" style="185" bestFit="1" customWidth="1"/>
    <col min="14874" max="14874" width="17.42578125" style="185" bestFit="1" customWidth="1"/>
    <col min="14875" max="15102" width="11.42578125" style="185"/>
    <col min="15103" max="15103" width="59.5703125" style="185" customWidth="1"/>
    <col min="15104" max="15112" width="0" style="185" hidden="1" customWidth="1"/>
    <col min="15113" max="15113" width="6.5703125" style="185" customWidth="1"/>
    <col min="15114" max="15114" width="6.85546875" style="185" bestFit="1" customWidth="1"/>
    <col min="15115" max="15116" width="7.7109375" style="185" bestFit="1" customWidth="1"/>
    <col min="15117" max="15117" width="0" style="185" hidden="1" customWidth="1"/>
    <col min="15118" max="15118" width="9" style="185" customWidth="1"/>
    <col min="15119" max="15119" width="8" style="185" bestFit="1" customWidth="1"/>
    <col min="15120" max="15120" width="0" style="185" hidden="1" customWidth="1"/>
    <col min="15121" max="15121" width="8" style="185" customWidth="1"/>
    <col min="15122" max="15122" width="0" style="185" hidden="1" customWidth="1"/>
    <col min="15123" max="15123" width="8" style="185" bestFit="1" customWidth="1"/>
    <col min="15124" max="15124" width="0" style="185" hidden="1" customWidth="1"/>
    <col min="15125" max="15125" width="8" style="185" customWidth="1"/>
    <col min="15126" max="15126" width="0" style="185" hidden="1" customWidth="1"/>
    <col min="15127" max="15129" width="8" style="185" bestFit="1" customWidth="1"/>
    <col min="15130" max="15130" width="17.42578125" style="185" bestFit="1" customWidth="1"/>
    <col min="15131" max="15358" width="11.42578125" style="185"/>
    <col min="15359" max="15359" width="59.5703125" style="185" customWidth="1"/>
    <col min="15360" max="15368" width="0" style="185" hidden="1" customWidth="1"/>
    <col min="15369" max="15369" width="6.5703125" style="185" customWidth="1"/>
    <col min="15370" max="15370" width="6.85546875" style="185" bestFit="1" customWidth="1"/>
    <col min="15371" max="15372" width="7.7109375" style="185" bestFit="1" customWidth="1"/>
    <col min="15373" max="15373" width="0" style="185" hidden="1" customWidth="1"/>
    <col min="15374" max="15374" width="9" style="185" customWidth="1"/>
    <col min="15375" max="15375" width="8" style="185" bestFit="1" customWidth="1"/>
    <col min="15376" max="15376" width="0" style="185" hidden="1" customWidth="1"/>
    <col min="15377" max="15377" width="8" style="185" customWidth="1"/>
    <col min="15378" max="15378" width="0" style="185" hidden="1" customWidth="1"/>
    <col min="15379" max="15379" width="8" style="185" bestFit="1" customWidth="1"/>
    <col min="15380" max="15380" width="0" style="185" hidden="1" customWidth="1"/>
    <col min="15381" max="15381" width="8" style="185" customWidth="1"/>
    <col min="15382" max="15382" width="0" style="185" hidden="1" customWidth="1"/>
    <col min="15383" max="15385" width="8" style="185" bestFit="1" customWidth="1"/>
    <col min="15386" max="15386" width="17.42578125" style="185" bestFit="1" customWidth="1"/>
    <col min="15387" max="15614" width="11.42578125" style="185"/>
    <col min="15615" max="15615" width="59.5703125" style="185" customWidth="1"/>
    <col min="15616" max="15624" width="0" style="185" hidden="1" customWidth="1"/>
    <col min="15625" max="15625" width="6.5703125" style="185" customWidth="1"/>
    <col min="15626" max="15626" width="6.85546875" style="185" bestFit="1" customWidth="1"/>
    <col min="15627" max="15628" width="7.7109375" style="185" bestFit="1" customWidth="1"/>
    <col min="15629" max="15629" width="0" style="185" hidden="1" customWidth="1"/>
    <col min="15630" max="15630" width="9" style="185" customWidth="1"/>
    <col min="15631" max="15631" width="8" style="185" bestFit="1" customWidth="1"/>
    <col min="15632" max="15632" width="0" style="185" hidden="1" customWidth="1"/>
    <col min="15633" max="15633" width="8" style="185" customWidth="1"/>
    <col min="15634" max="15634" width="0" style="185" hidden="1" customWidth="1"/>
    <col min="15635" max="15635" width="8" style="185" bestFit="1" customWidth="1"/>
    <col min="15636" max="15636" width="0" style="185" hidden="1" customWidth="1"/>
    <col min="15637" max="15637" width="8" style="185" customWidth="1"/>
    <col min="15638" max="15638" width="0" style="185" hidden="1" customWidth="1"/>
    <col min="15639" max="15641" width="8" style="185" bestFit="1" customWidth="1"/>
    <col min="15642" max="15642" width="17.42578125" style="185" bestFit="1" customWidth="1"/>
    <col min="15643" max="15870" width="11.42578125" style="185"/>
    <col min="15871" max="15871" width="59.5703125" style="185" customWidth="1"/>
    <col min="15872" max="15880" width="0" style="185" hidden="1" customWidth="1"/>
    <col min="15881" max="15881" width="6.5703125" style="185" customWidth="1"/>
    <col min="15882" max="15882" width="6.85546875" style="185" bestFit="1" customWidth="1"/>
    <col min="15883" max="15884" width="7.7109375" style="185" bestFit="1" customWidth="1"/>
    <col min="15885" max="15885" width="0" style="185" hidden="1" customWidth="1"/>
    <col min="15886" max="15886" width="9" style="185" customWidth="1"/>
    <col min="15887" max="15887" width="8" style="185" bestFit="1" customWidth="1"/>
    <col min="15888" max="15888" width="0" style="185" hidden="1" customWidth="1"/>
    <col min="15889" max="15889" width="8" style="185" customWidth="1"/>
    <col min="15890" max="15890" width="0" style="185" hidden="1" customWidth="1"/>
    <col min="15891" max="15891" width="8" style="185" bestFit="1" customWidth="1"/>
    <col min="15892" max="15892" width="0" style="185" hidden="1" customWidth="1"/>
    <col min="15893" max="15893" width="8" style="185" customWidth="1"/>
    <col min="15894" max="15894" width="0" style="185" hidden="1" customWidth="1"/>
    <col min="15895" max="15897" width="8" style="185" bestFit="1" customWidth="1"/>
    <col min="15898" max="15898" width="17.42578125" style="185" bestFit="1" customWidth="1"/>
    <col min="15899" max="16126" width="11.42578125" style="185"/>
    <col min="16127" max="16127" width="59.5703125" style="185" customWidth="1"/>
    <col min="16128" max="16136" width="0" style="185" hidden="1" customWidth="1"/>
    <col min="16137" max="16137" width="6.5703125" style="185" customWidth="1"/>
    <col min="16138" max="16138" width="6.85546875" style="185" bestFit="1" customWidth="1"/>
    <col min="16139" max="16140" width="7.7109375" style="185" bestFit="1" customWidth="1"/>
    <col min="16141" max="16141" width="0" style="185" hidden="1" customWidth="1"/>
    <col min="16142" max="16142" width="9" style="185" customWidth="1"/>
    <col min="16143" max="16143" width="8" style="185" bestFit="1" customWidth="1"/>
    <col min="16144" max="16144" width="0" style="185" hidden="1" customWidth="1"/>
    <col min="16145" max="16145" width="8" style="185" customWidth="1"/>
    <col min="16146" max="16146" width="0" style="185" hidden="1" customWidth="1"/>
    <col min="16147" max="16147" width="8" style="185" bestFit="1" customWidth="1"/>
    <col min="16148" max="16148" width="0" style="185" hidden="1" customWidth="1"/>
    <col min="16149" max="16149" width="8" style="185" customWidth="1"/>
    <col min="16150" max="16150" width="0" style="185" hidden="1" customWidth="1"/>
    <col min="16151" max="16153" width="8" style="185" bestFit="1" customWidth="1"/>
    <col min="16154" max="16154" width="17.42578125" style="185" bestFit="1" customWidth="1"/>
    <col min="16155" max="16384" width="11.42578125" style="185"/>
  </cols>
  <sheetData>
    <row r="1" spans="1:29" ht="15" hidden="1" outlineLevel="1">
      <c r="A1" s="116" t="s">
        <v>600</v>
      </c>
    </row>
    <row r="2" spans="1:29" hidden="1" outlineLevel="1"/>
    <row r="3" spans="1:29" hidden="1" outlineLevel="1"/>
    <row r="4" spans="1:29" s="131" customFormat="1" ht="15" collapsed="1">
      <c r="A4" s="180" t="s">
        <v>743</v>
      </c>
      <c r="B4" s="188"/>
      <c r="C4" s="188"/>
    </row>
    <row r="5" spans="1:29" s="131" customFormat="1" ht="15">
      <c r="A5" s="160" t="s">
        <v>35</v>
      </c>
      <c r="B5" s="135"/>
      <c r="C5" s="135"/>
    </row>
    <row r="6" spans="1:29" s="131" customFormat="1" ht="11.25" customHeight="1">
      <c r="B6" s="135"/>
      <c r="C6" s="135"/>
    </row>
    <row r="7" spans="1:29"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t="s">
        <v>611</v>
      </c>
      <c r="AB7" s="192">
        <v>2012</v>
      </c>
      <c r="AC7" s="192" t="s">
        <v>610</v>
      </c>
    </row>
    <row r="8" spans="1:29"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t="s">
        <v>37</v>
      </c>
      <c r="AA8" s="195"/>
      <c r="AB8" s="195" t="s">
        <v>37</v>
      </c>
      <c r="AC8" s="195"/>
    </row>
    <row r="9" spans="1:29" s="160" customFormat="1" ht="22.5" customHeight="1">
      <c r="A9" s="198" t="s">
        <v>205</v>
      </c>
      <c r="B9" s="198"/>
      <c r="C9" s="198"/>
      <c r="D9" s="199"/>
      <c r="E9" s="199"/>
      <c r="F9" s="199"/>
      <c r="G9" s="199"/>
      <c r="H9" s="199"/>
    </row>
    <row r="10" spans="1:29"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v>6286.7479519999997</v>
      </c>
      <c r="R10" s="181">
        <v>6514.9589999999998</v>
      </c>
      <c r="S10" s="181">
        <v>6533.2980509999998</v>
      </c>
      <c r="T10" s="181">
        <v>6604.3779999999997</v>
      </c>
      <c r="U10" s="181">
        <v>6877.326</v>
      </c>
      <c r="V10" s="181">
        <v>7253.0659999999998</v>
      </c>
      <c r="W10" s="181">
        <v>7199.3770000000004</v>
      </c>
      <c r="X10" s="181">
        <v>7323.5050000000001</v>
      </c>
      <c r="Y10" s="181">
        <v>7188.1130000000003</v>
      </c>
      <c r="Z10" s="181">
        <v>7365.8559999999998</v>
      </c>
      <c r="AA10" s="181">
        <v>7503.9570000000003</v>
      </c>
      <c r="AB10" s="181">
        <v>7988.1139999999996</v>
      </c>
      <c r="AC10" s="181">
        <v>8029.7539999999999</v>
      </c>
    </row>
    <row r="11" spans="1:29" s="160" customFormat="1" ht="14.25">
      <c r="A11" s="160" t="s">
        <v>208</v>
      </c>
      <c r="D11" s="159"/>
      <c r="E11" s="159"/>
      <c r="F11" s="159"/>
      <c r="G11" s="159"/>
      <c r="H11" s="159"/>
      <c r="I11" s="159"/>
      <c r="J11" s="159"/>
      <c r="K11" s="159"/>
      <c r="L11" s="159"/>
      <c r="M11" s="159"/>
      <c r="N11" s="159"/>
    </row>
    <row r="12" spans="1:29"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v>2844.9720000000002</v>
      </c>
      <c r="R12" s="159">
        <v>2969.14</v>
      </c>
      <c r="S12" s="159">
        <v>2943.6979999999999</v>
      </c>
      <c r="T12" s="159">
        <v>3030.9830000000002</v>
      </c>
      <c r="U12" s="159">
        <v>3059.422</v>
      </c>
      <c r="V12" s="159">
        <v>3294.7080000000001</v>
      </c>
      <c r="W12" s="159">
        <v>3222.0210000000002</v>
      </c>
      <c r="X12" s="159">
        <v>3297.239</v>
      </c>
      <c r="Y12" s="159">
        <v>3218.1030000000001</v>
      </c>
      <c r="Z12" s="159">
        <v>3212.71</v>
      </c>
      <c r="AA12" s="159">
        <v>3290.1880000000001</v>
      </c>
      <c r="AB12" s="159">
        <v>3445.8380000000002</v>
      </c>
      <c r="AC12" s="159">
        <v>3523.3049999999998</v>
      </c>
    </row>
    <row r="13" spans="1:29"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v>1152.3430000000001</v>
      </c>
      <c r="R13" s="159">
        <v>1197.519</v>
      </c>
      <c r="S13" s="159">
        <v>1204.4110000000001</v>
      </c>
      <c r="T13" s="159">
        <v>1218.96</v>
      </c>
      <c r="U13" s="159">
        <v>1276.2719999999999</v>
      </c>
      <c r="V13" s="159">
        <v>1355.162</v>
      </c>
      <c r="W13" s="159">
        <v>1345.915</v>
      </c>
      <c r="X13" s="159">
        <v>1377.5909999999999</v>
      </c>
      <c r="Y13" s="159">
        <v>1377.175</v>
      </c>
      <c r="Z13" s="159">
        <v>1406.2840000000001</v>
      </c>
      <c r="AA13" s="159">
        <v>1403.6469999999999</v>
      </c>
      <c r="AB13" s="159">
        <v>1498.8109999999999</v>
      </c>
      <c r="AC13" s="159">
        <v>1491.893</v>
      </c>
    </row>
    <row r="14" spans="1:29"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v>481.59</v>
      </c>
      <c r="R14" s="159">
        <f>489.778+5.398</f>
        <v>495.17600000000004</v>
      </c>
      <c r="S14" s="159">
        <v>498.1</v>
      </c>
      <c r="T14" s="159">
        <f>491.744+5.398</f>
        <v>497.14200000000005</v>
      </c>
      <c r="U14" s="159">
        <f>517.729+8.591</f>
        <v>526.32000000000005</v>
      </c>
      <c r="V14" s="159">
        <f>547.06+8.198</f>
        <v>555.25799999999992</v>
      </c>
      <c r="W14" s="159">
        <f>541.231+8.708</f>
        <v>549.93899999999996</v>
      </c>
      <c r="X14" s="159">
        <f>550.345+8.198</f>
        <v>558.54300000000001</v>
      </c>
      <c r="Y14" s="159">
        <f>546.707+8.622</f>
        <v>555.32899999999995</v>
      </c>
      <c r="Z14" s="159">
        <f>536.714+8.198</f>
        <v>544.91200000000003</v>
      </c>
      <c r="AA14" s="159">
        <v>566.46</v>
      </c>
      <c r="AB14" s="159">
        <v>583.83600000000001</v>
      </c>
      <c r="AC14" s="159">
        <v>586.69199999999989</v>
      </c>
    </row>
    <row r="15" spans="1:29"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v>339.43200000000002</v>
      </c>
      <c r="R15" s="159">
        <f>348.871+0.759</f>
        <v>349.63</v>
      </c>
      <c r="S15" s="159">
        <v>350.35399999999998</v>
      </c>
      <c r="T15" s="159">
        <f>349.617+0.759</f>
        <v>350.37600000000003</v>
      </c>
      <c r="U15" s="159">
        <f>365.919+1.634</f>
        <v>367.553</v>
      </c>
      <c r="V15" s="159">
        <f>387.212+0.759</f>
        <v>387.971</v>
      </c>
      <c r="W15" s="159">
        <f>383.988+1.687</f>
        <v>385.67500000000001</v>
      </c>
      <c r="X15" s="159">
        <f>387.424+0.759</f>
        <v>388.18299999999999</v>
      </c>
      <c r="Y15" s="159">
        <f>387.058+1.337</f>
        <v>388.39499999999998</v>
      </c>
      <c r="Z15" s="159">
        <f>379.367+0.759</f>
        <v>380.12600000000003</v>
      </c>
      <c r="AA15" s="159">
        <v>392.30500000000001</v>
      </c>
      <c r="AB15" s="159">
        <v>413.68600000000004</v>
      </c>
      <c r="AC15" s="159">
        <v>404.05599999999998</v>
      </c>
    </row>
    <row r="16" spans="1:29"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v>364.43700000000001</v>
      </c>
      <c r="R16" s="159">
        <f>374.706+5.273</f>
        <v>379.97900000000004</v>
      </c>
      <c r="S16" s="159">
        <v>384.34</v>
      </c>
      <c r="T16" s="159">
        <f>379.325+5.273</f>
        <v>384.59800000000001</v>
      </c>
      <c r="U16" s="159">
        <f>399.616+8.213</f>
        <v>407.82900000000001</v>
      </c>
      <c r="V16" s="159">
        <f>420.398+7.473</f>
        <v>427.87100000000004</v>
      </c>
      <c r="W16" s="159">
        <f>422.068+8.49</f>
        <v>430.55799999999999</v>
      </c>
      <c r="X16" s="159">
        <f>424.855+7.473</f>
        <v>432.32800000000003</v>
      </c>
      <c r="Y16" s="159">
        <f>430.694+8.972</f>
        <v>439.666</v>
      </c>
      <c r="Z16" s="159">
        <f>416.418+7.473</f>
        <v>423.89100000000002</v>
      </c>
      <c r="AA16" s="159">
        <v>451.06299999999999</v>
      </c>
      <c r="AB16" s="159">
        <v>466.084</v>
      </c>
      <c r="AC16" s="159">
        <v>465.91300000000001</v>
      </c>
    </row>
    <row r="17" spans="1:29"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v>118.842</v>
      </c>
      <c r="R17" s="159">
        <v>122.919</v>
      </c>
      <c r="S17" s="159">
        <v>127.82</v>
      </c>
      <c r="T17" s="159">
        <v>123.039</v>
      </c>
      <c r="U17" s="159">
        <v>133.99199999999999</v>
      </c>
      <c r="V17" s="159">
        <v>148.215</v>
      </c>
      <c r="W17" s="159">
        <v>147.148</v>
      </c>
      <c r="X17" s="159">
        <v>148.334</v>
      </c>
      <c r="Y17" s="159">
        <v>150.24700000000001</v>
      </c>
      <c r="Z17" s="159">
        <v>155.148</v>
      </c>
      <c r="AA17" s="159">
        <v>150.935</v>
      </c>
      <c r="AB17" s="159">
        <v>158.20099999999999</v>
      </c>
      <c r="AC17" s="159">
        <v>158.33500000000001</v>
      </c>
    </row>
    <row r="18" spans="1:29"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v>97.986999999999995</v>
      </c>
      <c r="R18" s="159">
        <v>98.227999999999994</v>
      </c>
      <c r="S18" s="159">
        <v>107.123</v>
      </c>
      <c r="T18" s="159">
        <v>99.513000000000005</v>
      </c>
      <c r="U18" s="159">
        <v>114.732</v>
      </c>
      <c r="V18" s="159">
        <v>106.824</v>
      </c>
      <c r="W18" s="159">
        <v>117.645</v>
      </c>
      <c r="X18" s="159">
        <v>107.88</v>
      </c>
      <c r="Y18" s="159">
        <v>122.26</v>
      </c>
      <c r="Z18" s="159">
        <v>110.098</v>
      </c>
      <c r="AA18" s="159">
        <v>124.801</v>
      </c>
      <c r="AB18" s="159">
        <v>131.59700000000001</v>
      </c>
      <c r="AC18" s="159">
        <v>128.423</v>
      </c>
    </row>
    <row r="19" spans="1:29"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v>203.012</v>
      </c>
      <c r="R19" s="228">
        <v>206.77600000000001</v>
      </c>
      <c r="S19" s="228">
        <v>203.12</v>
      </c>
      <c r="T19" s="228">
        <v>206.22800000000001</v>
      </c>
      <c r="U19" s="228">
        <v>220.81399999999999</v>
      </c>
      <c r="V19" s="228">
        <v>231.65700000000001</v>
      </c>
      <c r="W19" s="228">
        <v>225.72200000000001</v>
      </c>
      <c r="X19" s="228">
        <v>237.898</v>
      </c>
      <c r="Y19" s="228">
        <v>238.637</v>
      </c>
      <c r="Z19" s="228">
        <v>233.86600000000001</v>
      </c>
      <c r="AA19" s="228">
        <v>253.102</v>
      </c>
      <c r="AB19" s="228">
        <v>270.11500000000001</v>
      </c>
      <c r="AC19" s="228">
        <v>284.01100000000002</v>
      </c>
    </row>
    <row r="20" spans="1:29" s="160" customFormat="1" ht="8.25" customHeight="1">
      <c r="D20" s="159"/>
      <c r="E20" s="159"/>
      <c r="F20" s="159"/>
      <c r="G20" s="159"/>
      <c r="H20" s="159"/>
      <c r="I20" s="159"/>
      <c r="J20" s="159"/>
      <c r="K20" s="159"/>
      <c r="L20" s="159"/>
      <c r="M20" s="159"/>
      <c r="N20" s="159"/>
    </row>
    <row r="21" spans="1:29"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v>3667.8196870000002</v>
      </c>
      <c r="R21" s="181">
        <v>3965.48</v>
      </c>
      <c r="S21" s="181">
        <v>3899.3919999999998</v>
      </c>
      <c r="T21" s="181">
        <v>4039.0790000000002</v>
      </c>
      <c r="U21" s="181">
        <v>4129.1899999999996</v>
      </c>
      <c r="V21" s="181">
        <v>3825.2289999999998</v>
      </c>
      <c r="W21" s="181">
        <v>3793.1930000000002</v>
      </c>
      <c r="X21" s="181">
        <v>4184.76</v>
      </c>
      <c r="Y21" s="181">
        <v>4011.0390000000002</v>
      </c>
      <c r="Z21" s="181">
        <v>4233.4560000000001</v>
      </c>
      <c r="AA21" s="181">
        <v>4073.9830000000002</v>
      </c>
      <c r="AB21" s="181">
        <v>4318.9970000000003</v>
      </c>
      <c r="AC21" s="181">
        <v>4213.9179999999997</v>
      </c>
    </row>
    <row r="22" spans="1:29" s="160" customFormat="1" ht="14.25">
      <c r="A22" s="160" t="s">
        <v>208</v>
      </c>
      <c r="D22" s="159"/>
      <c r="E22" s="159"/>
      <c r="F22" s="159"/>
      <c r="G22" s="159"/>
      <c r="H22" s="159"/>
      <c r="I22" s="159"/>
      <c r="J22" s="159"/>
      <c r="K22" s="159"/>
      <c r="L22" s="159"/>
      <c r="M22" s="159"/>
      <c r="N22" s="159"/>
    </row>
    <row r="23" spans="1:29"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v>2091.0329999999999</v>
      </c>
      <c r="R23" s="159">
        <f>2219.048+43.755</f>
        <v>2262.8029999999999</v>
      </c>
      <c r="S23" s="159">
        <v>2272.1439999999998</v>
      </c>
      <c r="T23" s="159">
        <f>2244.448+43.709</f>
        <v>2288.1569999999997</v>
      </c>
      <c r="U23" s="159">
        <v>2336.2089999999998</v>
      </c>
      <c r="V23" s="159">
        <v>2612.7049999999999</v>
      </c>
      <c r="W23" s="159">
        <f>46.156+2537.544</f>
        <v>2583.6999999999998</v>
      </c>
      <c r="X23" s="159">
        <f>49.923+2756.088</f>
        <v>2806.0110000000004</v>
      </c>
      <c r="Y23" s="159">
        <f>47.723+2702.128</f>
        <v>2749.8510000000001</v>
      </c>
      <c r="Z23" s="159">
        <f>50.585+2835.888</f>
        <v>2886.473</v>
      </c>
      <c r="AA23" s="159">
        <v>2774.83</v>
      </c>
      <c r="AB23" s="159">
        <v>2901.7829999999999</v>
      </c>
      <c r="AC23" s="159">
        <v>2860.6459999999997</v>
      </c>
    </row>
    <row r="24" spans="1:29"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v>618.875</v>
      </c>
      <c r="R24" s="159">
        <v>609.34100000000001</v>
      </c>
      <c r="S24" s="159">
        <v>613.31100000000004</v>
      </c>
      <c r="T24" s="159">
        <v>591.34100000000001</v>
      </c>
      <c r="U24" s="159">
        <v>599.08799999999997</v>
      </c>
      <c r="V24" s="159">
        <v>1E-3</v>
      </c>
      <c r="W24" s="159">
        <v>-12.853999999999999</v>
      </c>
      <c r="X24" s="159">
        <v>1E-3</v>
      </c>
      <c r="Y24" s="159">
        <v>0.50700000000000001</v>
      </c>
      <c r="Z24" s="159">
        <v>1E-3</v>
      </c>
      <c r="AA24" s="159">
        <v>1.855</v>
      </c>
      <c r="AB24" s="159">
        <v>37.542999999999999</v>
      </c>
      <c r="AC24" s="159">
        <v>31.605</v>
      </c>
    </row>
    <row r="25" spans="1:29"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v>230.81100000000001</v>
      </c>
      <c r="R25" s="159">
        <v>235.80500000000001</v>
      </c>
      <c r="S25" s="159">
        <v>239.517</v>
      </c>
      <c r="T25" s="159">
        <v>239.77500000000001</v>
      </c>
      <c r="U25" s="159">
        <v>254.40299999999999</v>
      </c>
      <c r="V25" s="159">
        <v>247.721</v>
      </c>
      <c r="W25" s="159">
        <v>239.23699999999999</v>
      </c>
      <c r="X25" s="159">
        <v>251.94800000000001</v>
      </c>
      <c r="Y25" s="159">
        <v>230.95099999999999</v>
      </c>
      <c r="Z25" s="159">
        <v>255.09299999999999</v>
      </c>
      <c r="AA25" s="159">
        <v>233.755</v>
      </c>
      <c r="AB25" s="159">
        <v>248.43100000000001</v>
      </c>
      <c r="AC25" s="159">
        <v>233.28700000000001</v>
      </c>
    </row>
    <row r="26" spans="1:29"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v>162.15299999999999</v>
      </c>
      <c r="R26" s="159">
        <v>163.58099999999999</v>
      </c>
      <c r="S26" s="159">
        <v>169.73599999999999</v>
      </c>
      <c r="T26" s="159">
        <v>169.935</v>
      </c>
      <c r="U26" s="159">
        <v>177.995</v>
      </c>
      <c r="V26" s="159">
        <v>189.44</v>
      </c>
      <c r="W26" s="159">
        <v>190.107</v>
      </c>
      <c r="X26" s="159">
        <v>215.60599999999999</v>
      </c>
      <c r="Y26" s="159">
        <v>218.68700000000001</v>
      </c>
      <c r="Z26" s="159">
        <v>235.005</v>
      </c>
      <c r="AA26" s="159">
        <v>227.029</v>
      </c>
      <c r="AB26" s="159">
        <v>239.43899999999999</v>
      </c>
      <c r="AC26" s="159">
        <v>239.23500000000001</v>
      </c>
    </row>
    <row r="27" spans="1:29"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v>103.23000000000002</v>
      </c>
      <c r="R27" s="202">
        <v>92.669999999999987</v>
      </c>
      <c r="S27" s="202">
        <v>104.848</v>
      </c>
      <c r="T27" s="202">
        <v>109.309</v>
      </c>
      <c r="U27" s="202">
        <v>143.846</v>
      </c>
      <c r="V27" s="202">
        <v>129.797</v>
      </c>
      <c r="W27" s="202">
        <v>122.42400000000001</v>
      </c>
      <c r="X27" s="202">
        <v>135.38400000000001</v>
      </c>
      <c r="Y27" s="202">
        <v>129.416</v>
      </c>
      <c r="Z27" s="202">
        <v>146.565</v>
      </c>
      <c r="AA27" s="202">
        <v>147.78900000000002</v>
      </c>
      <c r="AB27" s="202">
        <v>145.36500000000001</v>
      </c>
      <c r="AC27" s="202">
        <v>155.63399999999999</v>
      </c>
    </row>
    <row r="28" spans="1:29"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v>109.96799999999999</v>
      </c>
      <c r="R28" s="159">
        <v>115.69</v>
      </c>
      <c r="S28" s="159">
        <v>109.04899999999999</v>
      </c>
      <c r="T28" s="159">
        <v>115.69</v>
      </c>
      <c r="U28" s="159">
        <v>133.62900000000002</v>
      </c>
      <c r="V28" s="159">
        <v>134.714</v>
      </c>
      <c r="W28" s="159">
        <v>165.39179999999999</v>
      </c>
      <c r="X28" s="159">
        <v>196.15499999999997</v>
      </c>
      <c r="Y28" s="159">
        <v>162.71199999999999</v>
      </c>
      <c r="Z28" s="159">
        <v>158.62699999999998</v>
      </c>
      <c r="AA28" s="159">
        <v>161.34799999999998</v>
      </c>
      <c r="AB28" s="159">
        <v>159.98399999999998</v>
      </c>
      <c r="AC28" s="159">
        <v>167.87700000000001</v>
      </c>
    </row>
    <row r="29" spans="1:29"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v>56.992000000000004</v>
      </c>
      <c r="R29" s="202">
        <v>66.602999999999994</v>
      </c>
      <c r="S29" s="202">
        <v>58.856999999999999</v>
      </c>
      <c r="T29" s="202">
        <v>63.863</v>
      </c>
      <c r="U29" s="202">
        <v>59.545999999999999</v>
      </c>
      <c r="V29" s="202">
        <v>66.09</v>
      </c>
      <c r="W29" s="202">
        <v>61.71</v>
      </c>
      <c r="X29" s="202">
        <v>66.539999999999992</v>
      </c>
      <c r="Y29" s="202">
        <v>60.379999999999995</v>
      </c>
      <c r="Z29" s="202">
        <v>65.38900000000001</v>
      </c>
      <c r="AA29" s="202">
        <v>57.791000000000004</v>
      </c>
      <c r="AB29" s="202">
        <v>63.959000000000003</v>
      </c>
      <c r="AC29" s="202">
        <v>56.348999999999997</v>
      </c>
    </row>
    <row r="30" spans="1:29"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v>173.78899999999999</v>
      </c>
      <c r="R30" s="228">
        <v>195.50399999999999</v>
      </c>
      <c r="S30" s="228">
        <v>172.851</v>
      </c>
      <c r="T30" s="228">
        <v>182.31700000000001</v>
      </c>
      <c r="U30" s="228">
        <v>225.071</v>
      </c>
      <c r="V30" s="228">
        <v>259.779</v>
      </c>
      <c r="W30" s="228">
        <v>248.98</v>
      </c>
      <c r="X30" s="228">
        <v>263.60399999999998</v>
      </c>
      <c r="Y30" s="228">
        <v>264.38799999999998</v>
      </c>
      <c r="Z30" s="228">
        <v>281.72199999999998</v>
      </c>
      <c r="AA30" s="228">
        <v>274.64</v>
      </c>
      <c r="AB30" s="228">
        <v>293.69400000000002</v>
      </c>
      <c r="AC30" s="228">
        <v>267.60200000000003</v>
      </c>
    </row>
    <row r="31" spans="1:29" s="160" customFormat="1" ht="14.25" hidden="1" outlineLevel="1">
      <c r="A31" s="160" t="s">
        <v>251</v>
      </c>
      <c r="B31" s="160" t="s">
        <v>252</v>
      </c>
      <c r="H31" s="206"/>
      <c r="I31" s="206"/>
      <c r="J31" s="206"/>
      <c r="K31" s="206"/>
      <c r="L31" s="206"/>
      <c r="M31" s="159"/>
      <c r="N31" s="159"/>
      <c r="O31" s="159"/>
      <c r="P31" s="159"/>
      <c r="Q31" s="159"/>
      <c r="R31" s="159">
        <v>60</v>
      </c>
      <c r="S31" s="159"/>
      <c r="T31" s="159">
        <v>100</v>
      </c>
      <c r="U31" s="159"/>
      <c r="V31" s="159"/>
      <c r="W31" s="159"/>
      <c r="X31" s="159"/>
      <c r="Y31" s="159"/>
      <c r="Z31" s="159"/>
      <c r="AA31" s="159"/>
      <c r="AB31" s="159"/>
      <c r="AC31" s="159"/>
    </row>
    <row r="32" spans="1:29"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c r="AB32" s="229"/>
      <c r="AC32" s="229"/>
    </row>
    <row r="33" spans="1:29"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460.879+48.554</f>
        <v>509.43299999999999</v>
      </c>
      <c r="R33" s="181">
        <f>469.946+49.34</f>
        <v>519.28600000000006</v>
      </c>
      <c r="S33" s="181">
        <f>472.399+49.34</f>
        <v>521.73900000000003</v>
      </c>
      <c r="T33" s="181">
        <f>473.47+49.34</f>
        <v>522.81000000000006</v>
      </c>
      <c r="U33" s="181">
        <v>540.38900000000001</v>
      </c>
      <c r="V33" s="181">
        <v>590.1</v>
      </c>
      <c r="W33" s="181">
        <v>578.87199999999996</v>
      </c>
      <c r="X33" s="181">
        <v>556.71900000000005</v>
      </c>
      <c r="Y33" s="181">
        <v>551.822</v>
      </c>
      <c r="Z33" s="181">
        <v>550.66600000000005</v>
      </c>
      <c r="AA33" s="181">
        <v>563.04700000000003</v>
      </c>
      <c r="AB33" s="181">
        <v>567.779</v>
      </c>
      <c r="AC33" s="181">
        <v>566.32299999999998</v>
      </c>
    </row>
    <row r="34" spans="1:29" s="160" customFormat="1" ht="14.25">
      <c r="A34" s="160" t="s">
        <v>208</v>
      </c>
      <c r="D34" s="159"/>
      <c r="E34" s="159"/>
      <c r="F34" s="159"/>
      <c r="G34" s="159"/>
      <c r="H34" s="159"/>
      <c r="I34" s="159"/>
      <c r="J34" s="159"/>
      <c r="K34" s="159"/>
      <c r="L34" s="159"/>
      <c r="M34" s="159"/>
      <c r="N34" s="159"/>
    </row>
    <row r="35" spans="1:29"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v>133.64500000000001</v>
      </c>
      <c r="R35" s="205">
        <v>133.64500000000001</v>
      </c>
      <c r="S35" s="205">
        <v>133.64500000000001</v>
      </c>
      <c r="T35" s="205">
        <v>138.64500000000001</v>
      </c>
      <c r="U35" s="205">
        <v>138.64500000000001</v>
      </c>
      <c r="V35" s="205">
        <v>142.14500000000001</v>
      </c>
      <c r="W35" s="205">
        <v>142.14500000000001</v>
      </c>
      <c r="X35" s="205">
        <v>142.14500000000001</v>
      </c>
      <c r="Y35" s="205">
        <v>142.14500000000001</v>
      </c>
      <c r="Z35" s="205">
        <v>144.43700000000001</v>
      </c>
      <c r="AA35" s="205">
        <v>145.93600000000001</v>
      </c>
      <c r="AB35" s="205">
        <v>160.50899999999999</v>
      </c>
      <c r="AC35" s="205">
        <v>160.50800000000001</v>
      </c>
    </row>
    <row r="36" spans="1:29"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v>3.7240000000000002</v>
      </c>
      <c r="R36" s="205">
        <v>3.8380000000000001</v>
      </c>
      <c r="S36" s="205">
        <v>3.2570000000000001</v>
      </c>
      <c r="T36" s="205">
        <v>3.8740000000000001</v>
      </c>
      <c r="U36" s="205">
        <v>3.3730000000000002</v>
      </c>
      <c r="V36" s="205">
        <v>0.42399999999999999</v>
      </c>
      <c r="W36" s="205">
        <v>7.1999999999999995E-2</v>
      </c>
      <c r="X36" s="205">
        <v>0.434</v>
      </c>
      <c r="Y36" s="205">
        <v>0.32100000000000001</v>
      </c>
      <c r="Z36" s="205">
        <v>0.434</v>
      </c>
      <c r="AA36" s="205">
        <v>0.26600000000000001</v>
      </c>
      <c r="AB36" s="205">
        <v>0.434</v>
      </c>
      <c r="AC36" s="205">
        <v>0.40200000000000002</v>
      </c>
    </row>
    <row r="37" spans="1:29"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
        <v>73</v>
      </c>
      <c r="R37" s="207" t="s">
        <v>73</v>
      </c>
      <c r="S37" s="207" t="s">
        <v>73</v>
      </c>
      <c r="T37" s="207" t="s">
        <v>73</v>
      </c>
      <c r="U37" s="207" t="s">
        <v>73</v>
      </c>
      <c r="V37" s="207" t="s">
        <v>73</v>
      </c>
      <c r="W37" s="207" t="s">
        <v>73</v>
      </c>
      <c r="X37" s="207" t="s">
        <v>73</v>
      </c>
      <c r="Y37" s="207" t="s">
        <v>73</v>
      </c>
      <c r="Z37" s="207" t="s">
        <v>73</v>
      </c>
      <c r="AA37" s="207" t="s">
        <v>73</v>
      </c>
      <c r="AB37" s="207" t="s">
        <v>73</v>
      </c>
      <c r="AC37" s="207" t="s">
        <v>73</v>
      </c>
    </row>
    <row r="38" spans="1:29"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v>48.554000000000002</v>
      </c>
      <c r="R38" s="205">
        <v>49.34</v>
      </c>
      <c r="S38" s="205">
        <v>49.34</v>
      </c>
      <c r="T38" s="205">
        <v>49.34</v>
      </c>
      <c r="U38" s="205">
        <v>50.264000000000003</v>
      </c>
      <c r="V38" s="205">
        <v>58.765000000000001</v>
      </c>
      <c r="W38" s="205">
        <v>58.643999999999998</v>
      </c>
      <c r="X38" s="205">
        <v>56.591999999999999</v>
      </c>
      <c r="Y38" s="205">
        <v>55.658999999999999</v>
      </c>
      <c r="Z38" s="205">
        <v>56.591999999999999</v>
      </c>
      <c r="AA38" s="205">
        <v>56.024999999999999</v>
      </c>
      <c r="AB38" s="205">
        <v>56.981999999999999</v>
      </c>
      <c r="AC38" s="205">
        <v>57.106000000000002</v>
      </c>
    </row>
    <row r="39" spans="1:29"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36.11+90.511</f>
        <v>126.621</v>
      </c>
      <c r="R39" s="206">
        <f>38.781+90.511</f>
        <v>129.292</v>
      </c>
      <c r="S39" s="206">
        <f>36.034+90.511</f>
        <v>126.54499999999999</v>
      </c>
      <c r="T39" s="206">
        <f>37.181+90.511</f>
        <v>127.69199999999999</v>
      </c>
      <c r="U39" s="206">
        <f>38.24+0.626+96.511</f>
        <v>135.37700000000001</v>
      </c>
      <c r="V39" s="206">
        <f>204.692+7.107</f>
        <v>211.79900000000001</v>
      </c>
      <c r="W39" s="206">
        <f>196.925+4.346</f>
        <v>201.27100000000002</v>
      </c>
      <c r="X39" s="206">
        <f>192.845+7.107</f>
        <v>199.952</v>
      </c>
      <c r="Y39" s="206">
        <f>183.867+4.801</f>
        <v>188.66799999999998</v>
      </c>
      <c r="Z39" s="206">
        <f>192.333+7.107</f>
        <v>199.44</v>
      </c>
      <c r="AA39" s="206">
        <v>205.73700000000002</v>
      </c>
      <c r="AB39" s="206">
        <v>200.08900000000003</v>
      </c>
      <c r="AC39" s="206">
        <v>190.90800000000002</v>
      </c>
    </row>
    <row r="40" spans="1:29"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v>21.518000000000001</v>
      </c>
      <c r="R40" s="206">
        <v>21.518000000000001</v>
      </c>
      <c r="S40" s="206">
        <v>21.518000000000001</v>
      </c>
      <c r="T40" s="206">
        <v>21.518000000000001</v>
      </c>
      <c r="U40" s="206">
        <v>21.518000000000001</v>
      </c>
      <c r="V40" s="206">
        <v>21.518000000000001</v>
      </c>
      <c r="W40" s="206">
        <v>21.518000000000001</v>
      </c>
      <c r="X40" s="206">
        <v>21.518000000000001</v>
      </c>
      <c r="Y40" s="206">
        <v>21.518000000000001</v>
      </c>
      <c r="Z40" s="206">
        <v>21.518000000000001</v>
      </c>
      <c r="AA40" s="206">
        <v>21.518000000000001</v>
      </c>
      <c r="AB40" s="206">
        <v>21.518000000000001</v>
      </c>
      <c r="AC40" s="206">
        <v>21.518000000000001</v>
      </c>
    </row>
    <row r="41" spans="1:29"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v>45.338999999999999</v>
      </c>
      <c r="R41" s="231">
        <v>49.262</v>
      </c>
      <c r="S41" s="231">
        <v>52.018000000000001</v>
      </c>
      <c r="T41" s="231">
        <v>44.911999999999999</v>
      </c>
      <c r="U41" s="231">
        <v>50.316000000000003</v>
      </c>
      <c r="V41" s="231">
        <v>44.893999999999998</v>
      </c>
      <c r="W41" s="231">
        <v>53.984000000000002</v>
      </c>
      <c r="X41" s="231">
        <v>39.874000000000002</v>
      </c>
      <c r="Y41" s="231">
        <v>45.523000000000003</v>
      </c>
      <c r="Z41" s="231">
        <v>34.676000000000002</v>
      </c>
      <c r="AA41" s="231">
        <v>37.978000000000002</v>
      </c>
      <c r="AB41" s="231">
        <v>32.305999999999997</v>
      </c>
      <c r="AC41" s="231">
        <v>36.725999999999999</v>
      </c>
    </row>
    <row r="42" spans="1:29" s="160" customFormat="1" ht="7.5" customHeight="1">
      <c r="D42" s="159"/>
      <c r="E42" s="159"/>
      <c r="F42" s="159"/>
      <c r="G42" s="159"/>
      <c r="H42" s="159"/>
      <c r="I42" s="159"/>
      <c r="J42" s="159"/>
      <c r="K42" s="159"/>
      <c r="L42" s="159"/>
      <c r="M42" s="159"/>
      <c r="N42" s="159"/>
    </row>
    <row r="43" spans="1:29" s="160" customFormat="1" ht="14.25">
      <c r="A43" s="180" t="s">
        <v>274</v>
      </c>
      <c r="B43" s="180" t="s">
        <v>275</v>
      </c>
      <c r="C43" s="180" t="s">
        <v>275</v>
      </c>
      <c r="D43" s="181">
        <v>533.27325712375455</v>
      </c>
      <c r="E43" s="181">
        <v>527.45943039032579</v>
      </c>
      <c r="F43" s="181">
        <v>616.99236208512889</v>
      </c>
      <c r="G43" s="181">
        <v>1461.7819999999999</v>
      </c>
      <c r="H43" s="181">
        <v>1835.4739999999999</v>
      </c>
      <c r="I43" s="181">
        <v>1859.6959999999999</v>
      </c>
      <c r="J43" s="181">
        <v>839.11599999999999</v>
      </c>
      <c r="K43" s="181">
        <v>747.93499999999995</v>
      </c>
      <c r="L43" s="181">
        <v>792.37</v>
      </c>
      <c r="M43" s="181">
        <v>871.15899999999999</v>
      </c>
      <c r="N43" s="181">
        <v>830.245</v>
      </c>
      <c r="O43" s="181">
        <v>835.60599999999999</v>
      </c>
      <c r="P43" s="181">
        <v>834.19476599999996</v>
      </c>
      <c r="Q43" s="181">
        <v>821.16941999999995</v>
      </c>
      <c r="R43" s="181">
        <v>870.72500000000002</v>
      </c>
      <c r="S43" s="181">
        <v>819.9</v>
      </c>
      <c r="T43" s="181">
        <v>889.29</v>
      </c>
      <c r="U43" s="181">
        <v>974.37699999999995</v>
      </c>
      <c r="V43" s="181">
        <v>1053.22</v>
      </c>
      <c r="W43" s="181">
        <v>997.50400000000002</v>
      </c>
      <c r="X43" s="181">
        <v>1037.933</v>
      </c>
      <c r="Y43" s="181">
        <v>999.35400000000004</v>
      </c>
      <c r="Z43" s="181">
        <v>1113.3399999999999</v>
      </c>
      <c r="AA43" s="181">
        <v>1047.239</v>
      </c>
      <c r="AB43" s="181">
        <v>1188.077</v>
      </c>
      <c r="AC43" s="181">
        <v>1103.0509999999999</v>
      </c>
    </row>
    <row r="44" spans="1:29" s="160" customFormat="1" ht="14.25">
      <c r="A44" s="160" t="s">
        <v>208</v>
      </c>
      <c r="D44" s="159"/>
      <c r="E44" s="159"/>
      <c r="F44" s="159"/>
      <c r="G44" s="159"/>
      <c r="H44" s="159"/>
      <c r="I44" s="159"/>
      <c r="J44" s="159"/>
      <c r="K44" s="159"/>
      <c r="L44" s="159"/>
      <c r="M44" s="159"/>
      <c r="N44" s="159"/>
    </row>
    <row r="45" spans="1:29" s="200" customFormat="1" ht="28.5" hidden="1" outlineLevel="1">
      <c r="A45" s="208" t="s">
        <v>276</v>
      </c>
      <c r="B45" s="208"/>
      <c r="C45" s="208"/>
      <c r="D45" s="159">
        <v>301.51958896244992</v>
      </c>
      <c r="E45" s="159">
        <v>288.87451581724235</v>
      </c>
      <c r="F45" s="159">
        <v>393.08736001395317</v>
      </c>
      <c r="G45" s="159">
        <v>35.973052913090555</v>
      </c>
      <c r="H45" s="206" t="s">
        <v>73</v>
      </c>
      <c r="I45" s="206" t="s">
        <v>73</v>
      </c>
      <c r="J45" s="206" t="s">
        <v>73</v>
      </c>
      <c r="K45" s="209" t="s">
        <v>73</v>
      </c>
      <c r="L45" s="209" t="s">
        <v>73</v>
      </c>
      <c r="M45" s="209" t="s">
        <v>73</v>
      </c>
      <c r="N45" s="209" t="s">
        <v>73</v>
      </c>
      <c r="O45" s="209" t="s">
        <v>73</v>
      </c>
      <c r="P45" s="209" t="s">
        <v>73</v>
      </c>
      <c r="Q45" s="209" t="s">
        <v>73</v>
      </c>
      <c r="R45" s="209" t="s">
        <v>73</v>
      </c>
      <c r="S45" s="209"/>
      <c r="T45" s="209" t="s">
        <v>73</v>
      </c>
      <c r="U45" s="209"/>
      <c r="V45" s="209"/>
      <c r="W45" s="209"/>
      <c r="X45" s="209"/>
      <c r="Y45" s="209"/>
      <c r="Z45" s="209"/>
      <c r="AA45" s="209"/>
      <c r="AB45" s="209"/>
      <c r="AC45" s="209"/>
    </row>
    <row r="46" spans="1:29" s="160" customFormat="1" ht="14.25" collapsed="1">
      <c r="A46" s="160" t="s">
        <v>277</v>
      </c>
      <c r="B46" s="160" t="s">
        <v>278</v>
      </c>
      <c r="C46" s="160" t="s">
        <v>279</v>
      </c>
      <c r="D46" s="159" t="s">
        <v>73</v>
      </c>
      <c r="E46" s="203" t="s">
        <v>73</v>
      </c>
      <c r="F46" s="203" t="s">
        <v>73</v>
      </c>
      <c r="G46" s="159">
        <v>471.71936658357737</v>
      </c>
      <c r="H46" s="159">
        <v>542.93874406807993</v>
      </c>
      <c r="I46" s="159">
        <v>553.49599999999998</v>
      </c>
      <c r="J46" s="159">
        <v>576.43200000000002</v>
      </c>
      <c r="K46" s="159">
        <v>454.54</v>
      </c>
      <c r="L46" s="159">
        <v>498.72199999999998</v>
      </c>
      <c r="M46" s="159">
        <v>507.11200000000002</v>
      </c>
      <c r="N46" s="159">
        <v>499.548</v>
      </c>
      <c r="O46" s="159">
        <f>407.642+112.992</f>
        <v>520.63400000000001</v>
      </c>
      <c r="P46" s="159">
        <f>412.156+115.019</f>
        <v>527.17499999999995</v>
      </c>
      <c r="Q46" s="159">
        <f>427.414+121.956</f>
        <v>549.37</v>
      </c>
      <c r="R46" s="159">
        <f>431.715+123.906</f>
        <v>555.62099999999998</v>
      </c>
      <c r="S46" s="159">
        <f>427.536+122.012</f>
        <v>549.548</v>
      </c>
      <c r="T46" s="159">
        <f>442.051+128.593</f>
        <v>570.64400000000001</v>
      </c>
      <c r="U46" s="159">
        <f>516.852+128.502</f>
        <v>645.35400000000004</v>
      </c>
      <c r="V46" s="159">
        <f>56.751+461.998+131.068</f>
        <v>649.81700000000001</v>
      </c>
      <c r="W46" s="159">
        <f>56.75+455.792+129.332</f>
        <v>641.87399999999991</v>
      </c>
      <c r="X46" s="159">
        <f>502.801+129.61</f>
        <v>632.41100000000006</v>
      </c>
      <c r="Y46" s="159">
        <f>498.248+130.658</f>
        <v>628.90599999999995</v>
      </c>
      <c r="Z46" s="159">
        <f>546.834+140.044</f>
        <v>686.87799999999993</v>
      </c>
      <c r="AA46" s="159">
        <v>692.23199999999997</v>
      </c>
      <c r="AB46" s="159">
        <v>715.0630000000001</v>
      </c>
      <c r="AC46" s="159">
        <v>721.80799999999999</v>
      </c>
    </row>
    <row r="47" spans="1:29" s="160" customFormat="1" ht="14.25">
      <c r="A47" s="227" t="s">
        <v>280</v>
      </c>
      <c r="B47" s="227"/>
      <c r="C47" s="227"/>
      <c r="D47" s="228"/>
      <c r="E47" s="233"/>
      <c r="F47" s="233"/>
      <c r="G47" s="228"/>
      <c r="H47" s="228"/>
      <c r="I47" s="228"/>
      <c r="J47" s="228"/>
      <c r="K47" s="228">
        <v>91.076999999999998</v>
      </c>
      <c r="L47" s="228">
        <v>107.04300000000001</v>
      </c>
      <c r="M47" s="228">
        <v>179.32900000000001</v>
      </c>
      <c r="N47" s="228">
        <v>142.19999999999999</v>
      </c>
      <c r="O47" s="228"/>
      <c r="P47" s="228">
        <v>121.396</v>
      </c>
      <c r="Q47" s="228">
        <v>93.796999999999997</v>
      </c>
      <c r="R47" s="228"/>
      <c r="S47" s="228">
        <v>72.424000000000007</v>
      </c>
      <c r="T47" s="228"/>
      <c r="U47" s="228">
        <v>92.572999999999993</v>
      </c>
      <c r="V47" s="228"/>
      <c r="W47" s="228">
        <v>103.684</v>
      </c>
      <c r="X47" s="228">
        <v>151.64699999999999</v>
      </c>
      <c r="Y47" s="228">
        <v>107.78400000000001</v>
      </c>
      <c r="Z47" s="228">
        <v>169.58</v>
      </c>
      <c r="AA47" s="228">
        <v>98.769000000000005</v>
      </c>
      <c r="AB47" s="228">
        <v>199.85900000000001</v>
      </c>
      <c r="AC47" s="228">
        <v>120.05</v>
      </c>
    </row>
    <row r="48" spans="1:29" s="200" customFormat="1" ht="27" hidden="1" customHeight="1" outlineLevel="1">
      <c r="A48" s="208" t="s">
        <v>432</v>
      </c>
      <c r="B48" s="232" t="s">
        <v>281</v>
      </c>
      <c r="C48" s="232"/>
      <c r="D48" s="159" t="s">
        <v>73</v>
      </c>
      <c r="E48" s="203" t="s">
        <v>73</v>
      </c>
      <c r="F48" s="203" t="s">
        <v>73</v>
      </c>
      <c r="G48" s="159">
        <v>744.67853171805848</v>
      </c>
      <c r="H48" s="159">
        <v>1063.0582182074518</v>
      </c>
      <c r="I48" s="159">
        <v>1079.6276243977238</v>
      </c>
      <c r="J48" s="159" t="s">
        <v>73</v>
      </c>
      <c r="K48" s="209" t="s">
        <v>73</v>
      </c>
      <c r="L48" s="206" t="s">
        <v>73</v>
      </c>
      <c r="M48" s="209" t="s">
        <v>73</v>
      </c>
      <c r="N48" s="209" t="s">
        <v>73</v>
      </c>
      <c r="O48" s="209" t="s">
        <v>73</v>
      </c>
      <c r="P48" s="209"/>
      <c r="Q48" s="209"/>
      <c r="R48" s="209"/>
      <c r="S48" s="209"/>
      <c r="T48" s="209"/>
      <c r="U48" s="209"/>
      <c r="V48" s="209"/>
      <c r="W48" s="209"/>
      <c r="X48" s="209"/>
      <c r="Y48" s="209"/>
      <c r="Z48" s="209"/>
      <c r="AA48" s="209"/>
      <c r="AB48" s="209"/>
      <c r="AC48" s="209"/>
    </row>
    <row r="49" spans="1:29" s="160" customFormat="1" ht="7.5" customHeight="1" collapsed="1">
      <c r="A49" s="229"/>
      <c r="B49" s="229"/>
      <c r="C49" s="229"/>
      <c r="D49" s="230"/>
      <c r="E49" s="230"/>
      <c r="F49" s="230"/>
      <c r="G49" s="230"/>
      <c r="H49" s="230"/>
      <c r="I49" s="230"/>
      <c r="J49" s="230"/>
      <c r="K49" s="230"/>
      <c r="L49" s="230"/>
      <c r="M49" s="230"/>
      <c r="N49" s="230"/>
      <c r="O49" s="229"/>
      <c r="P49" s="229"/>
      <c r="Q49" s="229"/>
      <c r="R49" s="229"/>
      <c r="S49" s="229"/>
      <c r="T49" s="229"/>
      <c r="U49" s="229"/>
      <c r="V49" s="229"/>
      <c r="W49" s="229"/>
      <c r="X49" s="229"/>
      <c r="Y49" s="229"/>
      <c r="Z49" s="229"/>
      <c r="AA49" s="229"/>
      <c r="AB49" s="229"/>
      <c r="AC49" s="229"/>
    </row>
    <row r="50" spans="1:29" s="160" customFormat="1" ht="14.25">
      <c r="A50" s="180" t="s">
        <v>282</v>
      </c>
      <c r="B50" s="180" t="s">
        <v>283</v>
      </c>
      <c r="C50" s="180" t="s">
        <v>283</v>
      </c>
      <c r="D50" s="181">
        <v>14540.526005973707</v>
      </c>
      <c r="E50" s="181">
        <v>15500.243453994461</v>
      </c>
      <c r="F50" s="181">
        <v>15897.037128550975</v>
      </c>
      <c r="G50" s="181">
        <v>15608.451999999999</v>
      </c>
      <c r="H50" s="181">
        <v>15767.612999999999</v>
      </c>
      <c r="I50" s="181">
        <v>16187.111999999999</v>
      </c>
      <c r="J50" s="181">
        <v>15763.906000000001</v>
      </c>
      <c r="K50" s="181">
        <v>16890.050999999999</v>
      </c>
      <c r="L50" s="181">
        <v>18206.321</v>
      </c>
      <c r="M50" s="181">
        <v>18882.223000000002</v>
      </c>
      <c r="N50" s="181">
        <v>19623.611000000001</v>
      </c>
      <c r="O50" s="181">
        <v>19760.235000000001</v>
      </c>
      <c r="P50" s="181">
        <v>20309.379000000001</v>
      </c>
      <c r="Q50" s="181">
        <v>20961.085999999999</v>
      </c>
      <c r="R50" s="181">
        <v>20813.735000000001</v>
      </c>
      <c r="S50" s="181">
        <v>20725.564999999999</v>
      </c>
      <c r="T50" s="181">
        <v>20926.338</v>
      </c>
      <c r="U50" s="181">
        <v>21331.618999999999</v>
      </c>
      <c r="V50" s="181">
        <v>23148.067999999999</v>
      </c>
      <c r="W50" s="181">
        <v>23194.723999999998</v>
      </c>
      <c r="X50" s="181">
        <v>24632.460999999999</v>
      </c>
      <c r="Y50" s="181">
        <v>24799.955999999998</v>
      </c>
      <c r="Z50" s="181">
        <v>24432.921999999999</v>
      </c>
      <c r="AA50" s="181">
        <v>24073.245999999999</v>
      </c>
      <c r="AB50" s="181">
        <v>25916.276999999998</v>
      </c>
      <c r="AC50" s="181">
        <v>25590.167000000001</v>
      </c>
    </row>
    <row r="51" spans="1:29" s="160" customFormat="1" ht="14.25">
      <c r="A51" s="160" t="s">
        <v>208</v>
      </c>
      <c r="D51" s="159"/>
      <c r="E51" s="159"/>
      <c r="F51" s="159"/>
      <c r="G51" s="159"/>
      <c r="H51" s="159"/>
      <c r="I51" s="159"/>
      <c r="J51" s="159"/>
      <c r="K51" s="159"/>
      <c r="L51" s="159"/>
      <c r="M51" s="159"/>
      <c r="N51" s="159"/>
    </row>
    <row r="52" spans="1:29" s="160" customFormat="1" ht="14.25">
      <c r="A52" s="160" t="s">
        <v>284</v>
      </c>
      <c r="B52" s="160" t="s">
        <v>285</v>
      </c>
      <c r="C52" s="160" t="s">
        <v>286</v>
      </c>
      <c r="D52" s="159">
        <v>3878.9125237095118</v>
      </c>
      <c r="E52" s="159">
        <v>4083.1958605553655</v>
      </c>
      <c r="F52" s="159">
        <v>4457.6063021881791</v>
      </c>
      <c r="G52" s="159">
        <v>4339.8763108362464</v>
      </c>
      <c r="H52" s="159">
        <v>4355.0649331773284</v>
      </c>
      <c r="I52" s="159">
        <v>4435.1503964303101</v>
      </c>
      <c r="J52" s="159">
        <v>4391</v>
      </c>
      <c r="K52" s="159">
        <v>4770.8988902858218</v>
      </c>
      <c r="L52" s="159">
        <v>4961.3440000000001</v>
      </c>
      <c r="M52" s="159">
        <v>4619.326</v>
      </c>
      <c r="N52" s="159">
        <v>4865.165</v>
      </c>
      <c r="O52" s="159">
        <v>4784.0569999999998</v>
      </c>
      <c r="P52" s="159">
        <v>4743.2820000000002</v>
      </c>
      <c r="Q52" s="159">
        <v>5034.1989999999996</v>
      </c>
      <c r="R52" s="159">
        <v>4891.1930000000002</v>
      </c>
      <c r="S52" s="159">
        <v>4868.7839999999997</v>
      </c>
      <c r="T52" s="159">
        <v>4769.7579999999998</v>
      </c>
      <c r="U52" s="159">
        <v>4833.5050000000001</v>
      </c>
      <c r="V52" s="159">
        <v>5952.41</v>
      </c>
      <c r="W52" s="159">
        <v>5776.0829999999996</v>
      </c>
      <c r="X52" s="159">
        <v>6369.1459999999997</v>
      </c>
      <c r="Y52" s="159">
        <v>6145.0680000000002</v>
      </c>
      <c r="Z52" s="159">
        <v>5948.1090000000004</v>
      </c>
      <c r="AA52" s="159">
        <v>5847.2730000000001</v>
      </c>
      <c r="AB52" s="159">
        <v>6165</v>
      </c>
      <c r="AC52" s="159">
        <v>5917.8230000000003</v>
      </c>
    </row>
    <row r="53" spans="1:29" s="160" customFormat="1" ht="15.75">
      <c r="A53" s="160" t="s">
        <v>433</v>
      </c>
      <c r="B53" s="160" t="s">
        <v>287</v>
      </c>
      <c r="D53" s="159"/>
      <c r="E53" s="159"/>
      <c r="F53" s="159"/>
      <c r="G53" s="159"/>
      <c r="H53" s="159"/>
      <c r="I53" s="159"/>
      <c r="J53" s="159"/>
      <c r="K53" s="159"/>
      <c r="L53" s="159"/>
      <c r="M53" s="159">
        <v>326.89600000000002</v>
      </c>
      <c r="N53" s="159">
        <v>555.17200000000003</v>
      </c>
      <c r="O53" s="159"/>
      <c r="P53" s="159">
        <v>358.98099999999999</v>
      </c>
      <c r="Q53" s="159">
        <v>496.96100000000001</v>
      </c>
      <c r="R53" s="159">
        <v>183.596</v>
      </c>
      <c r="S53" s="159">
        <v>423.82499999999999</v>
      </c>
      <c r="T53" s="159">
        <v>2E-3</v>
      </c>
      <c r="U53" s="159">
        <v>0</v>
      </c>
      <c r="V53" s="159">
        <v>0</v>
      </c>
      <c r="W53" s="159">
        <v>0</v>
      </c>
      <c r="X53" s="159">
        <v>0</v>
      </c>
      <c r="Y53" s="159">
        <v>0</v>
      </c>
      <c r="Z53" s="159">
        <v>0</v>
      </c>
      <c r="AA53" s="159">
        <v>0</v>
      </c>
      <c r="AB53" s="159">
        <v>0</v>
      </c>
      <c r="AC53" s="159">
        <v>0</v>
      </c>
    </row>
    <row r="54" spans="1:29" s="160" customFormat="1" ht="14.25">
      <c r="A54" s="160" t="s">
        <v>288</v>
      </c>
      <c r="B54" s="160" t="s">
        <v>289</v>
      </c>
      <c r="C54" s="160" t="s">
        <v>290</v>
      </c>
      <c r="D54" s="159">
        <v>519.24740012935763</v>
      </c>
      <c r="E54" s="159">
        <v>510.96269703422161</v>
      </c>
      <c r="F54" s="159">
        <v>497.00951287399255</v>
      </c>
      <c r="G54" s="159">
        <v>469.6118543927094</v>
      </c>
      <c r="H54" s="159">
        <v>448.31871398152651</v>
      </c>
      <c r="I54" s="159">
        <v>430.87723378124019</v>
      </c>
      <c r="J54" s="159">
        <v>407.92899999999997</v>
      </c>
      <c r="K54" s="159">
        <v>392.47699999999998</v>
      </c>
      <c r="L54" s="159">
        <v>381.32900000000001</v>
      </c>
      <c r="M54" s="159">
        <v>361.714</v>
      </c>
      <c r="N54" s="159">
        <v>341.59800000000001</v>
      </c>
      <c r="O54" s="159">
        <v>338.27800000000002</v>
      </c>
      <c r="P54" s="159">
        <v>323.84399999999999</v>
      </c>
      <c r="Q54" s="159">
        <v>311.64400000000001</v>
      </c>
      <c r="R54" s="159">
        <v>308.89600000000002</v>
      </c>
      <c r="S54" s="159">
        <v>295.548</v>
      </c>
      <c r="T54" s="159">
        <v>299.41500000000002</v>
      </c>
      <c r="U54" s="159">
        <v>282.43599999999998</v>
      </c>
      <c r="V54" s="159">
        <v>276.34699999999998</v>
      </c>
      <c r="W54" s="159">
        <v>264.483</v>
      </c>
      <c r="X54" s="159">
        <v>264.37</v>
      </c>
      <c r="Y54" s="159">
        <v>245.25399999999999</v>
      </c>
      <c r="Z54" s="159">
        <v>237.209</v>
      </c>
      <c r="AA54" s="159">
        <v>226.36199999999999</v>
      </c>
      <c r="AB54" s="159">
        <v>235.65199999999999</v>
      </c>
      <c r="AC54" s="159">
        <v>221.88900000000001</v>
      </c>
    </row>
    <row r="55" spans="1:29" s="160" customFormat="1" ht="14.25">
      <c r="A55" s="160" t="s">
        <v>291</v>
      </c>
      <c r="B55" s="160" t="s">
        <v>292</v>
      </c>
      <c r="C55" s="160" t="s">
        <v>293</v>
      </c>
      <c r="D55" s="159">
        <v>4014.5927051009062</v>
      </c>
      <c r="E55" s="159">
        <v>4974.1648074533259</v>
      </c>
      <c r="F55" s="159">
        <v>5060.2821159422392</v>
      </c>
      <c r="G55" s="159">
        <v>5102.214341257094</v>
      </c>
      <c r="H55" s="159">
        <v>5258.165</v>
      </c>
      <c r="I55" s="159">
        <v>5478.8620000000001</v>
      </c>
      <c r="J55" s="159">
        <v>4997.2719999999999</v>
      </c>
      <c r="K55" s="159">
        <v>5398.9530000000004</v>
      </c>
      <c r="L55" s="159">
        <v>5944.1620000000003</v>
      </c>
      <c r="M55" s="159">
        <v>6978.1239999999998</v>
      </c>
      <c r="N55" s="159">
        <v>6717.9520000000002</v>
      </c>
      <c r="O55" s="159">
        <v>6841.5569999999998</v>
      </c>
      <c r="P55" s="159">
        <v>6937.0879999999997</v>
      </c>
      <c r="Q55" s="159">
        <v>7354.2089999999998</v>
      </c>
      <c r="R55" s="159">
        <v>7450.34</v>
      </c>
      <c r="S55" s="159">
        <v>7317.1189999999997</v>
      </c>
      <c r="T55" s="159">
        <v>7669.634</v>
      </c>
      <c r="U55" s="159">
        <v>7669.6220000000003</v>
      </c>
      <c r="V55" s="159">
        <v>8401.2000000000007</v>
      </c>
      <c r="W55" s="159">
        <v>8693.2360000000008</v>
      </c>
      <c r="X55" s="159">
        <v>8842.4</v>
      </c>
      <c r="Y55" s="159">
        <v>9238.277</v>
      </c>
      <c r="Z55" s="159">
        <v>9610.7000000000007</v>
      </c>
      <c r="AA55" s="159">
        <v>9113.7749999999996</v>
      </c>
      <c r="AB55" s="159">
        <v>10024</v>
      </c>
      <c r="AC55" s="159">
        <v>9795.31</v>
      </c>
    </row>
    <row r="56" spans="1:29" s="160" customFormat="1" ht="15.75">
      <c r="A56" s="160" t="s">
        <v>434</v>
      </c>
      <c r="B56" s="160" t="s">
        <v>294</v>
      </c>
      <c r="C56" s="160" t="s">
        <v>295</v>
      </c>
      <c r="D56" s="159">
        <v>4523.8839269492664</v>
      </c>
      <c r="E56" s="159">
        <v>4270.9097912109473</v>
      </c>
      <c r="F56" s="159">
        <v>4026.0023400652599</v>
      </c>
      <c r="G56" s="159">
        <v>3983.9247690820694</v>
      </c>
      <c r="H56" s="159">
        <v>4104.2709824640451</v>
      </c>
      <c r="I56" s="159">
        <v>4198.7456668822624</v>
      </c>
      <c r="J56" s="159">
        <v>4312.4089999999997</v>
      </c>
      <c r="K56" s="159">
        <v>4481.3909999999996</v>
      </c>
      <c r="L56" s="159">
        <v>4519.4399999999996</v>
      </c>
      <c r="M56" s="159">
        <f>4869.2+74.592</f>
        <v>4943.7919999999995</v>
      </c>
      <c r="N56" s="159">
        <v>5460.3059999999996</v>
      </c>
      <c r="O56" s="159">
        <f>5167.65+425.082</f>
        <v>5592.732</v>
      </c>
      <c r="P56" s="159">
        <v>6082.21</v>
      </c>
      <c r="Q56" s="159">
        <f>5407.03+465.774</f>
        <v>5872.8040000000001</v>
      </c>
      <c r="R56" s="159">
        <v>5948.6639999999998</v>
      </c>
      <c r="S56" s="159">
        <f>5536.937+342.238</f>
        <v>5879.1750000000002</v>
      </c>
      <c r="T56" s="159">
        <v>6011.5469999999996</v>
      </c>
      <c r="U56" s="159">
        <f>6024.906+475.801</f>
        <v>6500.7070000000003</v>
      </c>
      <c r="V56" s="159">
        <f>6219.549</f>
        <v>6219.549</v>
      </c>
      <c r="W56" s="159">
        <v>6151.7039999999997</v>
      </c>
      <c r="X56" s="159">
        <f>6558.567</f>
        <v>6558.567</v>
      </c>
      <c r="Y56" s="159">
        <v>6446.4840000000004</v>
      </c>
      <c r="Z56" s="159">
        <v>6249.0929999999998</v>
      </c>
      <c r="AA56" s="159">
        <v>6213.1279999999997</v>
      </c>
      <c r="AB56" s="159">
        <v>3619.7289999999998</v>
      </c>
      <c r="AC56" s="159">
        <v>6289.7460000000001</v>
      </c>
    </row>
    <row r="57" spans="1:29" s="160" customFormat="1" ht="14.25">
      <c r="A57" s="227" t="s">
        <v>296</v>
      </c>
      <c r="B57" s="227" t="s">
        <v>297</v>
      </c>
      <c r="C57" s="227" t="s">
        <v>298</v>
      </c>
      <c r="D57" s="228">
        <v>1197.3576157496566</v>
      </c>
      <c r="E57" s="228">
        <v>1239</v>
      </c>
      <c r="F57" s="228">
        <v>1199.1017637696852</v>
      </c>
      <c r="G57" s="228">
        <v>1141.1088421037332</v>
      </c>
      <c r="H57" s="228">
        <v>1173.5935989767663</v>
      </c>
      <c r="I57" s="228">
        <v>1223.6651817184218</v>
      </c>
      <c r="J57" s="228">
        <v>1264.3989999999999</v>
      </c>
      <c r="K57" s="228">
        <v>1289.904</v>
      </c>
      <c r="L57" s="228">
        <v>1294.3040000000001</v>
      </c>
      <c r="M57" s="228">
        <v>1333.1110000000001</v>
      </c>
      <c r="N57" s="228">
        <v>1350.028</v>
      </c>
      <c r="O57" s="228">
        <v>1390.981</v>
      </c>
      <c r="P57" s="228">
        <v>1420.979</v>
      </c>
      <c r="Q57" s="228">
        <v>1473.6110000000001</v>
      </c>
      <c r="R57" s="228">
        <v>1533</v>
      </c>
      <c r="S57" s="228">
        <v>1540.9960000000001</v>
      </c>
      <c r="T57" s="228">
        <v>1595</v>
      </c>
      <c r="U57" s="228">
        <v>1619.999</v>
      </c>
      <c r="V57" s="228">
        <v>1802.68</v>
      </c>
      <c r="W57" s="228">
        <v>1772.655</v>
      </c>
      <c r="X57" s="228">
        <v>1885.5550000000001</v>
      </c>
      <c r="Y57" s="228">
        <v>1855.0419999999999</v>
      </c>
      <c r="Z57" s="228">
        <v>1914.674</v>
      </c>
      <c r="AA57" s="228">
        <v>1899.8589999999999</v>
      </c>
      <c r="AB57" s="228">
        <v>2405.6260000000002</v>
      </c>
      <c r="AC57" s="228">
        <v>2405.62</v>
      </c>
    </row>
    <row r="58" spans="1:29" s="160" customFormat="1" ht="10.5" customHeight="1"/>
    <row r="59" spans="1:29" s="160" customFormat="1" ht="14.25">
      <c r="A59" s="180" t="s">
        <v>299</v>
      </c>
      <c r="B59" s="180" t="s">
        <v>300</v>
      </c>
      <c r="C59" s="180" t="s">
        <v>300</v>
      </c>
      <c r="D59" s="181">
        <v>1674.236753559152</v>
      </c>
      <c r="E59" s="181">
        <v>1755.4849821588191</v>
      </c>
      <c r="F59" s="181">
        <v>1840.0761611302078</v>
      </c>
      <c r="G59" s="181">
        <v>1835.4749999999999</v>
      </c>
      <c r="H59" s="181">
        <v>1826.3630000000001</v>
      </c>
      <c r="I59" s="181">
        <v>1822.798</v>
      </c>
      <c r="J59" s="181">
        <v>1819.202</v>
      </c>
      <c r="K59" s="181">
        <v>1811.7729999999999</v>
      </c>
      <c r="L59" s="181">
        <v>1807.309</v>
      </c>
      <c r="M59" s="181">
        <v>1805.443</v>
      </c>
      <c r="N59" s="181">
        <v>1803.2049999999999</v>
      </c>
      <c r="O59" s="181">
        <v>1810.319</v>
      </c>
      <c r="P59" s="181">
        <v>1803.6289999999999</v>
      </c>
      <c r="Q59" s="181">
        <v>1801.191</v>
      </c>
      <c r="R59" s="181">
        <v>1803.2139999999999</v>
      </c>
      <c r="S59" s="181">
        <v>1799.9690000000001</v>
      </c>
      <c r="T59" s="181">
        <v>1803.2170000000001</v>
      </c>
      <c r="U59" s="181">
        <v>1800.508</v>
      </c>
      <c r="V59" s="181">
        <v>22.548999999999999</v>
      </c>
      <c r="W59" s="181">
        <v>17.919</v>
      </c>
      <c r="X59" s="181">
        <v>21.062999999999999</v>
      </c>
      <c r="Y59" s="181">
        <v>15.516999999999999</v>
      </c>
      <c r="Z59" s="181">
        <v>17.864999999999998</v>
      </c>
      <c r="AA59" s="181">
        <v>12.673999999999999</v>
      </c>
      <c r="AB59" s="181">
        <v>14.762</v>
      </c>
      <c r="AC59" s="181">
        <v>10.019</v>
      </c>
    </row>
    <row r="60" spans="1:29" s="160" customFormat="1" ht="14.25">
      <c r="A60" s="160" t="s">
        <v>208</v>
      </c>
      <c r="D60" s="159"/>
      <c r="E60" s="159"/>
      <c r="F60" s="159"/>
      <c r="G60" s="159"/>
      <c r="H60" s="159"/>
      <c r="I60" s="159"/>
      <c r="J60" s="159"/>
      <c r="K60" s="160" t="s">
        <v>301</v>
      </c>
      <c r="L60" s="159"/>
    </row>
    <row r="61" spans="1:29" s="160" customFormat="1" ht="30">
      <c r="A61" s="200" t="s">
        <v>444</v>
      </c>
      <c r="B61" s="200" t="s">
        <v>302</v>
      </c>
      <c r="C61" s="200" t="s">
        <v>303</v>
      </c>
      <c r="D61" s="159">
        <v>1611.1567335014497</v>
      </c>
      <c r="E61" s="159">
        <v>1694.5851471261526</v>
      </c>
      <c r="F61" s="159">
        <v>1780.4844371125628</v>
      </c>
      <c r="G61" s="159">
        <v>1780.4844371125628</v>
      </c>
      <c r="H61" s="159">
        <v>1780.4844371125628</v>
      </c>
      <c r="I61" s="159">
        <v>1780.4844371125628</v>
      </c>
      <c r="J61" s="159">
        <v>1780.4839999999999</v>
      </c>
      <c r="K61" s="213">
        <v>1780.4844371125628</v>
      </c>
      <c r="L61" s="159">
        <v>1780.5</v>
      </c>
      <c r="M61" s="213">
        <v>1780.5</v>
      </c>
      <c r="N61" s="213">
        <v>1780.5</v>
      </c>
      <c r="O61" s="213">
        <v>1780.5</v>
      </c>
      <c r="P61" s="213">
        <v>1780.5</v>
      </c>
      <c r="Q61" s="213">
        <v>1780.5</v>
      </c>
      <c r="R61" s="213">
        <v>1780.5</v>
      </c>
      <c r="S61" s="213">
        <v>1780.5</v>
      </c>
      <c r="T61" s="213">
        <v>1780.5</v>
      </c>
      <c r="U61" s="213">
        <v>1780.5</v>
      </c>
      <c r="V61" s="214" t="s">
        <v>73</v>
      </c>
      <c r="W61" s="215" t="s">
        <v>73</v>
      </c>
      <c r="X61" s="214" t="s">
        <v>73</v>
      </c>
      <c r="Y61" s="215" t="s">
        <v>73</v>
      </c>
      <c r="Z61" s="215" t="s">
        <v>73</v>
      </c>
      <c r="AA61" s="215" t="s">
        <v>73</v>
      </c>
      <c r="AB61" s="215" t="s">
        <v>73</v>
      </c>
      <c r="AC61" s="215" t="s">
        <v>73</v>
      </c>
    </row>
    <row r="62" spans="1:29" s="160" customFormat="1" ht="31.5" customHeight="1">
      <c r="A62" s="234" t="s">
        <v>304</v>
      </c>
      <c r="B62" s="234" t="s">
        <v>305</v>
      </c>
      <c r="C62" s="234" t="s">
        <v>306</v>
      </c>
      <c r="D62" s="228">
        <v>38.516602108965643</v>
      </c>
      <c r="E62" s="228">
        <v>41.205496973176452</v>
      </c>
      <c r="F62" s="228">
        <v>38.807293445637086</v>
      </c>
      <c r="G62" s="228">
        <f>24.913+11.048</f>
        <v>35.960999999999999</v>
      </c>
      <c r="H62" s="228">
        <f>23.501+9.533</f>
        <v>33.033999999999999</v>
      </c>
      <c r="I62" s="228">
        <f>21.453+7.561</f>
        <v>29.013999999999999</v>
      </c>
      <c r="J62" s="228">
        <f>22.348+5.284</f>
        <v>27.631999999999998</v>
      </c>
      <c r="K62" s="228">
        <f>22.523+3.999</f>
        <v>26.521999999999998</v>
      </c>
      <c r="L62" s="228">
        <f>21.872+0.493</f>
        <v>22.364999999999998</v>
      </c>
      <c r="M62" s="228">
        <f>20.693+0.177</f>
        <v>20.87</v>
      </c>
      <c r="N62" s="228">
        <v>19.042000000000002</v>
      </c>
      <c r="O62" s="228">
        <f>23+0.7</f>
        <v>23.7</v>
      </c>
      <c r="P62" s="228">
        <v>19.587</v>
      </c>
      <c r="Q62" s="228">
        <f>17.662+0.123</f>
        <v>17.785</v>
      </c>
      <c r="R62" s="228">
        <v>19.02</v>
      </c>
      <c r="S62" s="228">
        <f>17.076+0.01</f>
        <v>17.086000000000002</v>
      </c>
      <c r="T62" s="228">
        <v>19.02</v>
      </c>
      <c r="U62" s="228">
        <f>17.664</f>
        <v>17.664000000000001</v>
      </c>
      <c r="V62" s="228">
        <v>19</v>
      </c>
      <c r="W62" s="228">
        <v>15.958</v>
      </c>
      <c r="X62" s="228">
        <v>17.5</v>
      </c>
      <c r="Y62" s="228">
        <v>13.772</v>
      </c>
      <c r="Z62" s="228">
        <v>15</v>
      </c>
      <c r="AA62" s="228">
        <v>11.048999999999999</v>
      </c>
      <c r="AB62" s="228">
        <v>12</v>
      </c>
      <c r="AC62" s="228">
        <v>8.7270000000000003</v>
      </c>
    </row>
    <row r="63" spans="1:29" s="160" customFormat="1" ht="7.5" customHeight="1">
      <c r="D63" s="159"/>
      <c r="E63" s="159"/>
      <c r="F63" s="159"/>
      <c r="G63" s="159"/>
      <c r="H63" s="159"/>
      <c r="I63" s="159"/>
      <c r="J63" s="159"/>
      <c r="L63" s="159"/>
    </row>
    <row r="64" spans="1:29" s="160" customFormat="1" ht="14.25">
      <c r="A64" s="180" t="s">
        <v>151</v>
      </c>
      <c r="B64" s="180" t="s">
        <v>307</v>
      </c>
      <c r="C64" s="180" t="s">
        <v>307</v>
      </c>
      <c r="D64" s="181">
        <v>1126.4289296018255</v>
      </c>
      <c r="E64" s="181">
        <v>1163.7827663641053</v>
      </c>
      <c r="F64" s="181">
        <v>1186.5293634586455</v>
      </c>
      <c r="G64" s="181">
        <v>6785.0230000000001</v>
      </c>
      <c r="H64" s="181">
        <v>551.197</v>
      </c>
      <c r="I64" s="181">
        <v>533.87199999999996</v>
      </c>
      <c r="J64" s="181">
        <v>494.77699999999999</v>
      </c>
      <c r="K64" s="181">
        <v>550.71500000000003</v>
      </c>
      <c r="L64" s="181">
        <v>570.976</v>
      </c>
      <c r="M64" s="181">
        <v>574.68899999999996</v>
      </c>
      <c r="N64" s="181">
        <v>600.84799999999996</v>
      </c>
      <c r="O64" s="181">
        <v>576.51700000000005</v>
      </c>
      <c r="P64" s="181">
        <v>655.21100000000001</v>
      </c>
      <c r="Q64" s="181">
        <v>643.59699999999998</v>
      </c>
      <c r="R64" s="181">
        <v>584.91200000000003</v>
      </c>
      <c r="S64" s="181">
        <v>626.34299999999996</v>
      </c>
      <c r="T64" s="181">
        <v>582.83100000000002</v>
      </c>
      <c r="U64" s="181">
        <v>117.011</v>
      </c>
      <c r="V64" s="181">
        <v>86.385000000000005</v>
      </c>
      <c r="W64" s="181">
        <v>46.902999999999999</v>
      </c>
      <c r="X64" s="181">
        <v>107.928</v>
      </c>
      <c r="Y64" s="181">
        <v>41.137</v>
      </c>
      <c r="Z64" s="181">
        <v>82.716999999999999</v>
      </c>
      <c r="AA64" s="181">
        <v>25.297000000000001</v>
      </c>
      <c r="AB64" s="181">
        <v>68.688999999999993</v>
      </c>
      <c r="AC64" s="181">
        <v>31.18</v>
      </c>
    </row>
    <row r="65" spans="1:29" s="160" customFormat="1" ht="14.25">
      <c r="A65" s="160" t="s">
        <v>208</v>
      </c>
      <c r="D65" s="159"/>
      <c r="E65" s="159"/>
      <c r="F65" s="159"/>
      <c r="G65" s="159"/>
      <c r="H65" s="159"/>
      <c r="I65" s="159"/>
      <c r="J65" s="159"/>
      <c r="L65" s="159"/>
    </row>
    <row r="66" spans="1:29" s="160" customFormat="1" ht="15.75">
      <c r="A66" s="160" t="s">
        <v>435</v>
      </c>
      <c r="B66" s="160" t="s">
        <v>308</v>
      </c>
      <c r="C66" s="160" t="s">
        <v>309</v>
      </c>
      <c r="D66" s="159">
        <v>508.41914783834653</v>
      </c>
      <c r="E66" s="159">
        <v>529.42159691285792</v>
      </c>
      <c r="F66" s="159">
        <v>533.99998546543316</v>
      </c>
      <c r="G66" s="159">
        <v>6164.3278126203641</v>
      </c>
      <c r="H66" s="159">
        <v>544.17418224893345</v>
      </c>
      <c r="I66" s="159">
        <v>529.85763391786509</v>
      </c>
      <c r="J66" s="159">
        <v>492</v>
      </c>
      <c r="K66" s="159">
        <v>542</v>
      </c>
      <c r="L66" s="159">
        <v>125</v>
      </c>
      <c r="M66" s="159">
        <v>29.129000000000001</v>
      </c>
      <c r="N66" s="159">
        <v>37.965000000000003</v>
      </c>
      <c r="O66" s="205">
        <v>10.504</v>
      </c>
      <c r="P66" s="205">
        <v>86.954999999999998</v>
      </c>
      <c r="Q66" s="205">
        <v>76.820999999999998</v>
      </c>
      <c r="R66" s="205">
        <v>4.3689999999999998</v>
      </c>
      <c r="S66" s="205">
        <v>47.145000000000003</v>
      </c>
      <c r="T66" s="205">
        <v>4.3689999999999998</v>
      </c>
      <c r="U66" s="205">
        <v>71.941000000000003</v>
      </c>
      <c r="V66" s="205">
        <v>71.363</v>
      </c>
      <c r="W66" s="205">
        <v>31.02</v>
      </c>
      <c r="X66" s="205">
        <v>93.363</v>
      </c>
      <c r="Y66" s="205">
        <v>26.571000000000002</v>
      </c>
      <c r="Z66" s="205">
        <v>68.313000000000002</v>
      </c>
      <c r="AA66" s="205">
        <v>18.440000000000001</v>
      </c>
      <c r="AB66" s="205">
        <v>54.284999999999997</v>
      </c>
      <c r="AC66" s="205">
        <v>24.795000000000002</v>
      </c>
    </row>
    <row r="67" spans="1:29" s="160" customFormat="1" ht="15.75">
      <c r="A67" s="227" t="s">
        <v>436</v>
      </c>
      <c r="B67" s="163" t="s">
        <v>310</v>
      </c>
      <c r="C67" s="163" t="s">
        <v>311</v>
      </c>
      <c r="D67" s="201" t="s">
        <v>73</v>
      </c>
      <c r="E67" s="201" t="s">
        <v>73</v>
      </c>
      <c r="F67" s="210" t="s">
        <v>73</v>
      </c>
      <c r="G67" s="210" t="s">
        <v>73</v>
      </c>
      <c r="H67" s="204" t="s">
        <v>73</v>
      </c>
      <c r="I67" s="204" t="s">
        <v>73</v>
      </c>
      <c r="J67" s="204" t="s">
        <v>73</v>
      </c>
      <c r="K67" s="204" t="s">
        <v>73</v>
      </c>
      <c r="L67" s="201">
        <v>435.746422</v>
      </c>
      <c r="M67" s="201">
        <v>542.25400000000002</v>
      </c>
      <c r="N67" s="201">
        <v>556.18299999999999</v>
      </c>
      <c r="O67" s="216">
        <v>562.13699999999994</v>
      </c>
      <c r="P67" s="216">
        <v>562.13699999999994</v>
      </c>
      <c r="Q67" s="235">
        <v>562.63300000000004</v>
      </c>
      <c r="R67" s="235">
        <v>576.20899999999995</v>
      </c>
      <c r="S67" s="235">
        <v>576.20899999999995</v>
      </c>
      <c r="T67" s="235">
        <v>574.32799999999997</v>
      </c>
      <c r="U67" s="235">
        <v>29.329000000000001</v>
      </c>
      <c r="V67" s="235">
        <v>0.61699999999999999</v>
      </c>
      <c r="W67" s="235">
        <v>0.61699999999999999</v>
      </c>
      <c r="X67" s="235">
        <v>0.16</v>
      </c>
      <c r="Y67" s="235">
        <v>0.16</v>
      </c>
      <c r="Z67" s="235">
        <v>0</v>
      </c>
      <c r="AA67" s="235">
        <v>0</v>
      </c>
      <c r="AB67" s="235">
        <v>0</v>
      </c>
      <c r="AC67" s="235">
        <v>0</v>
      </c>
    </row>
    <row r="68" spans="1:29" s="160" customFormat="1" ht="14.25" hidden="1" outlineLevel="1">
      <c r="A68" s="160" t="s">
        <v>312</v>
      </c>
      <c r="B68" s="160" t="s">
        <v>313</v>
      </c>
      <c r="C68" s="160" t="s">
        <v>314</v>
      </c>
      <c r="D68" s="159">
        <v>403.62492096829283</v>
      </c>
      <c r="E68" s="159">
        <v>451.9523556899195</v>
      </c>
      <c r="F68" s="159">
        <v>446.21120179065861</v>
      </c>
      <c r="G68" s="159">
        <v>617.79176326097536</v>
      </c>
      <c r="H68" s="206" t="s">
        <v>73</v>
      </c>
      <c r="I68" s="206" t="s">
        <v>73</v>
      </c>
      <c r="J68" s="206">
        <v>0.21099999999999999</v>
      </c>
      <c r="K68" s="159">
        <v>4.9610000000000003</v>
      </c>
      <c r="L68" s="159">
        <v>2.3940000000000001</v>
      </c>
      <c r="M68" s="205">
        <v>0.51800000000000002</v>
      </c>
      <c r="N68" s="205">
        <v>3.5999999999999997E-2</v>
      </c>
      <c r="O68" s="205">
        <v>0.502</v>
      </c>
      <c r="P68" s="205">
        <v>0.27400000000000002</v>
      </c>
      <c r="Q68" s="205">
        <v>0.14199999999999999</v>
      </c>
      <c r="R68" s="205">
        <v>3.2000000000000001E-2</v>
      </c>
      <c r="S68" s="205">
        <v>0</v>
      </c>
      <c r="T68" s="205">
        <v>3.2000000000000001E-2</v>
      </c>
      <c r="U68" s="205">
        <v>0</v>
      </c>
      <c r="V68" s="205">
        <v>4.0000000000000001E-3</v>
      </c>
      <c r="W68" s="205">
        <v>0</v>
      </c>
      <c r="X68" s="205">
        <v>4.0000000000000001E-3</v>
      </c>
      <c r="Y68" s="205">
        <v>0</v>
      </c>
      <c r="Z68" s="205">
        <v>4.0000000000000001E-3</v>
      </c>
      <c r="AA68" s="205"/>
      <c r="AB68" s="205">
        <v>0</v>
      </c>
      <c r="AC68" s="205"/>
    </row>
    <row r="69" spans="1:29" s="160" customFormat="1" ht="7.5" customHeight="1" collapsed="1">
      <c r="A69" s="229"/>
      <c r="B69" s="229"/>
      <c r="C69" s="229"/>
      <c r="D69" s="230"/>
      <c r="E69" s="230"/>
      <c r="F69" s="230"/>
      <c r="G69" s="230"/>
      <c r="H69" s="230"/>
      <c r="I69" s="230"/>
      <c r="J69" s="230"/>
      <c r="K69" s="229"/>
      <c r="L69" s="230"/>
      <c r="M69" s="229"/>
      <c r="N69" s="229"/>
      <c r="O69" s="229"/>
      <c r="P69" s="229"/>
      <c r="Q69" s="229"/>
      <c r="R69" s="229"/>
      <c r="S69" s="229"/>
      <c r="T69" s="229"/>
      <c r="U69" s="229"/>
      <c r="V69" s="229"/>
      <c r="W69" s="229"/>
      <c r="X69" s="229"/>
      <c r="Y69" s="229"/>
      <c r="Z69" s="229"/>
      <c r="AA69" s="229"/>
      <c r="AB69" s="229"/>
      <c r="AC69" s="229"/>
    </row>
    <row r="70" spans="1:29" s="160" customFormat="1" ht="14.25">
      <c r="A70" s="180" t="s">
        <v>315</v>
      </c>
      <c r="B70" s="180" t="s">
        <v>316</v>
      </c>
      <c r="C70" s="180" t="s">
        <v>316</v>
      </c>
      <c r="D70" s="181">
        <v>7026.8090085245231</v>
      </c>
      <c r="E70" s="181">
        <v>7243.4467271789126</v>
      </c>
      <c r="F70" s="181">
        <v>6439.2491442773771</v>
      </c>
      <c r="G70" s="181">
        <v>5948.4960000000001</v>
      </c>
      <c r="H70" s="181">
        <v>6367.143</v>
      </c>
      <c r="I70" s="181">
        <v>5816.5860000000002</v>
      </c>
      <c r="J70" s="181">
        <v>6006.13</v>
      </c>
      <c r="K70" s="181">
        <v>6807.607</v>
      </c>
      <c r="L70" s="181">
        <v>6155.4219999999996</v>
      </c>
      <c r="M70" s="181">
        <v>6004.567</v>
      </c>
      <c r="N70" s="181">
        <v>7550.4939999999997</v>
      </c>
      <c r="O70" s="181">
        <v>6125.7250000000004</v>
      </c>
      <c r="P70" s="181">
        <v>5732.3069999999998</v>
      </c>
      <c r="Q70" s="181">
        <v>6049.1239999999998</v>
      </c>
      <c r="R70" s="181">
        <v>6299.7049999999999</v>
      </c>
      <c r="S70" s="181">
        <v>6292.558</v>
      </c>
      <c r="T70" s="181">
        <v>6501.5010000000002</v>
      </c>
      <c r="U70" s="181">
        <v>6405.94</v>
      </c>
      <c r="V70" s="181">
        <v>5385.2520000000004</v>
      </c>
      <c r="W70" s="181">
        <v>5280.1490000000003</v>
      </c>
      <c r="X70" s="181">
        <v>5555.616</v>
      </c>
      <c r="Y70" s="181">
        <v>5304.6139999999996</v>
      </c>
      <c r="Z70" s="181">
        <v>5895.0889999999999</v>
      </c>
      <c r="AA70" s="181">
        <v>5933.098</v>
      </c>
      <c r="AB70" s="181">
        <v>6385.7259999999997</v>
      </c>
      <c r="AC70" s="181">
        <v>6216.5969999999998</v>
      </c>
    </row>
    <row r="71" spans="1:29" s="160" customFormat="1" ht="14.25">
      <c r="A71" s="160" t="s">
        <v>208</v>
      </c>
      <c r="D71" s="159"/>
      <c r="E71" s="159"/>
      <c r="F71" s="159"/>
      <c r="G71" s="159"/>
      <c r="H71" s="159"/>
      <c r="I71" s="159"/>
      <c r="J71" s="159"/>
      <c r="L71" s="159"/>
    </row>
    <row r="72" spans="1:29" s="160" customFormat="1" ht="16.5" customHeight="1">
      <c r="A72" s="200" t="s">
        <v>317</v>
      </c>
      <c r="B72" s="200" t="s">
        <v>318</v>
      </c>
      <c r="C72" s="200" t="s">
        <v>319</v>
      </c>
      <c r="D72" s="159" t="s">
        <v>73</v>
      </c>
      <c r="E72" s="203" t="s">
        <v>73</v>
      </c>
      <c r="F72" s="159">
        <v>559.21745892168042</v>
      </c>
      <c r="G72" s="159">
        <v>827.81625400608993</v>
      </c>
      <c r="H72" s="159">
        <v>836.31897560372954</v>
      </c>
      <c r="I72" s="159">
        <v>848.471</v>
      </c>
      <c r="J72" s="159">
        <v>872.25599999999997</v>
      </c>
      <c r="K72" s="159">
        <v>921.54499999999996</v>
      </c>
      <c r="L72" s="159">
        <v>1002.878</v>
      </c>
      <c r="M72" s="159">
        <v>1092.982</v>
      </c>
      <c r="N72" s="159">
        <v>1159.1410000000001</v>
      </c>
      <c r="O72" s="159">
        <v>1192.5429999999999</v>
      </c>
      <c r="P72" s="159">
        <v>1160.329</v>
      </c>
      <c r="Q72" s="159">
        <v>1166.854</v>
      </c>
      <c r="R72" s="159">
        <v>1172.268</v>
      </c>
      <c r="S72" s="159">
        <v>1166.895</v>
      </c>
      <c r="T72" s="159">
        <v>1180.8800000000001</v>
      </c>
      <c r="U72" s="159">
        <v>1176.0989999999999</v>
      </c>
      <c r="V72" s="159">
        <v>1201.5039999999999</v>
      </c>
      <c r="W72" s="159">
        <v>1189.5909999999999</v>
      </c>
      <c r="X72" s="159">
        <v>1193.1759999999999</v>
      </c>
      <c r="Y72" s="159">
        <v>1198.787</v>
      </c>
      <c r="Z72" s="159">
        <v>1216.0260000000001</v>
      </c>
      <c r="AA72" s="159">
        <v>1192.5920000000001</v>
      </c>
      <c r="AB72" s="159">
        <v>1277.5619999999999</v>
      </c>
      <c r="AC72" s="159">
        <v>1267.2429999999999</v>
      </c>
    </row>
    <row r="73" spans="1:29" s="160" customFormat="1" ht="28.5">
      <c r="A73" s="200" t="s">
        <v>320</v>
      </c>
      <c r="B73" s="200" t="s">
        <v>321</v>
      </c>
      <c r="C73" s="200" t="s">
        <v>322</v>
      </c>
      <c r="D73" s="159" t="s">
        <v>73</v>
      </c>
      <c r="E73" s="203" t="s">
        <v>73</v>
      </c>
      <c r="F73" s="159">
        <v>76.306475876252691</v>
      </c>
      <c r="G73" s="159">
        <v>101.74196783500359</v>
      </c>
      <c r="H73" s="159">
        <v>101.74196783500359</v>
      </c>
      <c r="I73" s="159">
        <v>101.74196783500359</v>
      </c>
      <c r="J73" s="159">
        <v>127.17700000000001</v>
      </c>
      <c r="K73" s="159">
        <v>100.50652965414997</v>
      </c>
      <c r="L73" s="159">
        <v>39.156999999999996</v>
      </c>
      <c r="M73" s="205">
        <v>41.5</v>
      </c>
      <c r="N73" s="205">
        <v>39.75</v>
      </c>
      <c r="O73" s="205">
        <v>53.499000000000002</v>
      </c>
      <c r="P73" s="205">
        <v>47.241999999999997</v>
      </c>
      <c r="Q73" s="205">
        <v>39.859000000000002</v>
      </c>
      <c r="R73" s="205">
        <v>45.686999999999998</v>
      </c>
      <c r="S73" s="205">
        <v>45.613999999999997</v>
      </c>
      <c r="T73" s="205">
        <v>45.686999999999998</v>
      </c>
      <c r="U73" s="205">
        <v>43.484000000000002</v>
      </c>
      <c r="V73" s="205">
        <v>46</v>
      </c>
      <c r="W73" s="205">
        <v>42.811</v>
      </c>
      <c r="X73" s="205">
        <v>47</v>
      </c>
      <c r="Y73" s="205">
        <v>42.298999999999999</v>
      </c>
      <c r="Z73" s="205">
        <v>44</v>
      </c>
      <c r="AA73" s="205">
        <v>34.393999999999998</v>
      </c>
      <c r="AB73" s="205">
        <v>46.44</v>
      </c>
      <c r="AC73" s="205">
        <v>26.523</v>
      </c>
    </row>
    <row r="74" spans="1:29" s="160" customFormat="1" ht="15.75">
      <c r="A74" s="160" t="s">
        <v>437</v>
      </c>
      <c r="B74" s="160" t="s">
        <v>323</v>
      </c>
      <c r="C74" s="160" t="s">
        <v>324</v>
      </c>
      <c r="D74" s="159" t="s">
        <v>73</v>
      </c>
      <c r="E74" s="203" t="s">
        <v>73</v>
      </c>
      <c r="F74" s="159">
        <v>860.95506638663392</v>
      </c>
      <c r="G74" s="159">
        <v>1288.7073682986561</v>
      </c>
      <c r="H74" s="159">
        <v>1260.5829814756944</v>
      </c>
      <c r="I74" s="159">
        <v>1262.6178208323945</v>
      </c>
      <c r="J74" s="159">
        <v>1224.634</v>
      </c>
      <c r="K74" s="159">
        <v>1155.5550000000001</v>
      </c>
      <c r="L74" s="159">
        <v>1073.0940000000001</v>
      </c>
      <c r="M74" s="159">
        <v>961.495</v>
      </c>
      <c r="N74" s="159">
        <v>840.82600000000002</v>
      </c>
      <c r="O74" s="205">
        <v>887.66099999999994</v>
      </c>
      <c r="P74" s="205">
        <v>822.97500000000002</v>
      </c>
      <c r="Q74" s="205">
        <v>843.26599999999996</v>
      </c>
      <c r="R74" s="205">
        <v>844.32</v>
      </c>
      <c r="S74" s="205">
        <v>859.298</v>
      </c>
      <c r="T74" s="205">
        <v>833.33600000000001</v>
      </c>
      <c r="U74" s="205">
        <v>891.23699999999997</v>
      </c>
      <c r="V74" s="205">
        <v>0</v>
      </c>
      <c r="W74" s="205">
        <v>0</v>
      </c>
      <c r="X74" s="205">
        <v>0</v>
      </c>
      <c r="Y74" s="205">
        <v>0</v>
      </c>
      <c r="Z74" s="205">
        <v>0</v>
      </c>
      <c r="AA74" s="205">
        <v>0</v>
      </c>
      <c r="AB74" s="205">
        <v>0</v>
      </c>
      <c r="AC74" s="205">
        <v>0</v>
      </c>
    </row>
    <row r="75" spans="1:29" s="160" customFormat="1" ht="14.25" hidden="1" outlineLevel="1">
      <c r="A75" s="217" t="s">
        <v>325</v>
      </c>
      <c r="B75" s="217"/>
      <c r="C75" s="217"/>
      <c r="D75" s="159">
        <v>3740.6887931222427</v>
      </c>
      <c r="E75" s="159">
        <v>3853.1863404140895</v>
      </c>
      <c r="F75" s="159">
        <v>1552.5824291621548</v>
      </c>
      <c r="G75" s="203" t="s">
        <v>73</v>
      </c>
      <c r="H75" s="206" t="s">
        <v>73</v>
      </c>
      <c r="I75" s="206" t="s">
        <v>73</v>
      </c>
      <c r="J75" s="206" t="s">
        <v>73</v>
      </c>
      <c r="K75" s="206" t="s">
        <v>73</v>
      </c>
      <c r="L75" s="206" t="s">
        <v>73</v>
      </c>
      <c r="M75" s="206" t="s">
        <v>73</v>
      </c>
      <c r="N75" s="206" t="s">
        <v>73</v>
      </c>
      <c r="O75" s="206" t="s">
        <v>73</v>
      </c>
      <c r="P75" s="206" t="s">
        <v>73</v>
      </c>
      <c r="Q75" s="206" t="s">
        <v>73</v>
      </c>
      <c r="R75" s="206" t="s">
        <v>73</v>
      </c>
      <c r="S75" s="206" t="s">
        <v>73</v>
      </c>
      <c r="T75" s="206" t="s">
        <v>73</v>
      </c>
      <c r="U75" s="206" t="s">
        <v>73</v>
      </c>
      <c r="V75" s="206" t="s">
        <v>73</v>
      </c>
      <c r="W75" s="206" t="s">
        <v>73</v>
      </c>
      <c r="X75" s="206" t="s">
        <v>73</v>
      </c>
      <c r="Y75" s="206" t="s">
        <v>73</v>
      </c>
      <c r="Z75" s="206" t="s">
        <v>73</v>
      </c>
      <c r="AA75" s="206"/>
      <c r="AB75" s="206" t="s">
        <v>73</v>
      </c>
      <c r="AC75" s="206"/>
    </row>
    <row r="76" spans="1:29" s="160" customFormat="1" ht="28.5" collapsed="1">
      <c r="A76" s="200" t="s">
        <v>326</v>
      </c>
      <c r="B76" s="200" t="s">
        <v>327</v>
      </c>
      <c r="C76" s="200" t="s">
        <v>328</v>
      </c>
      <c r="D76" s="159">
        <v>1429.0386110767934</v>
      </c>
      <c r="E76" s="159">
        <v>1499.2405688829458</v>
      </c>
      <c r="F76" s="159">
        <v>1566.3902676540481</v>
      </c>
      <c r="G76" s="159">
        <v>1605.0522154313494</v>
      </c>
      <c r="H76" s="159">
        <v>1637.6823179727185</v>
      </c>
      <c r="I76" s="159">
        <v>1667.2601614790374</v>
      </c>
      <c r="J76" s="159">
        <v>1694.569</v>
      </c>
      <c r="K76" s="159">
        <v>1727.694</v>
      </c>
      <c r="L76" s="159">
        <v>1746.4590000000001</v>
      </c>
      <c r="M76" s="159">
        <v>1767.0989999999999</v>
      </c>
      <c r="N76" s="159">
        <v>1741.742</v>
      </c>
      <c r="O76" s="159">
        <v>1819.8520000000001</v>
      </c>
      <c r="P76" s="159">
        <v>1761.61</v>
      </c>
      <c r="Q76" s="159">
        <v>1853.491</v>
      </c>
      <c r="R76" s="159">
        <v>1913.894</v>
      </c>
      <c r="S76" s="159">
        <v>1910.8989999999999</v>
      </c>
      <c r="T76" s="159">
        <v>1977.423</v>
      </c>
      <c r="U76" s="159">
        <v>1984.549</v>
      </c>
      <c r="V76" s="159">
        <v>2102.1170000000002</v>
      </c>
      <c r="W76" s="159">
        <v>2054.444</v>
      </c>
      <c r="X76" s="159">
        <v>2148.9299999999998</v>
      </c>
      <c r="Y76" s="159">
        <v>2068.3760000000002</v>
      </c>
      <c r="Z76" s="159">
        <v>2141.0819999999999</v>
      </c>
      <c r="AA76" s="159">
        <v>2088.9229999999998</v>
      </c>
      <c r="AB76" s="159">
        <v>2329.9369999999999</v>
      </c>
      <c r="AC76" s="159">
        <v>2238.3220000000001</v>
      </c>
    </row>
    <row r="77" spans="1:29" s="160" customFormat="1" ht="28.5">
      <c r="A77" s="200" t="s">
        <v>329</v>
      </c>
      <c r="B77" s="200" t="s">
        <v>330</v>
      </c>
      <c r="C77" s="200" t="s">
        <v>331</v>
      </c>
      <c r="D77" s="159">
        <v>1412.105840715682</v>
      </c>
      <c r="E77" s="159">
        <v>1392.9928853295348</v>
      </c>
      <c r="F77" s="159">
        <v>1417.623</v>
      </c>
      <c r="G77" s="159">
        <v>1476.9970000000001</v>
      </c>
      <c r="H77" s="159">
        <v>1537.316</v>
      </c>
      <c r="I77" s="159">
        <v>1361.4469999999999</v>
      </c>
      <c r="J77" s="159">
        <v>1342.8810000000001</v>
      </c>
      <c r="K77" s="159">
        <v>1948.9649999999999</v>
      </c>
      <c r="L77" s="159">
        <v>1828.249</v>
      </c>
      <c r="M77" s="159">
        <v>1635.211</v>
      </c>
      <c r="N77" s="159">
        <f>1005.2+821.379</f>
        <v>1826.5790000000002</v>
      </c>
      <c r="O77" s="159">
        <f>1011.471+621.872</f>
        <v>1633.3429999999998</v>
      </c>
      <c r="P77" s="159">
        <f>895.627+517.268</f>
        <v>1412.895</v>
      </c>
      <c r="Q77" s="159">
        <f>985.165+620.597</f>
        <v>1605.7619999999999</v>
      </c>
      <c r="R77" s="159">
        <v>1688.4359999999999</v>
      </c>
      <c r="S77" s="159">
        <f>1147.055+605.597</f>
        <v>1752.652</v>
      </c>
      <c r="T77" s="159">
        <v>1758.9159999999999</v>
      </c>
      <c r="U77" s="159">
        <f>1254.294+663.577</f>
        <v>1917.8710000000001</v>
      </c>
      <c r="V77" s="159">
        <f>938.775+715.301</f>
        <v>1654.076</v>
      </c>
      <c r="W77" s="159">
        <f>900.307+726.161</f>
        <v>1626.4679999999998</v>
      </c>
      <c r="X77" s="159">
        <f>1060.85+715.301</f>
        <v>1776.1509999999998</v>
      </c>
      <c r="Y77" s="159">
        <f>1053.897+562.259</f>
        <v>1616.1559999999999</v>
      </c>
      <c r="Z77" s="159">
        <f>1482.19+632.301</f>
        <v>2114.491</v>
      </c>
      <c r="AA77" s="159">
        <v>2276.8910000000001</v>
      </c>
      <c r="AB77" s="159">
        <v>2326.7150000000001</v>
      </c>
      <c r="AC77" s="159">
        <v>2318.2440000000001</v>
      </c>
    </row>
    <row r="78" spans="1:29" s="160" customFormat="1" ht="14.25">
      <c r="A78" s="160" t="s">
        <v>332</v>
      </c>
      <c r="B78" s="160" t="s">
        <v>333</v>
      </c>
      <c r="C78" s="160" t="s">
        <v>334</v>
      </c>
      <c r="D78" s="159">
        <v>109.00925125178956</v>
      </c>
      <c r="E78" s="159">
        <v>109.00925125178956</v>
      </c>
      <c r="F78" s="159">
        <v>109.00925125178956</v>
      </c>
      <c r="G78" s="159">
        <v>109.00925125178956</v>
      </c>
      <c r="H78" s="159">
        <v>109.00925125178956</v>
      </c>
      <c r="I78" s="159">
        <v>109.00925125178956</v>
      </c>
      <c r="J78" s="159">
        <v>109.009</v>
      </c>
      <c r="K78" s="159">
        <v>109.00925125178956</v>
      </c>
      <c r="L78" s="159">
        <v>109.01</v>
      </c>
      <c r="M78" s="159">
        <v>109.01</v>
      </c>
      <c r="N78" s="159">
        <v>109.01</v>
      </c>
      <c r="O78" s="159">
        <v>109.01</v>
      </c>
      <c r="P78" s="159">
        <v>109.01</v>
      </c>
      <c r="Q78" s="159">
        <v>109.01</v>
      </c>
      <c r="R78" s="159">
        <v>109.01</v>
      </c>
      <c r="S78" s="159">
        <v>109.01</v>
      </c>
      <c r="T78" s="159">
        <v>109.01</v>
      </c>
      <c r="U78" s="159">
        <v>109.01</v>
      </c>
      <c r="V78" s="159">
        <v>87.5</v>
      </c>
      <c r="W78" s="159">
        <v>87.5</v>
      </c>
      <c r="X78" s="159">
        <v>87.5</v>
      </c>
      <c r="Y78" s="159">
        <v>87.5</v>
      </c>
      <c r="Z78" s="159">
        <v>80</v>
      </c>
      <c r="AA78" s="159">
        <v>80</v>
      </c>
      <c r="AB78" s="159">
        <v>80</v>
      </c>
      <c r="AC78" s="159">
        <v>80</v>
      </c>
    </row>
    <row r="79" spans="1:29" s="160" customFormat="1" ht="14.25">
      <c r="A79" s="227" t="s">
        <v>335</v>
      </c>
      <c r="B79" s="227" t="s">
        <v>336</v>
      </c>
      <c r="C79" s="240" t="s">
        <v>337</v>
      </c>
      <c r="D79" s="228">
        <v>98.035653292442746</v>
      </c>
      <c r="E79" s="231">
        <v>128.41289797460811</v>
      </c>
      <c r="F79" s="231">
        <v>130.01170032630102</v>
      </c>
      <c r="G79" s="241">
        <v>151.01414940081247</v>
      </c>
      <c r="H79" s="241">
        <v>146.58110651657304</v>
      </c>
      <c r="I79" s="241">
        <v>154.47399999999999</v>
      </c>
      <c r="J79" s="241">
        <v>155.398</v>
      </c>
      <c r="K79" s="242">
        <v>177.98699999999999</v>
      </c>
      <c r="L79" s="242">
        <v>187.142</v>
      </c>
      <c r="M79" s="242">
        <v>196.33600000000001</v>
      </c>
      <c r="N79" s="242">
        <v>208.333</v>
      </c>
      <c r="O79" s="242">
        <v>218.006</v>
      </c>
      <c r="P79" s="242">
        <v>215.79</v>
      </c>
      <c r="Q79" s="228">
        <v>224.19200000000001</v>
      </c>
      <c r="R79" s="228">
        <v>235.85499999999999</v>
      </c>
      <c r="S79" s="228">
        <v>239.52099999999999</v>
      </c>
      <c r="T79" s="228">
        <v>246.684</v>
      </c>
      <c r="U79" s="228">
        <v>74.524000000000001</v>
      </c>
      <c r="V79" s="228">
        <v>73.224000000000004</v>
      </c>
      <c r="W79" s="228">
        <v>72.424000000000007</v>
      </c>
      <c r="X79" s="228">
        <v>72.168000000000006</v>
      </c>
      <c r="Y79" s="241">
        <v>72.721999999999994</v>
      </c>
      <c r="Z79" s="241">
        <v>74.902000000000001</v>
      </c>
      <c r="AA79" s="241">
        <v>75.230999999999995</v>
      </c>
      <c r="AB79" s="241">
        <v>77.138000000000005</v>
      </c>
      <c r="AC79" s="241">
        <v>77.150000000000006</v>
      </c>
    </row>
    <row r="80" spans="1:29" s="160" customFormat="1" ht="7.5" customHeight="1">
      <c r="D80" s="159"/>
      <c r="E80" s="159"/>
      <c r="F80" s="159"/>
      <c r="G80" s="159"/>
      <c r="H80" s="159"/>
      <c r="I80" s="159"/>
      <c r="J80" s="159"/>
      <c r="L80" s="159"/>
    </row>
    <row r="81" spans="1:29" s="160" customFormat="1" ht="14.25">
      <c r="A81" s="180" t="s">
        <v>338</v>
      </c>
      <c r="B81" s="180" t="s">
        <v>339</v>
      </c>
      <c r="C81" s="180" t="s">
        <v>339</v>
      </c>
      <c r="D81" s="181">
        <v>1487.3948969135847</v>
      </c>
      <c r="E81" s="181">
        <v>2415.7176805738245</v>
      </c>
      <c r="F81" s="181">
        <v>2128.1512757716037</v>
      </c>
      <c r="G81" s="181">
        <v>1798.481</v>
      </c>
      <c r="H81" s="181">
        <v>1693.1220000000001</v>
      </c>
      <c r="I81" s="181">
        <v>1602.7059999999999</v>
      </c>
      <c r="J81" s="181">
        <v>1770.7380000000001</v>
      </c>
      <c r="K81" s="181">
        <v>1728.53</v>
      </c>
      <c r="L81" s="181">
        <v>1797.7349999999999</v>
      </c>
      <c r="M81" s="181">
        <v>1834.7750000000001</v>
      </c>
      <c r="N81" s="181">
        <v>1875.454</v>
      </c>
      <c r="O81" s="181">
        <v>1874.124</v>
      </c>
      <c r="P81" s="181">
        <v>2093.0590000000002</v>
      </c>
      <c r="Q81" s="181">
        <v>2107.547</v>
      </c>
      <c r="R81" s="181">
        <v>2043.5920000000001</v>
      </c>
      <c r="S81" s="181">
        <v>1817.8579999999999</v>
      </c>
      <c r="T81" s="181">
        <v>2041.4069999999999</v>
      </c>
      <c r="U81" s="181">
        <v>1938.539</v>
      </c>
      <c r="V81" s="181">
        <v>1987.204</v>
      </c>
      <c r="W81" s="181">
        <v>2012.519</v>
      </c>
      <c r="X81" s="181">
        <v>1973.7529999999999</v>
      </c>
      <c r="Y81" s="181">
        <v>1937.2360000000001</v>
      </c>
      <c r="Z81" s="181">
        <v>1900.2070000000001</v>
      </c>
      <c r="AA81" s="181">
        <v>1775.64</v>
      </c>
      <c r="AB81" s="181">
        <v>1877.23</v>
      </c>
      <c r="AC81" s="181">
        <v>1843.566</v>
      </c>
    </row>
    <row r="82" spans="1:29" s="160" customFormat="1" ht="14.25">
      <c r="A82" s="160" t="s">
        <v>208</v>
      </c>
      <c r="D82" s="159"/>
      <c r="E82" s="159"/>
      <c r="F82" s="159"/>
      <c r="G82" s="159"/>
      <c r="H82" s="159"/>
      <c r="I82" s="159"/>
      <c r="J82" s="159"/>
      <c r="L82" s="159"/>
    </row>
    <row r="83" spans="1:29" s="160" customFormat="1" ht="14.25">
      <c r="A83" s="160" t="s">
        <v>340</v>
      </c>
      <c r="B83" s="160" t="s">
        <v>341</v>
      </c>
      <c r="C83" s="160" t="s">
        <v>342</v>
      </c>
      <c r="D83" s="159">
        <v>213.22209544850037</v>
      </c>
      <c r="E83" s="159">
        <v>862.64800000000002</v>
      </c>
      <c r="F83" s="159">
        <v>1024.7370000000001</v>
      </c>
      <c r="G83" s="159">
        <v>922.09500000000003</v>
      </c>
      <c r="H83" s="159">
        <v>950.524</v>
      </c>
      <c r="I83" s="159">
        <v>948.45315872473702</v>
      </c>
      <c r="J83" s="159">
        <v>1214.2739999999999</v>
      </c>
      <c r="K83" s="159">
        <v>1269.3879999999999</v>
      </c>
      <c r="L83" s="159">
        <v>1399.154</v>
      </c>
      <c r="M83" s="159">
        <v>1441.0419999999999</v>
      </c>
      <c r="N83" s="159">
        <v>1529.271</v>
      </c>
      <c r="O83" s="159">
        <v>1503.8620000000001</v>
      </c>
      <c r="P83" s="159">
        <v>1731.2080000000001</v>
      </c>
      <c r="Q83" s="159">
        <v>1694.2809999999999</v>
      </c>
      <c r="R83" s="159">
        <v>1696.7550000000001</v>
      </c>
      <c r="S83" s="159">
        <v>1435.057</v>
      </c>
      <c r="T83" s="159">
        <v>1698.376</v>
      </c>
      <c r="U83" s="159">
        <f>1561.165</f>
        <v>1561.165</v>
      </c>
      <c r="V83" s="159">
        <f>1678.233+4.815</f>
        <v>1683.048</v>
      </c>
      <c r="W83" s="159">
        <f>1672.971+5.198</f>
        <v>1678.1690000000001</v>
      </c>
      <c r="X83" s="159">
        <f>1671.657+4.959</f>
        <v>1676.616</v>
      </c>
      <c r="Y83" s="159">
        <f>1611.446+5.3445</f>
        <v>1616.7904999999998</v>
      </c>
      <c r="Z83" s="159">
        <f>1603.837+5.449</f>
        <v>1609.2860000000001</v>
      </c>
      <c r="AA83" s="159">
        <v>1507.097</v>
      </c>
      <c r="AB83" s="159">
        <v>1579.153</v>
      </c>
      <c r="AC83" s="159">
        <v>1565.4379999999999</v>
      </c>
    </row>
    <row r="84" spans="1:29" s="160" customFormat="1" ht="14.25">
      <c r="A84" s="160" t="s">
        <v>343</v>
      </c>
      <c r="B84" s="160" t="s">
        <v>344</v>
      </c>
      <c r="C84" s="160" t="s">
        <v>345</v>
      </c>
      <c r="D84" s="159">
        <v>145.78170534072657</v>
      </c>
      <c r="E84" s="159">
        <v>163.09899999999999</v>
      </c>
      <c r="F84" s="159">
        <v>286.94799999999998</v>
      </c>
      <c r="G84" s="159">
        <v>273.59399999999999</v>
      </c>
      <c r="H84" s="159">
        <v>276.11799999999999</v>
      </c>
      <c r="I84" s="159">
        <v>262.005</v>
      </c>
      <c r="J84" s="159">
        <v>201.40600000000001</v>
      </c>
      <c r="K84" s="159">
        <v>80.671000000000006</v>
      </c>
      <c r="L84" s="159">
        <v>2.3029999999999999</v>
      </c>
      <c r="M84" s="159">
        <v>23.811</v>
      </c>
      <c r="N84" s="159">
        <v>26.648</v>
      </c>
      <c r="O84" s="205">
        <v>34.232999999999997</v>
      </c>
      <c r="P84" s="205">
        <v>32.183</v>
      </c>
      <c r="Q84" s="205">
        <v>37.433</v>
      </c>
      <c r="R84" s="205">
        <v>5.3440000000000003</v>
      </c>
      <c r="S84" s="205">
        <v>23.201000000000001</v>
      </c>
      <c r="T84" s="205">
        <v>3.0310000000000001</v>
      </c>
      <c r="U84" s="205">
        <v>19.997</v>
      </c>
      <c r="V84" s="205">
        <v>1.516</v>
      </c>
      <c r="W84" s="205">
        <v>0.98799999999999999</v>
      </c>
      <c r="X84" s="205">
        <v>1.512</v>
      </c>
      <c r="Y84" s="205">
        <v>1.474</v>
      </c>
      <c r="Z84" s="205">
        <v>1.48</v>
      </c>
      <c r="AA84" s="205">
        <v>-2.2229999999999999</v>
      </c>
      <c r="AB84" s="205">
        <v>1.518</v>
      </c>
      <c r="AC84" s="205">
        <v>0.5</v>
      </c>
    </row>
    <row r="85" spans="1:29" s="160" customFormat="1" ht="14.25">
      <c r="A85" s="227" t="s">
        <v>346</v>
      </c>
      <c r="B85" s="227" t="s">
        <v>347</v>
      </c>
      <c r="C85" s="227" t="s">
        <v>348</v>
      </c>
      <c r="D85" s="228">
        <v>127.54082396459378</v>
      </c>
      <c r="E85" s="228">
        <v>121.65432439699715</v>
      </c>
      <c r="F85" s="228">
        <v>111.77081895016823</v>
      </c>
      <c r="G85" s="228">
        <v>124.63391059787939</v>
      </c>
      <c r="H85" s="228">
        <v>125.72400311039729</v>
      </c>
      <c r="I85" s="228">
        <v>137.71502074809413</v>
      </c>
      <c r="J85" s="228">
        <v>137.35400000000001</v>
      </c>
      <c r="K85" s="228">
        <v>129.38399999999999</v>
      </c>
      <c r="L85" s="228">
        <v>154.33799999999999</v>
      </c>
      <c r="M85" s="228">
        <v>144.45400000000001</v>
      </c>
      <c r="N85" s="228">
        <v>124.26300000000001</v>
      </c>
      <c r="O85" s="228">
        <v>123.241</v>
      </c>
      <c r="P85" s="228">
        <v>145.071</v>
      </c>
      <c r="Q85" s="228">
        <v>187.96199999999999</v>
      </c>
      <c r="R85" s="228">
        <v>162.512</v>
      </c>
      <c r="S85" s="228">
        <v>169.35400000000001</v>
      </c>
      <c r="T85" s="228">
        <v>162.05600000000001</v>
      </c>
      <c r="U85" s="228">
        <v>175.45099999999999</v>
      </c>
      <c r="V85" s="228">
        <v>172.39400000000001</v>
      </c>
      <c r="W85" s="228">
        <v>178.50899999999999</v>
      </c>
      <c r="X85" s="228">
        <v>169.07900000000001</v>
      </c>
      <c r="Y85" s="228">
        <v>173.59100000000001</v>
      </c>
      <c r="Z85" s="228">
        <v>169.65899999999999</v>
      </c>
      <c r="AA85" s="228">
        <v>169.58</v>
      </c>
      <c r="AB85" s="228">
        <v>168.631</v>
      </c>
      <c r="AC85" s="228">
        <v>177.31299999999999</v>
      </c>
    </row>
    <row r="86" spans="1:29" s="160" customFormat="1" ht="14.25" hidden="1" outlineLevel="1">
      <c r="A86" s="217" t="s">
        <v>349</v>
      </c>
      <c r="B86" s="217"/>
      <c r="C86" s="217"/>
      <c r="D86" s="159">
        <v>755.14341983823022</v>
      </c>
      <c r="E86" s="159">
        <v>111.77081895016823</v>
      </c>
      <c r="F86" s="159">
        <v>0.72672834167859712</v>
      </c>
      <c r="G86" s="203" t="s">
        <v>73</v>
      </c>
      <c r="H86" s="159">
        <v>0</v>
      </c>
      <c r="I86" s="206" t="s">
        <v>73</v>
      </c>
      <c r="J86" s="206" t="s">
        <v>73</v>
      </c>
      <c r="K86" s="206" t="s">
        <v>73</v>
      </c>
      <c r="L86" s="206" t="s">
        <v>73</v>
      </c>
      <c r="M86" s="206" t="s">
        <v>73</v>
      </c>
      <c r="N86" s="206" t="s">
        <v>73</v>
      </c>
      <c r="O86" s="206" t="s">
        <v>73</v>
      </c>
      <c r="P86" s="206" t="s">
        <v>73</v>
      </c>
      <c r="Q86" s="206" t="s">
        <v>73</v>
      </c>
      <c r="R86" s="206" t="s">
        <v>73</v>
      </c>
      <c r="S86" s="206"/>
      <c r="T86" s="206" t="s">
        <v>73</v>
      </c>
      <c r="U86" s="206"/>
      <c r="V86" s="206"/>
      <c r="W86" s="206"/>
      <c r="X86" s="206"/>
      <c r="Y86" s="206"/>
      <c r="Z86" s="206"/>
      <c r="AA86" s="206"/>
      <c r="AB86" s="206"/>
      <c r="AC86" s="206"/>
    </row>
    <row r="87" spans="1:29" s="160" customFormat="1" ht="14.25" hidden="1" outlineLevel="1">
      <c r="A87" s="217" t="s">
        <v>350</v>
      </c>
      <c r="B87" s="217"/>
      <c r="C87" s="217"/>
      <c r="D87" s="159">
        <v>143.02013764234792</v>
      </c>
      <c r="E87" s="159">
        <v>136.62492823557625</v>
      </c>
      <c r="F87" s="159">
        <v>134.37207037637259</v>
      </c>
      <c r="G87" s="203" t="s">
        <v>73</v>
      </c>
      <c r="H87" s="206" t="s">
        <v>73</v>
      </c>
      <c r="I87" s="206" t="s">
        <v>73</v>
      </c>
      <c r="J87" s="206" t="s">
        <v>73</v>
      </c>
      <c r="K87" s="206" t="s">
        <v>73</v>
      </c>
      <c r="L87" s="206" t="s">
        <v>73</v>
      </c>
      <c r="M87" s="206" t="s">
        <v>73</v>
      </c>
      <c r="N87" s="206" t="s">
        <v>73</v>
      </c>
      <c r="O87" s="206" t="s">
        <v>73</v>
      </c>
      <c r="P87" s="206" t="s">
        <v>73</v>
      </c>
      <c r="Q87" s="206" t="s">
        <v>73</v>
      </c>
      <c r="R87" s="206" t="s">
        <v>73</v>
      </c>
      <c r="S87" s="206"/>
      <c r="T87" s="206" t="s">
        <v>73</v>
      </c>
      <c r="U87" s="206"/>
      <c r="V87" s="206"/>
      <c r="W87" s="206"/>
      <c r="X87" s="206"/>
      <c r="Y87" s="206"/>
      <c r="Z87" s="206"/>
      <c r="AA87" s="206"/>
      <c r="AB87" s="206"/>
      <c r="AC87" s="206"/>
    </row>
    <row r="88" spans="1:29" s="160" customFormat="1" ht="7.5" customHeight="1" collapsed="1">
      <c r="D88" s="159"/>
      <c r="E88" s="159"/>
      <c r="F88" s="159"/>
      <c r="G88" s="159"/>
      <c r="H88" s="159"/>
      <c r="I88" s="159"/>
      <c r="J88" s="159"/>
      <c r="K88" s="180"/>
      <c r="L88" s="159"/>
      <c r="X88" s="218"/>
    </row>
    <row r="89" spans="1:29" s="160" customFormat="1" ht="14.25">
      <c r="A89" s="237" t="s">
        <v>351</v>
      </c>
      <c r="B89" s="237" t="s">
        <v>352</v>
      </c>
      <c r="C89" s="237" t="s">
        <v>352</v>
      </c>
      <c r="D89" s="238">
        <v>19.040282551979242</v>
      </c>
      <c r="E89" s="238">
        <v>14.67991250190766</v>
      </c>
      <c r="F89" s="238">
        <v>10.17419678350036</v>
      </c>
      <c r="G89" s="238">
        <v>5.6529999999999996</v>
      </c>
      <c r="H89" s="238">
        <v>3.1709999999999998</v>
      </c>
      <c r="I89" s="238">
        <v>1.8640000000000001</v>
      </c>
      <c r="J89" s="238">
        <v>2.4460000000000002</v>
      </c>
      <c r="K89" s="238">
        <v>1.079</v>
      </c>
      <c r="L89" s="238">
        <v>1.552</v>
      </c>
      <c r="M89" s="239">
        <v>2.1080000000000001</v>
      </c>
      <c r="N89" s="239">
        <v>1.9179999999999999</v>
      </c>
      <c r="O89" s="239">
        <v>0.21099999999999999</v>
      </c>
      <c r="P89" s="239">
        <v>0.05</v>
      </c>
      <c r="Q89" s="239">
        <v>0.11899999999999999</v>
      </c>
      <c r="R89" s="239">
        <v>0.184</v>
      </c>
      <c r="S89" s="239">
        <v>3.7999999999999999E-2</v>
      </c>
      <c r="T89" s="239">
        <v>0.184</v>
      </c>
      <c r="U89" s="239">
        <v>2.4E-2</v>
      </c>
      <c r="V89" s="239">
        <v>6.8000000000000005E-2</v>
      </c>
      <c r="W89" s="239">
        <v>0</v>
      </c>
      <c r="X89" s="239">
        <v>10.067</v>
      </c>
      <c r="Y89" s="239">
        <v>510.32299999999998</v>
      </c>
      <c r="Z89" s="239">
        <v>20.443000000000001</v>
      </c>
      <c r="AA89" s="239">
        <v>30.393999999999998</v>
      </c>
      <c r="AB89" s="239">
        <v>20.053999999999998</v>
      </c>
      <c r="AC89" s="239">
        <v>45.981000000000002</v>
      </c>
    </row>
    <row r="90" spans="1:29" s="160" customFormat="1" ht="14.25" hidden="1" outlineLevel="1">
      <c r="A90" s="160" t="s">
        <v>353</v>
      </c>
      <c r="D90" s="159"/>
      <c r="E90" s="159"/>
      <c r="F90" s="159"/>
      <c r="G90" s="159"/>
      <c r="H90" s="159"/>
      <c r="I90" s="159"/>
      <c r="J90" s="159"/>
      <c r="K90" s="159"/>
      <c r="L90" s="159"/>
    </row>
    <row r="91" spans="1:29" s="160" customFormat="1" ht="27.75" hidden="1" customHeight="1" outlineLevel="1">
      <c r="A91" s="200" t="s">
        <v>438</v>
      </c>
      <c r="B91" s="200" t="s">
        <v>354</v>
      </c>
      <c r="C91" s="200" t="s">
        <v>355</v>
      </c>
      <c r="D91" s="159" t="s">
        <v>73</v>
      </c>
      <c r="E91" s="203" t="s">
        <v>73</v>
      </c>
      <c r="F91" s="203" t="s">
        <v>73</v>
      </c>
      <c r="G91" s="203" t="s">
        <v>73</v>
      </c>
      <c r="H91" s="206" t="s">
        <v>73</v>
      </c>
      <c r="I91" s="159">
        <v>0</v>
      </c>
      <c r="J91" s="159" t="s">
        <v>73</v>
      </c>
      <c r="K91" s="206" t="s">
        <v>73</v>
      </c>
      <c r="L91" s="159">
        <v>0</v>
      </c>
      <c r="M91" s="160">
        <v>0</v>
      </c>
      <c r="N91" s="160">
        <v>0</v>
      </c>
      <c r="O91" s="160">
        <v>0</v>
      </c>
      <c r="P91" s="160">
        <v>0</v>
      </c>
      <c r="Q91" s="160">
        <v>0</v>
      </c>
      <c r="R91" s="160">
        <v>0</v>
      </c>
      <c r="S91" s="160">
        <v>0</v>
      </c>
      <c r="T91" s="160">
        <v>0</v>
      </c>
      <c r="U91" s="160">
        <v>0</v>
      </c>
      <c r="V91" s="205">
        <v>1E-3</v>
      </c>
      <c r="W91" s="205">
        <v>0</v>
      </c>
      <c r="X91" s="205">
        <v>1E-3</v>
      </c>
      <c r="Y91" s="205">
        <v>510</v>
      </c>
      <c r="Z91" s="205">
        <v>0</v>
      </c>
      <c r="AA91" s="205"/>
      <c r="AB91" s="205">
        <v>0</v>
      </c>
      <c r="AC91" s="205"/>
    </row>
    <row r="92" spans="1:29" s="160" customFormat="1" ht="7.5" customHeight="1" collapsed="1">
      <c r="A92" s="229"/>
      <c r="B92" s="229"/>
      <c r="C92" s="229"/>
      <c r="D92" s="230"/>
      <c r="E92" s="230"/>
      <c r="F92" s="230"/>
      <c r="G92" s="230"/>
      <c r="H92" s="230"/>
      <c r="I92" s="230"/>
      <c r="J92" s="230"/>
      <c r="K92" s="230"/>
      <c r="L92" s="230"/>
      <c r="M92" s="229"/>
      <c r="N92" s="229"/>
      <c r="O92" s="229"/>
      <c r="P92" s="229"/>
      <c r="Q92" s="229"/>
      <c r="R92" s="229"/>
      <c r="S92" s="229"/>
      <c r="T92" s="229"/>
      <c r="U92" s="229"/>
      <c r="V92" s="229"/>
      <c r="W92" s="229"/>
      <c r="X92" s="229"/>
      <c r="Y92" s="229"/>
      <c r="Z92" s="229"/>
      <c r="AA92" s="229"/>
      <c r="AB92" s="229"/>
      <c r="AC92" s="229"/>
    </row>
    <row r="93" spans="1:29" s="160" customFormat="1" ht="14.25">
      <c r="A93" s="180" t="s">
        <v>356</v>
      </c>
      <c r="B93" s="180" t="s">
        <v>357</v>
      </c>
      <c r="C93" s="180" t="s">
        <v>357</v>
      </c>
      <c r="D93" s="181">
        <v>1526.2021903592217</v>
      </c>
      <c r="E93" s="181">
        <v>1216.3978983016357</v>
      </c>
      <c r="F93" s="181">
        <v>1097.5051416030174</v>
      </c>
      <c r="G93" s="181">
        <v>906.86400000000003</v>
      </c>
      <c r="H93" s="181">
        <v>891.60799999999995</v>
      </c>
      <c r="I93" s="181">
        <v>832.96799999999996</v>
      </c>
      <c r="J93" s="181">
        <v>919.50099999999998</v>
      </c>
      <c r="K93" s="181">
        <v>917.40700000000004</v>
      </c>
      <c r="L93" s="181">
        <v>872.30100000000004</v>
      </c>
      <c r="M93" s="181">
        <v>759.29</v>
      </c>
      <c r="N93" s="181">
        <v>755.75300000000004</v>
      </c>
      <c r="O93" s="181">
        <v>1117.491</v>
      </c>
      <c r="P93" s="181">
        <v>600.66099999999994</v>
      </c>
      <c r="Q93" s="181">
        <v>1207.421</v>
      </c>
      <c r="R93" s="181">
        <v>972.92700000000002</v>
      </c>
      <c r="S93" s="181">
        <v>726.49400000000003</v>
      </c>
      <c r="T93" s="181">
        <v>969.904</v>
      </c>
      <c r="U93" s="181">
        <v>2175.3229999999999</v>
      </c>
      <c r="V93" s="181">
        <v>11308.611000000001</v>
      </c>
      <c r="W93" s="181">
        <v>5731.5190000000002</v>
      </c>
      <c r="X93" s="181">
        <v>1426.1559999999999</v>
      </c>
      <c r="Y93" s="181">
        <v>1015.277</v>
      </c>
      <c r="Z93" s="181">
        <v>993.87400000000002</v>
      </c>
      <c r="AA93" s="181">
        <v>541.61400000000003</v>
      </c>
      <c r="AB93" s="181">
        <v>2873.9580000000001</v>
      </c>
      <c r="AC93" s="181">
        <v>2318.4870000000001</v>
      </c>
    </row>
    <row r="94" spans="1:29" s="160" customFormat="1" ht="14.25">
      <c r="A94" s="160" t="s">
        <v>208</v>
      </c>
      <c r="D94" s="159"/>
      <c r="E94" s="159"/>
      <c r="F94" s="159"/>
      <c r="G94" s="159"/>
      <c r="H94" s="159"/>
      <c r="I94" s="159"/>
      <c r="J94" s="159"/>
      <c r="K94" s="159"/>
      <c r="L94" s="159"/>
    </row>
    <row r="95" spans="1:29" s="160" customFormat="1" ht="14.25" hidden="1" outlineLevel="1">
      <c r="A95" s="217" t="s">
        <v>358</v>
      </c>
      <c r="B95" s="217"/>
      <c r="C95" s="217"/>
      <c r="D95" s="159">
        <v>15.261295175250538</v>
      </c>
      <c r="E95" s="159">
        <v>12.717745979375449</v>
      </c>
      <c r="F95" s="159">
        <v>12.717745979375449</v>
      </c>
      <c r="G95" s="159">
        <v>11.627653466857554</v>
      </c>
      <c r="H95" s="159">
        <v>12.64507314520759</v>
      </c>
      <c r="I95" s="159">
        <v>11.845671969361133</v>
      </c>
      <c r="J95" s="159">
        <v>10</v>
      </c>
      <c r="K95" s="159">
        <v>5.1597712259180391</v>
      </c>
      <c r="L95" s="206" t="s">
        <v>73</v>
      </c>
      <c r="M95" s="219" t="s">
        <v>73</v>
      </c>
      <c r="N95" s="219" t="s">
        <v>73</v>
      </c>
      <c r="O95" s="219" t="s">
        <v>73</v>
      </c>
      <c r="P95" s="219" t="s">
        <v>73</v>
      </c>
      <c r="Q95" s="219" t="s">
        <v>73</v>
      </c>
      <c r="R95" s="219" t="s">
        <v>73</v>
      </c>
      <c r="S95" s="219" t="s">
        <v>73</v>
      </c>
      <c r="T95" s="219" t="s">
        <v>73</v>
      </c>
      <c r="U95" s="219" t="s">
        <v>73</v>
      </c>
      <c r="V95" s="219" t="s">
        <v>73</v>
      </c>
      <c r="W95" s="219" t="s">
        <v>73</v>
      </c>
      <c r="X95" s="219" t="s">
        <v>73</v>
      </c>
      <c r="Y95" s="219" t="s">
        <v>73</v>
      </c>
      <c r="Z95" s="219" t="s">
        <v>73</v>
      </c>
      <c r="AA95" s="219"/>
      <c r="AB95" s="219" t="s">
        <v>73</v>
      </c>
      <c r="AC95" s="219"/>
    </row>
    <row r="96" spans="1:29" s="160" customFormat="1" ht="14.25" hidden="1" outlineLevel="1">
      <c r="A96" s="217" t="s">
        <v>359</v>
      </c>
      <c r="B96" s="217"/>
      <c r="C96" s="217"/>
      <c r="D96" s="159">
        <v>77.033204217931285</v>
      </c>
      <c r="E96" s="159">
        <v>45.783885525751614</v>
      </c>
      <c r="F96" s="159">
        <v>25.653510461254477</v>
      </c>
      <c r="G96" s="159">
        <v>31.83070136552255</v>
      </c>
      <c r="H96" s="159">
        <v>53.559878781712605</v>
      </c>
      <c r="I96" s="159">
        <v>54.213934289223339</v>
      </c>
      <c r="J96" s="159">
        <v>46</v>
      </c>
      <c r="K96" s="159">
        <v>32.920793878040449</v>
      </c>
      <c r="L96" s="159">
        <v>60</v>
      </c>
      <c r="M96" s="219" t="s">
        <v>73</v>
      </c>
      <c r="N96" s="219" t="s">
        <v>73</v>
      </c>
      <c r="O96" s="199" t="s">
        <v>73</v>
      </c>
      <c r="P96" s="219" t="s">
        <v>73</v>
      </c>
      <c r="Q96" s="219" t="s">
        <v>73</v>
      </c>
      <c r="R96" s="219" t="s">
        <v>73</v>
      </c>
      <c r="S96" s="219" t="s">
        <v>73</v>
      </c>
      <c r="T96" s="219" t="s">
        <v>73</v>
      </c>
      <c r="U96" s="219" t="s">
        <v>73</v>
      </c>
      <c r="V96" s="219" t="s">
        <v>73</v>
      </c>
      <c r="W96" s="219" t="s">
        <v>73</v>
      </c>
      <c r="X96" s="219" t="s">
        <v>73</v>
      </c>
      <c r="Y96" s="219" t="s">
        <v>73</v>
      </c>
      <c r="Z96" s="219" t="s">
        <v>73</v>
      </c>
      <c r="AA96" s="219"/>
      <c r="AB96" s="219" t="s">
        <v>73</v>
      </c>
      <c r="AC96" s="219"/>
    </row>
    <row r="97" spans="1:29" s="160" customFormat="1" ht="14.25" collapsed="1">
      <c r="A97" s="160" t="s">
        <v>360</v>
      </c>
      <c r="B97" s="217"/>
      <c r="C97" s="217"/>
      <c r="D97" s="159"/>
      <c r="E97" s="159"/>
      <c r="F97" s="159"/>
      <c r="G97" s="159"/>
      <c r="H97" s="159"/>
      <c r="I97" s="159"/>
      <c r="J97" s="159"/>
      <c r="K97" s="207">
        <v>90.641000000000005</v>
      </c>
      <c r="L97" s="207">
        <v>75.680999999999997</v>
      </c>
      <c r="M97" s="207">
        <v>145.88999999999999</v>
      </c>
      <c r="N97" s="207">
        <v>147.75</v>
      </c>
      <c r="O97" s="207"/>
      <c r="P97" s="207">
        <v>118.37</v>
      </c>
      <c r="Q97" s="207">
        <v>115.628</v>
      </c>
      <c r="R97" s="207"/>
      <c r="S97" s="207">
        <v>134.94300000000001</v>
      </c>
      <c r="T97" s="207"/>
      <c r="U97" s="207">
        <v>119.209</v>
      </c>
      <c r="V97" s="207">
        <v>78.700999999999993</v>
      </c>
      <c r="W97" s="207">
        <v>58.152000000000001</v>
      </c>
      <c r="X97" s="207">
        <v>95.701999999999998</v>
      </c>
      <c r="Y97" s="207">
        <v>76.941000000000003</v>
      </c>
      <c r="Z97" s="207">
        <v>102.35</v>
      </c>
      <c r="AA97" s="207">
        <v>94.784000000000006</v>
      </c>
      <c r="AB97" s="207">
        <v>95.5</v>
      </c>
      <c r="AC97" s="207">
        <v>46.936</v>
      </c>
    </row>
    <row r="98" spans="1:29" s="160" customFormat="1" ht="14.25">
      <c r="A98" s="160" t="s">
        <v>361</v>
      </c>
      <c r="B98" s="160" t="s">
        <v>362</v>
      </c>
      <c r="C98" s="160" t="s">
        <v>363</v>
      </c>
      <c r="D98" s="159" t="s">
        <v>73</v>
      </c>
      <c r="E98" s="203" t="s">
        <v>73</v>
      </c>
      <c r="F98" s="203" t="s">
        <v>73</v>
      </c>
      <c r="G98" s="199" t="s">
        <v>73</v>
      </c>
      <c r="H98" s="219" t="s">
        <v>73</v>
      </c>
      <c r="I98" s="219" t="s">
        <v>73</v>
      </c>
      <c r="J98" s="219" t="s">
        <v>73</v>
      </c>
      <c r="K98" s="219" t="s">
        <v>73</v>
      </c>
      <c r="L98" s="219" t="s">
        <v>73</v>
      </c>
      <c r="M98" s="205">
        <v>68.281999999999996</v>
      </c>
      <c r="N98" s="205">
        <v>80.766000000000005</v>
      </c>
      <c r="O98" s="205">
        <v>66.808999999999997</v>
      </c>
      <c r="P98" s="205">
        <v>84.296000000000006</v>
      </c>
      <c r="Q98" s="205">
        <v>102.89</v>
      </c>
      <c r="R98" s="205">
        <v>63.014000000000003</v>
      </c>
      <c r="S98" s="205">
        <v>42.505000000000003</v>
      </c>
      <c r="T98" s="205">
        <v>72.709999999999994</v>
      </c>
      <c r="U98" s="205">
        <v>54.398000000000003</v>
      </c>
      <c r="V98" s="205">
        <v>126.43600000000001</v>
      </c>
      <c r="W98" s="205">
        <v>96.02</v>
      </c>
      <c r="X98" s="205">
        <v>108.377</v>
      </c>
      <c r="Y98" s="205">
        <v>110.71</v>
      </c>
      <c r="Z98" s="205">
        <v>106.13500000000001</v>
      </c>
      <c r="AA98" s="205">
        <v>53.136000000000003</v>
      </c>
      <c r="AB98" s="205">
        <v>109.748</v>
      </c>
      <c r="AC98" s="205">
        <v>63.914000000000001</v>
      </c>
    </row>
    <row r="99" spans="1:29" s="160" customFormat="1" ht="14.25" hidden="1" outlineLevel="1">
      <c r="A99" s="160" t="s">
        <v>364</v>
      </c>
      <c r="B99" s="160" t="s">
        <v>365</v>
      </c>
      <c r="C99" s="160" t="s">
        <v>366</v>
      </c>
      <c r="D99" s="159">
        <v>1026.8671467918577</v>
      </c>
      <c r="E99" s="206">
        <v>734.14097076371877</v>
      </c>
      <c r="F99" s="206">
        <v>698.09524501646035</v>
      </c>
      <c r="G99" s="207">
        <v>596.86198702063177</v>
      </c>
      <c r="H99" s="207">
        <v>501.80591992907131</v>
      </c>
      <c r="I99" s="207">
        <v>546.57238577647286</v>
      </c>
      <c r="J99" s="207">
        <v>599.34199999999998</v>
      </c>
      <c r="K99" s="207">
        <v>534.11400000000003</v>
      </c>
      <c r="L99" s="207">
        <v>532.99099999999999</v>
      </c>
      <c r="M99" s="207">
        <v>380.226</v>
      </c>
      <c r="N99" s="207">
        <v>322.10199999999998</v>
      </c>
      <c r="O99" s="207">
        <f>815.128+20.873</f>
        <v>836.00100000000009</v>
      </c>
      <c r="P99" s="207">
        <f>313.631</f>
        <v>313.63099999999997</v>
      </c>
      <c r="Q99" s="207">
        <v>852.601</v>
      </c>
      <c r="R99" s="207">
        <f>627.003+20.5</f>
        <v>647.50300000000004</v>
      </c>
      <c r="S99" s="207">
        <v>440.89100000000002</v>
      </c>
      <c r="T99" s="207">
        <f>637.003+20.594</f>
        <v>657.59700000000009</v>
      </c>
      <c r="U99" s="207">
        <f>467.377</f>
        <v>467.37700000000001</v>
      </c>
      <c r="V99" s="207">
        <f>568.803+20.501</f>
        <v>589.30399999999997</v>
      </c>
      <c r="W99" s="207">
        <f>517.657+0</f>
        <v>517.65700000000004</v>
      </c>
      <c r="X99" s="207">
        <f>533.153+20.501</f>
        <v>553.654</v>
      </c>
      <c r="Y99" s="207">
        <v>171.47900000000001</v>
      </c>
      <c r="Z99" s="207">
        <f>543.603+0.002</f>
        <v>543.6049999999999</v>
      </c>
      <c r="AA99" s="207"/>
      <c r="AB99" s="207">
        <v>569.3549999999999</v>
      </c>
      <c r="AC99" s="207"/>
    </row>
    <row r="100" spans="1:29" s="160" customFormat="1" ht="14.25" collapsed="1">
      <c r="A100" s="160" t="s">
        <v>367</v>
      </c>
      <c r="D100" s="159"/>
      <c r="E100" s="206"/>
      <c r="F100" s="206"/>
      <c r="G100" s="207"/>
      <c r="H100" s="207"/>
      <c r="I100" s="207"/>
      <c r="J100" s="207"/>
      <c r="K100" s="207">
        <v>591.57100000000003</v>
      </c>
      <c r="L100" s="207">
        <v>594.16899999999998</v>
      </c>
      <c r="M100" s="207">
        <v>442.94299999999998</v>
      </c>
      <c r="N100" s="207">
        <v>445.53500000000003</v>
      </c>
      <c r="O100" s="207"/>
      <c r="P100" s="207">
        <v>364.29199999999997</v>
      </c>
      <c r="Q100" s="207">
        <v>955.60199999999998</v>
      </c>
      <c r="R100" s="207"/>
      <c r="S100" s="207">
        <v>527.63900000000001</v>
      </c>
      <c r="T100" s="207"/>
      <c r="U100" s="207">
        <v>578.15899999999999</v>
      </c>
      <c r="V100" s="207"/>
      <c r="W100" s="207">
        <v>647.96799999999996</v>
      </c>
      <c r="X100" s="207">
        <v>660.25400000000002</v>
      </c>
      <c r="Y100" s="207">
        <v>260.68799999999999</v>
      </c>
      <c r="Z100" s="207">
        <v>713.21600000000001</v>
      </c>
      <c r="AA100" s="207">
        <v>275.27600000000001</v>
      </c>
      <c r="AB100" s="207">
        <v>703.77499999999998</v>
      </c>
      <c r="AC100" s="207">
        <v>262.56700000000001</v>
      </c>
    </row>
    <row r="101" spans="1:29" s="160" customFormat="1" ht="14.25">
      <c r="A101" s="227" t="s">
        <v>368</v>
      </c>
      <c r="B101" s="227"/>
      <c r="C101" s="240" t="s">
        <v>369</v>
      </c>
      <c r="D101" s="228"/>
      <c r="E101" s="231"/>
      <c r="F101" s="231"/>
      <c r="G101" s="241"/>
      <c r="H101" s="241"/>
      <c r="I101" s="241"/>
      <c r="J101" s="241"/>
      <c r="K101" s="242" t="s">
        <v>73</v>
      </c>
      <c r="L101" s="242" t="s">
        <v>73</v>
      </c>
      <c r="M101" s="242" t="s">
        <v>73</v>
      </c>
      <c r="N101" s="242" t="s">
        <v>73</v>
      </c>
      <c r="O101" s="242" t="s">
        <v>73</v>
      </c>
      <c r="P101" s="242" t="s">
        <v>73</v>
      </c>
      <c r="Q101" s="242" t="s">
        <v>73</v>
      </c>
      <c r="R101" s="242" t="s">
        <v>73</v>
      </c>
      <c r="S101" s="242" t="s">
        <v>73</v>
      </c>
      <c r="T101" s="242" t="s">
        <v>73</v>
      </c>
      <c r="U101" s="242" t="s">
        <v>73</v>
      </c>
      <c r="V101" s="228">
        <v>10303.005999999999</v>
      </c>
      <c r="W101" s="228">
        <v>4895.5649999999996</v>
      </c>
      <c r="X101" s="228">
        <v>503.00900000000001</v>
      </c>
      <c r="Y101" s="241">
        <v>528.14200000000005</v>
      </c>
      <c r="Z101" s="241">
        <v>2.8959999999999999</v>
      </c>
      <c r="AA101" s="241">
        <v>79.590999999999994</v>
      </c>
      <c r="AB101" s="228">
        <v>1892.8320000000001</v>
      </c>
      <c r="AC101" s="228">
        <v>1887.41</v>
      </c>
    </row>
    <row r="102" spans="1:29" s="160" customFormat="1" ht="14.25" hidden="1" outlineLevel="1">
      <c r="A102" s="163" t="s">
        <v>370</v>
      </c>
      <c r="B102" s="163" t="s">
        <v>371</v>
      </c>
      <c r="C102" s="163" t="s">
        <v>372</v>
      </c>
      <c r="D102" s="201" t="s">
        <v>73</v>
      </c>
      <c r="E102" s="201">
        <v>51.089002420005372</v>
      </c>
      <c r="F102" s="201">
        <v>54.504625625894782</v>
      </c>
      <c r="G102" s="201">
        <v>63.225365726037943</v>
      </c>
      <c r="H102" s="201">
        <v>64.388131072723695</v>
      </c>
      <c r="I102" s="201">
        <v>67.440390107773808</v>
      </c>
      <c r="J102" s="201">
        <v>63</v>
      </c>
      <c r="K102" s="201">
        <v>74.998364861231224</v>
      </c>
      <c r="L102" s="201">
        <v>83</v>
      </c>
      <c r="M102" s="216">
        <v>72.287999999999997</v>
      </c>
      <c r="N102" s="216">
        <v>50.898000000000003</v>
      </c>
      <c r="O102" s="216">
        <v>2E-3</v>
      </c>
      <c r="P102" s="216">
        <v>0</v>
      </c>
      <c r="Q102" s="216">
        <v>0</v>
      </c>
      <c r="R102" s="216">
        <v>0</v>
      </c>
      <c r="S102" s="216">
        <v>0</v>
      </c>
      <c r="T102" s="216">
        <v>0</v>
      </c>
      <c r="U102" s="216">
        <v>0</v>
      </c>
      <c r="V102" s="216">
        <v>0</v>
      </c>
      <c r="W102" s="216">
        <v>0</v>
      </c>
      <c r="X102" s="216">
        <v>0</v>
      </c>
      <c r="Y102" s="216">
        <v>0</v>
      </c>
      <c r="Z102" s="216">
        <v>0</v>
      </c>
      <c r="AA102" s="216"/>
      <c r="AB102" s="216">
        <v>0</v>
      </c>
      <c r="AC102" s="216"/>
    </row>
    <row r="103" spans="1:29" s="160" customFormat="1" ht="7.5" customHeight="1" collapsed="1"/>
    <row r="104" spans="1:29" s="160" customFormat="1" ht="14.25">
      <c r="A104" s="180" t="s">
        <v>373</v>
      </c>
      <c r="B104" s="180" t="s">
        <v>374</v>
      </c>
      <c r="C104" s="180" t="s">
        <v>374</v>
      </c>
      <c r="D104" s="181">
        <v>451.9523556899195</v>
      </c>
      <c r="E104" s="181">
        <v>270.70630727527742</v>
      </c>
      <c r="F104" s="181">
        <v>240.76509959811921</v>
      </c>
      <c r="G104" s="181">
        <v>277.596</v>
      </c>
      <c r="H104" s="181">
        <v>314.82900000000001</v>
      </c>
      <c r="I104" s="181">
        <v>339.94400000000002</v>
      </c>
      <c r="J104" s="181">
        <v>311.798</v>
      </c>
      <c r="K104" s="181">
        <v>330.05599999999998</v>
      </c>
      <c r="L104" s="181">
        <v>346.428</v>
      </c>
      <c r="M104" s="181">
        <v>357.27300000000002</v>
      </c>
      <c r="N104" s="181">
        <v>387.78100000000001</v>
      </c>
      <c r="O104" s="181">
        <v>472.58800000000002</v>
      </c>
      <c r="P104" s="181">
        <v>424.75200000000001</v>
      </c>
      <c r="Q104" s="181">
        <v>442.24</v>
      </c>
      <c r="R104" s="181">
        <v>532.02300000000002</v>
      </c>
      <c r="S104" s="181">
        <v>459.03899999999999</v>
      </c>
      <c r="T104" s="181">
        <v>546.14300000000003</v>
      </c>
      <c r="U104" s="181">
        <v>501.20400000000001</v>
      </c>
      <c r="V104" s="181">
        <v>681.31899999999996</v>
      </c>
      <c r="W104" s="181">
        <v>623.00400000000002</v>
      </c>
      <c r="X104" s="181">
        <v>625.84699999999998</v>
      </c>
      <c r="Y104" s="181">
        <v>613.73299999999995</v>
      </c>
      <c r="Z104" s="181">
        <v>649.45399999999995</v>
      </c>
      <c r="AA104" s="181">
        <v>561.63</v>
      </c>
      <c r="AB104" s="181">
        <v>770.44799999999998</v>
      </c>
      <c r="AC104" s="181">
        <v>623.83399999999995</v>
      </c>
    </row>
    <row r="105" spans="1:29" s="160" customFormat="1" ht="14.25">
      <c r="A105" s="160" t="s">
        <v>208</v>
      </c>
      <c r="D105" s="159"/>
      <c r="E105" s="159"/>
      <c r="F105" s="159"/>
      <c r="G105" s="159"/>
      <c r="H105" s="159"/>
      <c r="I105" s="159"/>
      <c r="J105" s="159"/>
      <c r="K105" s="159"/>
      <c r="L105" s="159"/>
    </row>
    <row r="106" spans="1:29" s="160" customFormat="1" ht="14.25">
      <c r="A106" s="160" t="s">
        <v>375</v>
      </c>
      <c r="B106" s="160" t="s">
        <v>376</v>
      </c>
      <c r="C106" s="160" t="s">
        <v>377</v>
      </c>
      <c r="D106" s="159">
        <v>11.336962130186114</v>
      </c>
      <c r="E106" s="159">
        <v>10.17419678350036</v>
      </c>
      <c r="F106" s="159">
        <v>11.118943627682535</v>
      </c>
      <c r="G106" s="159">
        <v>12.20903614020043</v>
      </c>
      <c r="H106" s="159">
        <v>12.64507314520759</v>
      </c>
      <c r="I106" s="159">
        <v>12.35438180853615</v>
      </c>
      <c r="J106" s="159">
        <v>10.715999999999999</v>
      </c>
      <c r="K106" s="159">
        <v>17.53</v>
      </c>
      <c r="L106" s="159">
        <v>13.475</v>
      </c>
      <c r="M106" s="205">
        <v>9.2349999999999994</v>
      </c>
      <c r="N106" s="205">
        <v>9.8350000000000009</v>
      </c>
      <c r="O106" s="205">
        <v>53.835999999999999</v>
      </c>
      <c r="P106" s="205">
        <v>36.734999999999999</v>
      </c>
      <c r="Q106" s="205">
        <v>40</v>
      </c>
      <c r="R106" s="205">
        <v>50</v>
      </c>
      <c r="S106" s="205">
        <v>21</v>
      </c>
      <c r="T106" s="205">
        <v>37</v>
      </c>
      <c r="U106" s="205">
        <v>28</v>
      </c>
      <c r="V106" s="205">
        <v>43</v>
      </c>
      <c r="W106" s="205">
        <v>25</v>
      </c>
      <c r="X106" s="205">
        <v>36.5</v>
      </c>
      <c r="Y106" s="205">
        <v>26</v>
      </c>
      <c r="Z106" s="205">
        <v>22</v>
      </c>
      <c r="AA106" s="205">
        <v>22</v>
      </c>
      <c r="AB106" s="205">
        <v>20.001000000000001</v>
      </c>
      <c r="AC106" s="205">
        <v>20</v>
      </c>
    </row>
    <row r="107" spans="1:29" s="160" customFormat="1" ht="14.25">
      <c r="A107" s="160" t="s">
        <v>378</v>
      </c>
      <c r="B107" s="160" t="s">
        <v>379</v>
      </c>
      <c r="C107" s="160" t="s">
        <v>380</v>
      </c>
      <c r="D107" s="159">
        <v>251.08464204995528</v>
      </c>
      <c r="E107" s="159">
        <v>86.844036830592344</v>
      </c>
      <c r="F107" s="159">
        <v>63.370711394373664</v>
      </c>
      <c r="G107" s="159">
        <v>103.70413435753581</v>
      </c>
      <c r="H107" s="159">
        <v>134.44474321054045</v>
      </c>
      <c r="I107" s="159">
        <v>165.40337056604869</v>
      </c>
      <c r="J107" s="159">
        <v>185.40600000000001</v>
      </c>
      <c r="K107" s="159">
        <v>215.36699999999999</v>
      </c>
      <c r="L107" s="159">
        <v>241.30199999999999</v>
      </c>
      <c r="M107" s="205">
        <v>258.505</v>
      </c>
      <c r="N107" s="205">
        <v>286.45499999999998</v>
      </c>
      <c r="O107" s="205">
        <v>298.22000000000003</v>
      </c>
      <c r="P107" s="205">
        <v>290.33699999999999</v>
      </c>
      <c r="Q107" s="205">
        <v>290.678</v>
      </c>
      <c r="R107" s="205">
        <v>312.86099999999999</v>
      </c>
      <c r="S107" s="205">
        <v>298.05200000000002</v>
      </c>
      <c r="T107" s="205">
        <v>323.73899999999998</v>
      </c>
      <c r="U107" s="205">
        <v>310.22300000000001</v>
      </c>
      <c r="V107" s="205">
        <v>331.476</v>
      </c>
      <c r="W107" s="205">
        <v>316.726</v>
      </c>
      <c r="X107" s="205">
        <v>352.495</v>
      </c>
      <c r="Y107" s="205">
        <v>323.17599999999999</v>
      </c>
      <c r="Z107" s="205">
        <v>341.56200000000001</v>
      </c>
      <c r="AA107" s="205">
        <v>330.84300000000002</v>
      </c>
      <c r="AB107" s="205">
        <v>349.83300000000003</v>
      </c>
      <c r="AC107" s="205">
        <v>335.42</v>
      </c>
    </row>
    <row r="108" spans="1:29" s="160" customFormat="1" ht="14.25">
      <c r="A108" s="160" t="s">
        <v>803</v>
      </c>
      <c r="B108" s="160" t="s">
        <v>382</v>
      </c>
      <c r="C108" s="160" t="s">
        <v>383</v>
      </c>
      <c r="D108" s="159"/>
      <c r="E108" s="159"/>
      <c r="F108" s="159"/>
      <c r="G108" s="159"/>
      <c r="H108" s="206" t="s">
        <v>73</v>
      </c>
      <c r="I108" s="206" t="s">
        <v>73</v>
      </c>
      <c r="J108" s="206">
        <v>14.762</v>
      </c>
      <c r="K108" s="159">
        <v>36.445999999999998</v>
      </c>
      <c r="L108" s="159">
        <v>37.432000000000002</v>
      </c>
      <c r="M108" s="205">
        <v>46.780999999999999</v>
      </c>
      <c r="N108" s="205">
        <v>50.195</v>
      </c>
      <c r="O108" s="205"/>
      <c r="P108" s="205">
        <v>48.847999999999999</v>
      </c>
      <c r="Q108" s="205">
        <v>56.798999999999999</v>
      </c>
      <c r="R108" s="205">
        <v>77.731999999999999</v>
      </c>
      <c r="S108" s="205">
        <v>82.159000000000006</v>
      </c>
      <c r="T108" s="205">
        <v>84.021000000000001</v>
      </c>
      <c r="U108" s="205">
        <v>84.185000000000002</v>
      </c>
      <c r="V108" s="205">
        <v>166.51900000000001</v>
      </c>
      <c r="W108" s="205">
        <v>111.182</v>
      </c>
      <c r="X108" s="205">
        <v>97.566000000000003</v>
      </c>
      <c r="Y108" s="205">
        <v>151.989</v>
      </c>
      <c r="Z108" s="205">
        <v>146.721</v>
      </c>
      <c r="AA108" s="205">
        <v>84.697000000000003</v>
      </c>
      <c r="AB108" s="205">
        <v>146.52099999999999</v>
      </c>
      <c r="AC108" s="205">
        <v>114.443</v>
      </c>
    </row>
    <row r="109" spans="1:29" s="160" customFormat="1" ht="28.5">
      <c r="A109" s="234" t="s">
        <v>384</v>
      </c>
      <c r="B109" s="234" t="s">
        <v>385</v>
      </c>
      <c r="C109" s="234" t="s">
        <v>386</v>
      </c>
      <c r="D109" s="228"/>
      <c r="E109" s="228"/>
      <c r="F109" s="228"/>
      <c r="G109" s="228"/>
      <c r="H109" s="231" t="s">
        <v>73</v>
      </c>
      <c r="I109" s="231" t="s">
        <v>73</v>
      </c>
      <c r="J109" s="231" t="s">
        <v>73</v>
      </c>
      <c r="K109" s="231" t="s">
        <v>73</v>
      </c>
      <c r="L109" s="231" t="s">
        <v>73</v>
      </c>
      <c r="M109" s="231">
        <v>0.79</v>
      </c>
      <c r="N109" s="231">
        <v>1.429</v>
      </c>
      <c r="O109" s="235"/>
      <c r="P109" s="235">
        <v>8.4009999999999998</v>
      </c>
      <c r="Q109" s="235">
        <v>10.185</v>
      </c>
      <c r="R109" s="235">
        <v>46</v>
      </c>
      <c r="S109" s="235">
        <v>15.234</v>
      </c>
      <c r="T109" s="235">
        <v>56</v>
      </c>
      <c r="U109" s="235">
        <v>12.000999999999999</v>
      </c>
      <c r="V109" s="241">
        <v>89</v>
      </c>
      <c r="W109" s="241">
        <v>112.137</v>
      </c>
      <c r="X109" s="241">
        <v>89</v>
      </c>
      <c r="Y109" s="241">
        <v>66.875</v>
      </c>
      <c r="Z109" s="241">
        <v>89</v>
      </c>
      <c r="AA109" s="241">
        <v>71.965999999999994</v>
      </c>
      <c r="AB109" s="241">
        <v>202.62899999999999</v>
      </c>
      <c r="AC109" s="241">
        <v>79.953999999999994</v>
      </c>
    </row>
    <row r="110" spans="1:29" s="160" customFormat="1" ht="7.5" customHeight="1">
      <c r="D110" s="159"/>
      <c r="E110" s="159"/>
      <c r="F110" s="159"/>
      <c r="G110" s="159"/>
      <c r="H110" s="159"/>
      <c r="I110" s="159"/>
      <c r="J110" s="159"/>
      <c r="K110" s="159"/>
      <c r="L110" s="159"/>
    </row>
    <row r="111" spans="1:29" s="160" customFormat="1" ht="14.25">
      <c r="A111" s="180" t="s">
        <v>387</v>
      </c>
      <c r="B111" s="180" t="s">
        <v>388</v>
      </c>
      <c r="C111" s="180" t="s">
        <v>388</v>
      </c>
      <c r="D111" s="181">
        <v>266.63662856187727</v>
      </c>
      <c r="E111" s="181">
        <v>441.85083174058701</v>
      </c>
      <c r="F111" s="181">
        <v>415.76128427432536</v>
      </c>
      <c r="G111" s="181">
        <v>325.85700000000003</v>
      </c>
      <c r="H111" s="181">
        <v>226.05199999999999</v>
      </c>
      <c r="I111" s="181">
        <v>258.98599999999999</v>
      </c>
      <c r="J111" s="181">
        <v>446.04599999999999</v>
      </c>
      <c r="K111" s="181">
        <v>274.77499999999998</v>
      </c>
      <c r="L111" s="181">
        <v>179.369</v>
      </c>
      <c r="M111" s="181">
        <v>231.76400000000001</v>
      </c>
      <c r="N111" s="181">
        <v>256.76299999999998</v>
      </c>
      <c r="O111" s="181">
        <v>223.404</v>
      </c>
      <c r="P111" s="181">
        <v>262.45999999999998</v>
      </c>
      <c r="Q111" s="181">
        <v>311.08699999999999</v>
      </c>
      <c r="R111" s="181">
        <v>290.10399999999998</v>
      </c>
      <c r="S111" s="181">
        <v>300.12700000000001</v>
      </c>
      <c r="T111" s="181">
        <v>314.21499999999997</v>
      </c>
      <c r="U111" s="181">
        <v>286.91800000000001</v>
      </c>
      <c r="V111" s="181">
        <v>334.17099999999999</v>
      </c>
      <c r="W111" s="181">
        <v>327.43</v>
      </c>
      <c r="X111" s="181">
        <v>333.25700000000001</v>
      </c>
      <c r="Y111" s="181">
        <v>378.08</v>
      </c>
      <c r="Z111" s="181">
        <v>345.09</v>
      </c>
      <c r="AA111" s="181">
        <v>321.43099999999998</v>
      </c>
      <c r="AB111" s="181">
        <v>1338.6759999999999</v>
      </c>
      <c r="AC111" s="181">
        <v>1242.521</v>
      </c>
    </row>
    <row r="112" spans="1:29" s="160" customFormat="1" ht="14.25">
      <c r="A112" s="160" t="s">
        <v>208</v>
      </c>
      <c r="D112" s="159"/>
      <c r="E112" s="159"/>
      <c r="F112" s="159"/>
      <c r="G112" s="159"/>
      <c r="H112" s="159"/>
      <c r="I112" s="159"/>
      <c r="J112" s="159"/>
      <c r="K112" s="206"/>
      <c r="L112" s="159"/>
      <c r="M112" s="219"/>
      <c r="N112" s="219"/>
    </row>
    <row r="113" spans="1:29" s="160" customFormat="1" ht="14.25" hidden="1" outlineLevel="1">
      <c r="A113" s="217" t="s">
        <v>389</v>
      </c>
      <c r="B113" s="217"/>
      <c r="C113" s="217"/>
      <c r="D113" s="159">
        <v>22.455905757868649</v>
      </c>
      <c r="E113" s="159">
        <v>17.950190039461347</v>
      </c>
      <c r="F113" s="159">
        <v>17.29613453195061</v>
      </c>
      <c r="G113" s="203" t="s">
        <v>73</v>
      </c>
      <c r="H113" s="206" t="s">
        <v>73</v>
      </c>
      <c r="I113" s="206" t="s">
        <v>73</v>
      </c>
      <c r="J113" s="206" t="s">
        <v>73</v>
      </c>
      <c r="K113" s="209" t="s">
        <v>73</v>
      </c>
      <c r="L113" s="206" t="s">
        <v>73</v>
      </c>
      <c r="M113" s="209" t="s">
        <v>73</v>
      </c>
      <c r="N113" s="209" t="s">
        <v>73</v>
      </c>
      <c r="O113" s="209" t="s">
        <v>73</v>
      </c>
      <c r="P113" s="209" t="s">
        <v>73</v>
      </c>
      <c r="Q113" s="209" t="s">
        <v>73</v>
      </c>
      <c r="R113" s="209" t="s">
        <v>73</v>
      </c>
      <c r="S113" s="209"/>
      <c r="T113" s="209" t="s">
        <v>73</v>
      </c>
      <c r="U113" s="209"/>
      <c r="V113" s="209"/>
      <c r="W113" s="209"/>
      <c r="X113" s="209"/>
      <c r="Y113" s="209"/>
      <c r="Z113" s="209"/>
      <c r="AA113" s="209"/>
      <c r="AB113" s="209"/>
      <c r="AC113" s="209"/>
    </row>
    <row r="114" spans="1:29" s="160" customFormat="1" ht="14.25" collapsed="1">
      <c r="A114" s="160" t="s">
        <v>390</v>
      </c>
      <c r="B114" s="160" t="s">
        <v>391</v>
      </c>
      <c r="C114" s="160" t="s">
        <v>392</v>
      </c>
      <c r="D114" s="159">
        <v>70.3473034744882</v>
      </c>
      <c r="E114" s="159">
        <v>207.55361438340734</v>
      </c>
      <c r="F114" s="159">
        <v>208.64370689592522</v>
      </c>
      <c r="G114" s="159">
        <v>147.08981635574804</v>
      </c>
      <c r="H114" s="159">
        <v>66.859007434430936</v>
      </c>
      <c r="I114" s="159">
        <v>102.68671467918577</v>
      </c>
      <c r="J114" s="159">
        <v>79.847999999999999</v>
      </c>
      <c r="K114" s="159">
        <v>79.431407745470665</v>
      </c>
      <c r="L114" s="159">
        <v>66.605000000000004</v>
      </c>
      <c r="M114" s="205">
        <v>119.288</v>
      </c>
      <c r="N114" s="205">
        <v>126.589</v>
      </c>
      <c r="O114" s="205">
        <v>109.999</v>
      </c>
      <c r="P114" s="205">
        <v>143.15</v>
      </c>
      <c r="Q114" s="205">
        <v>162.56700000000001</v>
      </c>
      <c r="R114" s="205">
        <v>179.352</v>
      </c>
      <c r="S114" s="205">
        <v>174.76300000000001</v>
      </c>
      <c r="T114" s="205">
        <v>203.989</v>
      </c>
      <c r="U114" s="205">
        <v>175.84899999999999</v>
      </c>
      <c r="V114" s="205">
        <v>250.91200000000001</v>
      </c>
      <c r="W114" s="205">
        <v>244.428</v>
      </c>
      <c r="X114" s="205">
        <v>251.57900000000001</v>
      </c>
      <c r="Y114" s="205">
        <v>252.005</v>
      </c>
      <c r="Z114" s="205">
        <v>269.464</v>
      </c>
      <c r="AA114" s="205">
        <v>240.01300000000001</v>
      </c>
      <c r="AB114" s="205">
        <v>367.40699999999998</v>
      </c>
      <c r="AC114" s="205">
        <v>274.48399999999998</v>
      </c>
    </row>
    <row r="115" spans="1:29" s="160" customFormat="1" ht="14.25">
      <c r="A115" s="160" t="s">
        <v>629</v>
      </c>
      <c r="D115" s="159"/>
      <c r="E115" s="159"/>
      <c r="F115" s="159"/>
      <c r="G115" s="159"/>
      <c r="H115" s="159"/>
      <c r="I115" s="159"/>
      <c r="J115" s="159"/>
      <c r="K115" s="159"/>
      <c r="L115" s="159"/>
      <c r="M115" s="205"/>
      <c r="N115" s="205"/>
      <c r="O115" s="205"/>
      <c r="P115" s="205"/>
      <c r="Q115" s="205"/>
      <c r="R115" s="205"/>
      <c r="S115" s="205"/>
      <c r="T115" s="205"/>
      <c r="U115" s="205"/>
      <c r="V115" s="205"/>
      <c r="W115" s="205"/>
      <c r="X115" s="205"/>
      <c r="Y115" s="205"/>
      <c r="Z115" s="205"/>
      <c r="AA115" s="205"/>
      <c r="AB115" s="205">
        <v>900</v>
      </c>
      <c r="AC115" s="205">
        <v>890.68799999999999</v>
      </c>
    </row>
    <row r="116" spans="1:29" s="160" customFormat="1" ht="14.25">
      <c r="A116" s="227" t="s">
        <v>393</v>
      </c>
      <c r="B116" s="227" t="s">
        <v>394</v>
      </c>
      <c r="C116" s="227" t="s">
        <v>395</v>
      </c>
      <c r="D116" s="228">
        <v>55.376699635909098</v>
      </c>
      <c r="E116" s="228">
        <v>48.545453224130284</v>
      </c>
      <c r="F116" s="228">
        <v>49.490200068312461</v>
      </c>
      <c r="G116" s="228">
        <v>50.725638249166074</v>
      </c>
      <c r="H116" s="228">
        <v>55.158681133405516</v>
      </c>
      <c r="I116" s="228">
        <v>52.17909493252327</v>
      </c>
      <c r="J116" s="228">
        <v>54.988</v>
      </c>
      <c r="K116" s="231">
        <v>49.707999999999998</v>
      </c>
      <c r="L116" s="228">
        <v>51.072000000000003</v>
      </c>
      <c r="M116" s="241">
        <v>56.404000000000003</v>
      </c>
      <c r="N116" s="241">
        <v>78.206999999999994</v>
      </c>
      <c r="O116" s="235">
        <v>65.706999999999994</v>
      </c>
      <c r="P116" s="235">
        <v>73.296000000000006</v>
      </c>
      <c r="Q116" s="235">
        <v>68.150999999999996</v>
      </c>
      <c r="R116" s="235">
        <v>63.195999999999998</v>
      </c>
      <c r="S116" s="235">
        <v>79.013000000000005</v>
      </c>
      <c r="T116" s="235">
        <v>62.701999999999998</v>
      </c>
      <c r="U116" s="235">
        <v>65.043000000000006</v>
      </c>
      <c r="V116" s="241">
        <v>64.602999999999994</v>
      </c>
      <c r="W116" s="241">
        <v>64.355000000000004</v>
      </c>
      <c r="X116" s="241">
        <v>64.602999999999994</v>
      </c>
      <c r="Y116" s="241">
        <v>58.829000000000001</v>
      </c>
      <c r="Z116" s="241">
        <v>59.814</v>
      </c>
      <c r="AA116" s="241">
        <v>65.085999999999999</v>
      </c>
      <c r="AB116" s="241">
        <v>56.2</v>
      </c>
      <c r="AC116" s="241">
        <v>63.878</v>
      </c>
    </row>
    <row r="117" spans="1:29" s="160" customFormat="1" ht="7.5" customHeight="1">
      <c r="D117" s="159"/>
      <c r="E117" s="159"/>
      <c r="F117" s="159"/>
      <c r="G117" s="159"/>
      <c r="H117" s="159"/>
      <c r="I117" s="159"/>
      <c r="J117" s="159"/>
      <c r="K117" s="159"/>
      <c r="L117" s="159"/>
    </row>
    <row r="118" spans="1:29" s="160" customFormat="1" ht="14.25">
      <c r="A118" s="180" t="s">
        <v>396</v>
      </c>
      <c r="B118" s="180" t="s">
        <v>397</v>
      </c>
      <c r="C118" s="180" t="s">
        <v>397</v>
      </c>
      <c r="D118" s="181">
        <v>1491.9732854661597</v>
      </c>
      <c r="E118" s="181">
        <v>1506.6531979680674</v>
      </c>
      <c r="F118" s="181">
        <v>1521.9144931433179</v>
      </c>
      <c r="G118" s="181">
        <v>1555.36</v>
      </c>
      <c r="H118" s="181">
        <v>1574.7719999999999</v>
      </c>
      <c r="I118" s="181">
        <v>1622.242</v>
      </c>
      <c r="J118" s="181">
        <v>1690.5450000000001</v>
      </c>
      <c r="K118" s="181">
        <v>1627.41</v>
      </c>
      <c r="L118" s="181">
        <v>1624.327</v>
      </c>
      <c r="M118" s="181">
        <v>1720.94</v>
      </c>
      <c r="N118" s="181">
        <v>1766.0309999999999</v>
      </c>
      <c r="O118" s="181">
        <v>1769.405</v>
      </c>
      <c r="P118" s="181">
        <v>1760.9259999999999</v>
      </c>
      <c r="Q118" s="181">
        <v>1699.1030000000001</v>
      </c>
      <c r="R118" s="181">
        <v>2215.8539999999998</v>
      </c>
      <c r="S118" s="181">
        <v>2156.9670000000001</v>
      </c>
      <c r="T118" s="181">
        <v>2002.059</v>
      </c>
      <c r="U118" s="181">
        <v>2147.3710000000001</v>
      </c>
      <c r="V118" s="181">
        <v>2086.0160000000001</v>
      </c>
      <c r="W118" s="181">
        <v>1987.355</v>
      </c>
      <c r="X118" s="181">
        <v>2096.8760000000002</v>
      </c>
      <c r="Y118" s="181">
        <v>2009.0519999999999</v>
      </c>
      <c r="Z118" s="181">
        <v>2035.915</v>
      </c>
      <c r="AA118" s="181">
        <v>2023.607</v>
      </c>
      <c r="AB118" s="181">
        <v>2073.2139999999999</v>
      </c>
      <c r="AC118" s="181">
        <v>2041.6780000000001</v>
      </c>
    </row>
    <row r="119" spans="1:29" s="160" customFormat="1" ht="14.25">
      <c r="A119" s="160" t="s">
        <v>208</v>
      </c>
      <c r="D119" s="159"/>
      <c r="E119" s="159"/>
      <c r="F119" s="159"/>
      <c r="G119" s="159"/>
      <c r="H119" s="159"/>
      <c r="I119" s="159"/>
      <c r="J119" s="159"/>
      <c r="L119" s="159"/>
    </row>
    <row r="120" spans="1:29" s="160" customFormat="1" ht="14.25">
      <c r="A120" s="227" t="s">
        <v>398</v>
      </c>
      <c r="B120" s="227" t="s">
        <v>399</v>
      </c>
      <c r="C120" s="227" t="s">
        <v>400</v>
      </c>
      <c r="D120" s="228">
        <v>1346.6276171304403</v>
      </c>
      <c r="E120" s="228">
        <v>1368.9381772199733</v>
      </c>
      <c r="F120" s="228">
        <v>1391.2487373095062</v>
      </c>
      <c r="G120" s="228">
        <v>1426.4950618809182</v>
      </c>
      <c r="H120" s="228">
        <v>1440.084881870308</v>
      </c>
      <c r="I120" s="228">
        <v>1493.2813964811812</v>
      </c>
      <c r="J120" s="228">
        <v>1607.963</v>
      </c>
      <c r="K120" s="228">
        <v>1548.8340000000001</v>
      </c>
      <c r="L120" s="228">
        <v>1545.287</v>
      </c>
      <c r="M120" s="228">
        <v>1649.5640000000001</v>
      </c>
      <c r="N120" s="228">
        <v>1697.4770000000001</v>
      </c>
      <c r="O120" s="228">
        <v>1701.751</v>
      </c>
      <c r="P120" s="228">
        <v>1685.43</v>
      </c>
      <c r="Q120" s="228">
        <v>1629.1489999999999</v>
      </c>
      <c r="R120" s="228">
        <v>2142.6590000000001</v>
      </c>
      <c r="S120" s="228">
        <v>2085.2190000000001</v>
      </c>
      <c r="T120" s="228">
        <v>1928.6420000000001</v>
      </c>
      <c r="U120" s="228">
        <v>2063.2719999999999</v>
      </c>
      <c r="V120" s="228">
        <v>1996.451</v>
      </c>
      <c r="W120" s="228">
        <v>1902.2180000000001</v>
      </c>
      <c r="X120" s="228">
        <v>1998.2449999999999</v>
      </c>
      <c r="Y120" s="228">
        <v>1917.2470000000001</v>
      </c>
      <c r="Z120" s="228">
        <v>1939.0319999999999</v>
      </c>
      <c r="AA120" s="228">
        <v>1930.5500000000002</v>
      </c>
      <c r="AB120" s="228">
        <v>1971.992</v>
      </c>
      <c r="AC120" s="228">
        <v>1941.4580000000001</v>
      </c>
    </row>
    <row r="121" spans="1:29" s="160" customFormat="1" ht="8.25" customHeight="1">
      <c r="D121" s="159"/>
      <c r="E121" s="159"/>
      <c r="F121" s="159"/>
      <c r="G121" s="159"/>
      <c r="H121" s="159"/>
      <c r="I121" s="159"/>
      <c r="J121" s="159"/>
      <c r="L121" s="159"/>
    </row>
    <row r="122" spans="1:29" s="160" customFormat="1" ht="14.25">
      <c r="A122" s="180" t="s">
        <v>401</v>
      </c>
      <c r="B122" s="180" t="s">
        <v>402</v>
      </c>
      <c r="C122" s="180" t="s">
        <v>402</v>
      </c>
      <c r="D122" s="181">
        <v>1786.2982638459916</v>
      </c>
      <c r="E122" s="181">
        <v>1910.932174443871</v>
      </c>
      <c r="F122" s="181">
        <v>1963.2566150447301</v>
      </c>
      <c r="G122" s="181">
        <v>2007.375</v>
      </c>
      <c r="H122" s="181">
        <v>2103.41</v>
      </c>
      <c r="I122" s="181">
        <v>2194.3029999999999</v>
      </c>
      <c r="J122" s="181">
        <v>2165.8649999999998</v>
      </c>
      <c r="K122" s="181">
        <v>2231.3939999999998</v>
      </c>
      <c r="L122" s="181">
        <v>2253.4250000000002</v>
      </c>
      <c r="M122" s="181">
        <v>2343.8620000000001</v>
      </c>
      <c r="N122" s="181">
        <v>2418.8220000000001</v>
      </c>
      <c r="O122" s="181">
        <v>2491.652</v>
      </c>
      <c r="P122" s="181">
        <v>2543.335</v>
      </c>
      <c r="Q122" s="181">
        <v>2687.7440000000001</v>
      </c>
      <c r="R122" s="181">
        <v>2667.0569999999998</v>
      </c>
      <c r="S122" s="181">
        <v>2750.3890000000001</v>
      </c>
      <c r="T122" s="181">
        <v>2677.0479999999998</v>
      </c>
      <c r="U122" s="181">
        <v>2888.127</v>
      </c>
      <c r="V122" s="181">
        <v>2998.7730000000001</v>
      </c>
      <c r="W122" s="181">
        <v>2980.9520000000002</v>
      </c>
      <c r="X122" s="181">
        <v>3042.8719999999998</v>
      </c>
      <c r="Y122" s="181">
        <v>2985.0419999999999</v>
      </c>
      <c r="Z122" s="181">
        <v>3023.627</v>
      </c>
      <c r="AA122" s="181">
        <v>3023.471</v>
      </c>
      <c r="AB122" s="181">
        <v>3165.922</v>
      </c>
      <c r="AC122" s="181">
        <v>3195.904</v>
      </c>
    </row>
    <row r="123" spans="1:29" s="160" customFormat="1" ht="14.25">
      <c r="A123" s="160" t="s">
        <v>208</v>
      </c>
      <c r="D123" s="159"/>
      <c r="E123" s="159"/>
      <c r="F123" s="159"/>
      <c r="G123" s="159"/>
      <c r="H123" s="159"/>
      <c r="I123" s="159"/>
      <c r="J123" s="159"/>
      <c r="L123" s="159"/>
    </row>
    <row r="124" spans="1:29" s="160" customFormat="1" ht="14.25">
      <c r="A124" s="160" t="s">
        <v>403</v>
      </c>
      <c r="B124" s="160" t="s">
        <v>404</v>
      </c>
      <c r="C124" s="160" t="s">
        <v>405</v>
      </c>
      <c r="D124" s="159">
        <v>611.39655385420372</v>
      </c>
      <c r="E124" s="159">
        <v>671.86035188186304</v>
      </c>
      <c r="F124" s="159">
        <v>680.0723821428312</v>
      </c>
      <c r="G124" s="159">
        <v>692.6447824538709</v>
      </c>
      <c r="H124" s="159">
        <v>723.45806414104334</v>
      </c>
      <c r="I124" s="159">
        <v>753.25392614986583</v>
      </c>
      <c r="J124" s="159">
        <v>760.96600000000001</v>
      </c>
      <c r="K124" s="159">
        <v>816.28200000000004</v>
      </c>
      <c r="L124" s="159">
        <v>827.84500000000003</v>
      </c>
      <c r="M124" s="159">
        <v>865.35500000000002</v>
      </c>
      <c r="N124" s="159">
        <v>879.85599999999999</v>
      </c>
      <c r="O124" s="205">
        <v>921.89499999999998</v>
      </c>
      <c r="P124" s="205">
        <v>937.42100000000005</v>
      </c>
      <c r="Q124" s="205">
        <v>946.19299999999998</v>
      </c>
      <c r="R124" s="205">
        <v>978.99900000000002</v>
      </c>
      <c r="S124" s="159">
        <v>1029.3330000000001</v>
      </c>
      <c r="T124" s="159">
        <v>985.64700000000005</v>
      </c>
      <c r="U124" s="159">
        <v>1057.153</v>
      </c>
      <c r="V124" s="159">
        <v>1110.394</v>
      </c>
      <c r="W124" s="159">
        <v>1102.4110000000001</v>
      </c>
      <c r="X124" s="159">
        <v>1104.9359999999999</v>
      </c>
      <c r="Y124" s="159">
        <v>1111.6610000000001</v>
      </c>
      <c r="Z124" s="159">
        <v>1090.069</v>
      </c>
      <c r="AA124" s="159">
        <v>1134.7080000000001</v>
      </c>
      <c r="AB124" s="159">
        <v>1118.9870000000001</v>
      </c>
      <c r="AC124" s="159">
        <v>1204.402</v>
      </c>
    </row>
    <row r="125" spans="1:29" s="160" customFormat="1" ht="14.25">
      <c r="A125" s="227" t="s">
        <v>406</v>
      </c>
      <c r="B125" s="227" t="s">
        <v>407</v>
      </c>
      <c r="C125" s="227" t="s">
        <v>407</v>
      </c>
      <c r="D125" s="228">
        <v>1130.3532626468898</v>
      </c>
      <c r="E125" s="228">
        <v>1191.4711161820599</v>
      </c>
      <c r="F125" s="228">
        <v>1222.4297435375681</v>
      </c>
      <c r="G125" s="228">
        <v>1253.9697535664193</v>
      </c>
      <c r="H125" s="228">
        <v>1307.665</v>
      </c>
      <c r="I125" s="228">
        <v>1363.423</v>
      </c>
      <c r="J125" s="228">
        <v>1341.375</v>
      </c>
      <c r="K125" s="228">
        <v>1333.175</v>
      </c>
      <c r="L125" s="228">
        <v>1342.5509999999999</v>
      </c>
      <c r="M125" s="228">
        <v>1379.693</v>
      </c>
      <c r="N125" s="228">
        <v>1434.46</v>
      </c>
      <c r="O125" s="228">
        <v>1460.7239999999999</v>
      </c>
      <c r="P125" s="228">
        <v>1491.9849999999999</v>
      </c>
      <c r="Q125" s="228">
        <v>1625.3050000000001</v>
      </c>
      <c r="R125" s="228">
        <v>1566.912</v>
      </c>
      <c r="S125" s="228">
        <v>1594.59</v>
      </c>
      <c r="T125" s="228">
        <v>1572.749</v>
      </c>
      <c r="U125" s="228">
        <v>1696.931</v>
      </c>
      <c r="V125" s="228">
        <v>1752.8630000000001</v>
      </c>
      <c r="W125" s="228">
        <v>1744.0630000000001</v>
      </c>
      <c r="X125" s="228">
        <v>1794.0239999999999</v>
      </c>
      <c r="Y125" s="228">
        <v>1737.5409999999999</v>
      </c>
      <c r="Z125" s="228">
        <v>1796.798</v>
      </c>
      <c r="AA125" s="228">
        <v>1752.702</v>
      </c>
      <c r="AB125" s="228">
        <v>1901.095</v>
      </c>
      <c r="AC125" s="228">
        <v>1847.855</v>
      </c>
    </row>
    <row r="126" spans="1:29" s="160" customFormat="1" ht="7.5" customHeight="1">
      <c r="D126" s="159"/>
      <c r="E126" s="159"/>
      <c r="F126" s="159"/>
      <c r="G126" s="159"/>
      <c r="H126" s="159"/>
      <c r="I126" s="159"/>
      <c r="J126" s="159"/>
      <c r="L126" s="159"/>
    </row>
    <row r="127" spans="1:29" s="160" customFormat="1" ht="14.25">
      <c r="A127" s="180" t="s">
        <v>408</v>
      </c>
      <c r="B127" s="180" t="s">
        <v>409</v>
      </c>
      <c r="C127" s="180" t="s">
        <v>409</v>
      </c>
      <c r="D127" s="181">
        <v>13715.035282660987</v>
      </c>
      <c r="E127" s="181">
        <v>13939.667013073842</v>
      </c>
      <c r="F127" s="181">
        <v>13816.777250495992</v>
      </c>
      <c r="G127" s="181">
        <v>14270.300999999999</v>
      </c>
      <c r="H127" s="181">
        <v>15175.358</v>
      </c>
      <c r="I127" s="181">
        <v>15653.464</v>
      </c>
      <c r="J127" s="181">
        <v>17458.575000000001</v>
      </c>
      <c r="K127" s="181">
        <v>17702.617999999999</v>
      </c>
      <c r="L127" s="181">
        <v>18297.825000000001</v>
      </c>
      <c r="M127" s="181">
        <v>17012.748</v>
      </c>
      <c r="N127" s="181">
        <v>17382.083999999999</v>
      </c>
      <c r="O127" s="181">
        <v>17488.166000000001</v>
      </c>
      <c r="P127" s="181">
        <v>18851.024000000001</v>
      </c>
      <c r="Q127" s="181">
        <v>21365.813999999998</v>
      </c>
      <c r="R127" s="181">
        <v>19480.740000000002</v>
      </c>
      <c r="S127" s="181">
        <v>22902.278999999999</v>
      </c>
      <c r="T127" s="181">
        <v>19448.441999999999</v>
      </c>
      <c r="U127" s="181">
        <v>28184.399000000001</v>
      </c>
      <c r="V127" s="181">
        <v>16719.842000000001</v>
      </c>
      <c r="W127" s="181">
        <v>14685.159</v>
      </c>
      <c r="X127" s="181">
        <v>17838.594000000001</v>
      </c>
      <c r="Y127" s="181">
        <v>14926.566000000001</v>
      </c>
      <c r="Z127" s="181">
        <v>17501.527999999998</v>
      </c>
      <c r="AA127" s="181">
        <v>16303.197</v>
      </c>
      <c r="AB127" s="181">
        <v>17911.989000000001</v>
      </c>
      <c r="AC127" s="181">
        <v>15807.432000000001</v>
      </c>
    </row>
    <row r="128" spans="1:29" s="160" customFormat="1" ht="14.25">
      <c r="A128" s="160" t="s">
        <v>208</v>
      </c>
      <c r="D128" s="159"/>
      <c r="E128" s="159"/>
      <c r="F128" s="159"/>
      <c r="G128" s="159"/>
      <c r="H128" s="159"/>
      <c r="I128" s="159"/>
      <c r="J128" s="159"/>
      <c r="L128" s="159"/>
    </row>
    <row r="129" spans="1:29" s="160" customFormat="1" ht="30">
      <c r="A129" s="200" t="s">
        <v>439</v>
      </c>
      <c r="B129" s="200" t="s">
        <v>410</v>
      </c>
      <c r="C129" s="200"/>
      <c r="D129" s="159">
        <v>6256.7676576818812</v>
      </c>
      <c r="E129" s="159">
        <v>7153.7684498157741</v>
      </c>
      <c r="F129" s="159">
        <v>7275.4954470469393</v>
      </c>
      <c r="G129" s="159">
        <v>7268.5188549668246</v>
      </c>
      <c r="H129" s="159">
        <v>7758.4791029265343</v>
      </c>
      <c r="I129" s="159">
        <v>8280.3179999999993</v>
      </c>
      <c r="J129" s="159">
        <v>9239.9549999999999</v>
      </c>
      <c r="K129" s="159">
        <v>8195.3680000000004</v>
      </c>
      <c r="L129" s="159">
        <v>8485.5030000000006</v>
      </c>
      <c r="M129" s="159">
        <v>8343.8790000000008</v>
      </c>
      <c r="N129" s="159">
        <v>8677.3119999999999</v>
      </c>
      <c r="O129" s="159">
        <v>8815.7060000000001</v>
      </c>
      <c r="P129" s="159">
        <v>9608.9349999999995</v>
      </c>
      <c r="Q129" s="159">
        <v>11608.808000000001</v>
      </c>
      <c r="R129" s="159">
        <v>10250.147000000001</v>
      </c>
      <c r="S129" s="159">
        <v>11977.083000000001</v>
      </c>
      <c r="T129" s="159">
        <v>9802.5419999999995</v>
      </c>
      <c r="U129" s="159">
        <v>11051.468999999999</v>
      </c>
      <c r="V129" s="159">
        <v>7438.8810000000003</v>
      </c>
      <c r="W129" s="159">
        <v>6727.6660000000002</v>
      </c>
      <c r="X129" s="159">
        <v>8080.2269999999999</v>
      </c>
      <c r="Y129" s="159">
        <v>5742.7650000000003</v>
      </c>
      <c r="Z129" s="159">
        <v>7770.8829999999998</v>
      </c>
      <c r="AA129" s="159">
        <v>6827.5129999999999</v>
      </c>
      <c r="AB129" s="159">
        <v>7947.1459999999997</v>
      </c>
      <c r="AC129" s="159">
        <v>6615.6360000000004</v>
      </c>
    </row>
    <row r="130" spans="1:29" s="160" customFormat="1" ht="14.25">
      <c r="A130" s="160" t="s">
        <v>164</v>
      </c>
      <c r="B130" s="160" t="s">
        <v>411</v>
      </c>
      <c r="D130" s="159">
        <v>3022.3905002071174</v>
      </c>
      <c r="E130" s="159">
        <v>3100.0050870983914</v>
      </c>
      <c r="F130" s="159">
        <v>3143.4634419307718</v>
      </c>
      <c r="G130" s="159">
        <v>3131.3649999999998</v>
      </c>
      <c r="H130" s="159">
        <v>3188.3969999999999</v>
      </c>
      <c r="I130" s="159">
        <v>3328.5749999999998</v>
      </c>
      <c r="J130" s="159">
        <v>3457.8850000000002</v>
      </c>
      <c r="K130" s="159">
        <v>3587.1880000000001</v>
      </c>
      <c r="L130" s="159">
        <v>3687.6680000000001</v>
      </c>
      <c r="M130" s="159">
        <v>3801.9760000000001</v>
      </c>
      <c r="N130" s="159">
        <v>3917.529</v>
      </c>
      <c r="O130" s="159">
        <v>4190.1180000000004</v>
      </c>
      <c r="P130" s="159">
        <v>3971.4749999999999</v>
      </c>
      <c r="Q130" s="159">
        <v>4073.4740000000002</v>
      </c>
      <c r="R130" s="159">
        <v>4183.6450000000004</v>
      </c>
      <c r="S130" s="159">
        <v>4133.4139999999998</v>
      </c>
      <c r="T130" s="159">
        <v>4259.7439999999997</v>
      </c>
      <c r="U130" s="159">
        <v>4290.1959999999999</v>
      </c>
      <c r="V130" s="159">
        <v>4562.2240000000002</v>
      </c>
      <c r="W130" s="159">
        <v>4432.1779999999999</v>
      </c>
      <c r="X130" s="159">
        <v>4553.3980000000001</v>
      </c>
      <c r="Y130" s="159">
        <v>4542.1409999999996</v>
      </c>
      <c r="Z130" s="159">
        <v>4708.3149999999996</v>
      </c>
      <c r="AA130" s="159">
        <v>4645.2610000000004</v>
      </c>
      <c r="AB130" s="159">
        <v>5215.4340000000002</v>
      </c>
      <c r="AC130" s="159">
        <v>5159.8100000000004</v>
      </c>
    </row>
    <row r="131" spans="1:29" s="160" customFormat="1" ht="103.5" customHeight="1">
      <c r="A131" s="200" t="s">
        <v>442</v>
      </c>
      <c r="B131" s="200" t="s">
        <v>412</v>
      </c>
      <c r="C131" s="200" t="s">
        <v>413</v>
      </c>
      <c r="D131" s="159">
        <v>175.06885751037404</v>
      </c>
      <c r="E131" s="159">
        <v>179.93793739962064</v>
      </c>
      <c r="F131" s="159">
        <v>363.94555351264142</v>
      </c>
      <c r="G131" s="159">
        <v>595.19051183477097</v>
      </c>
      <c r="H131" s="159">
        <v>784.2125535053741</v>
      </c>
      <c r="I131" s="159">
        <v>828.54298234776854</v>
      </c>
      <c r="J131" s="159">
        <v>844.245</v>
      </c>
      <c r="K131" s="159">
        <v>1051.9580000000001</v>
      </c>
      <c r="L131" s="159">
        <v>1073.4100000000001</v>
      </c>
      <c r="M131" s="159">
        <v>989.928</v>
      </c>
      <c r="N131" s="159">
        <v>1035.9459999999999</v>
      </c>
      <c r="O131" s="159">
        <v>1194.7550000000001</v>
      </c>
      <c r="P131" s="159">
        <v>1315.01</v>
      </c>
      <c r="Q131" s="159">
        <v>1401.6410000000001</v>
      </c>
      <c r="R131" s="159">
        <v>1567.029</v>
      </c>
      <c r="S131" s="159">
        <v>1647.4010000000001</v>
      </c>
      <c r="T131" s="159">
        <v>1744.25</v>
      </c>
      <c r="U131" s="159">
        <v>1572.6420000000001</v>
      </c>
      <c r="V131" s="159">
        <v>116.423</v>
      </c>
      <c r="W131" s="159">
        <v>108.31</v>
      </c>
      <c r="X131" s="159">
        <v>104.03400000000001</v>
      </c>
      <c r="Y131" s="159">
        <v>114.633</v>
      </c>
      <c r="Z131" s="159">
        <v>136.43100000000001</v>
      </c>
      <c r="AA131" s="159">
        <v>121.95</v>
      </c>
      <c r="AB131" s="159">
        <v>141.72</v>
      </c>
      <c r="AC131" s="159">
        <v>121.22</v>
      </c>
    </row>
    <row r="132" spans="1:29" s="160" customFormat="1" ht="14.25">
      <c r="A132" s="160" t="s">
        <v>414</v>
      </c>
      <c r="B132" s="160" t="s">
        <v>415</v>
      </c>
      <c r="C132" s="160" t="s">
        <v>416</v>
      </c>
      <c r="D132" s="159">
        <v>386.47413210467795</v>
      </c>
      <c r="E132" s="159">
        <v>244.54408697484791</v>
      </c>
      <c r="F132" s="159">
        <v>225.43113158870082</v>
      </c>
      <c r="G132" s="159">
        <v>260.16874632093777</v>
      </c>
      <c r="H132" s="159">
        <v>245.48883381903011</v>
      </c>
      <c r="I132" s="159">
        <v>253.84620974833396</v>
      </c>
      <c r="J132" s="159">
        <v>276.64400000000001</v>
      </c>
      <c r="K132" s="159">
        <v>253.94499999999999</v>
      </c>
      <c r="L132" s="159">
        <f>284.779837+154.571598+500</f>
        <v>939.35143500000004</v>
      </c>
      <c r="M132" s="159">
        <v>570.65800000000002</v>
      </c>
      <c r="N132" s="159">
        <v>250.233</v>
      </c>
      <c r="O132" s="205">
        <v>251.24</v>
      </c>
      <c r="P132" s="205">
        <v>266.07499999999999</v>
      </c>
      <c r="Q132" s="205">
        <v>267.18700000000001</v>
      </c>
      <c r="R132" s="205">
        <v>301.51</v>
      </c>
      <c r="S132" s="205">
        <v>315.54199999999997</v>
      </c>
      <c r="T132" s="205">
        <v>319.11</v>
      </c>
      <c r="U132" s="205">
        <v>336.27199999999999</v>
      </c>
      <c r="V132" s="205">
        <v>307.01</v>
      </c>
      <c r="W132" s="205">
        <v>305.84699999999998</v>
      </c>
      <c r="X132" s="205">
        <v>297.11</v>
      </c>
      <c r="Y132" s="205">
        <v>352.7</v>
      </c>
      <c r="Z132" s="205">
        <v>321.31400000000002</v>
      </c>
      <c r="AA132" s="205">
        <v>309.33100000000002</v>
      </c>
      <c r="AB132" s="205">
        <v>351.27300000000002</v>
      </c>
      <c r="AC132" s="205">
        <v>319.19900000000001</v>
      </c>
    </row>
    <row r="133" spans="1:29" s="160" customFormat="1" ht="28.5" customHeight="1">
      <c r="A133" s="200" t="s">
        <v>417</v>
      </c>
      <c r="B133" s="200" t="s">
        <v>418</v>
      </c>
      <c r="C133" s="200" t="s">
        <v>419</v>
      </c>
      <c r="D133" s="159">
        <v>210.09716357928241</v>
      </c>
      <c r="E133" s="159">
        <v>224.63173041285435</v>
      </c>
      <c r="F133" s="159">
        <v>238.22155040224413</v>
      </c>
      <c r="G133" s="159">
        <v>189.45807867561027</v>
      </c>
      <c r="H133" s="159">
        <v>158.49945132010203</v>
      </c>
      <c r="I133" s="159">
        <v>129.06695348211883</v>
      </c>
      <c r="J133" s="159">
        <v>114</v>
      </c>
      <c r="K133" s="159">
        <v>4.1423515475680031</v>
      </c>
      <c r="L133" s="159">
        <v>5</v>
      </c>
      <c r="M133" s="159">
        <v>4.4589999999999996</v>
      </c>
      <c r="N133" s="159">
        <v>6.9139999999999997</v>
      </c>
      <c r="O133" s="205">
        <v>6.9889999999999999</v>
      </c>
      <c r="P133" s="205">
        <v>9.016</v>
      </c>
      <c r="Q133" s="205">
        <v>5.4370000000000003</v>
      </c>
      <c r="R133" s="205">
        <v>3.649</v>
      </c>
      <c r="S133" s="205">
        <v>7.9569999999999999</v>
      </c>
      <c r="T133" s="205">
        <v>3.649</v>
      </c>
      <c r="U133" s="205">
        <v>29.847000000000001</v>
      </c>
      <c r="V133" s="205">
        <v>3.149</v>
      </c>
      <c r="W133" s="205">
        <v>16.010999999999999</v>
      </c>
      <c r="X133" s="205">
        <v>3.145</v>
      </c>
      <c r="Y133" s="205">
        <v>20.891999999999999</v>
      </c>
      <c r="Z133" s="205">
        <v>3.0659999999999998</v>
      </c>
      <c r="AA133" s="205">
        <v>29.033000000000001</v>
      </c>
      <c r="AB133" s="205">
        <v>5.4359999999999999</v>
      </c>
      <c r="AC133" s="205">
        <v>40.347999999999999</v>
      </c>
    </row>
    <row r="134" spans="1:29" s="160" customFormat="1" ht="14.25">
      <c r="A134" s="160" t="s">
        <v>420</v>
      </c>
      <c r="B134" s="160" t="s">
        <v>421</v>
      </c>
      <c r="D134" s="159">
        <v>259.3693451450913</v>
      </c>
      <c r="E134" s="159">
        <v>231.7536681613046</v>
      </c>
      <c r="F134" s="159">
        <v>195.85328808238191</v>
      </c>
      <c r="G134" s="159">
        <v>37.499182430615612</v>
      </c>
      <c r="H134" s="159">
        <v>37.717200933119187</v>
      </c>
      <c r="I134" s="159">
        <v>163.19200000000001</v>
      </c>
      <c r="J134" s="159">
        <v>184.56200000000001</v>
      </c>
      <c r="K134" s="159">
        <v>215.59399999999999</v>
      </c>
      <c r="L134" s="159">
        <v>224.12</v>
      </c>
      <c r="M134" s="159">
        <v>254.34100000000001</v>
      </c>
      <c r="N134" s="159">
        <v>236.96199999999999</v>
      </c>
      <c r="O134" s="159">
        <v>258.846</v>
      </c>
      <c r="P134" s="159">
        <v>222.98699999999999</v>
      </c>
      <c r="Q134" s="159">
        <v>300.24900000000002</v>
      </c>
      <c r="R134" s="159">
        <v>277.70600000000002</v>
      </c>
      <c r="S134" s="159">
        <v>298.46899999999999</v>
      </c>
      <c r="T134" s="159">
        <v>288.84699999999998</v>
      </c>
      <c r="U134" s="159">
        <v>274.464</v>
      </c>
      <c r="V134" s="159">
        <v>699.48699999999997</v>
      </c>
      <c r="W134" s="159">
        <v>282.26600000000002</v>
      </c>
      <c r="X134" s="159">
        <v>720.31399999999996</v>
      </c>
      <c r="Y134" s="159">
        <v>582.79499999999996</v>
      </c>
      <c r="Z134" s="159">
        <v>527.38</v>
      </c>
      <c r="AA134" s="159">
        <v>294.44</v>
      </c>
      <c r="AB134" s="159">
        <v>314.10599999999999</v>
      </c>
      <c r="AC134" s="159">
        <v>297.01299999999998</v>
      </c>
    </row>
    <row r="135" spans="1:29" s="160" customFormat="1" ht="14.25">
      <c r="A135" s="227" t="s">
        <v>422</v>
      </c>
      <c r="B135" s="227" t="s">
        <v>423</v>
      </c>
      <c r="C135" s="227"/>
      <c r="D135" s="228">
        <v>1517.9174872640858</v>
      </c>
      <c r="E135" s="228">
        <v>870.87</v>
      </c>
      <c r="F135" s="228">
        <v>429.07100000000003</v>
      </c>
      <c r="G135" s="228">
        <v>460.63299999999998</v>
      </c>
      <c r="H135" s="228">
        <v>1086.9380000000001</v>
      </c>
      <c r="I135" s="228">
        <v>670.55700000000002</v>
      </c>
      <c r="J135" s="228">
        <v>1207.269</v>
      </c>
      <c r="K135" s="228">
        <v>1761.796</v>
      </c>
      <c r="L135" s="228">
        <v>1662.329</v>
      </c>
      <c r="M135" s="235">
        <v>621.01</v>
      </c>
      <c r="N135" s="235">
        <v>893.29600000000005</v>
      </c>
      <c r="O135" s="235">
        <v>0.252</v>
      </c>
      <c r="P135" s="235">
        <v>972.23500000000001</v>
      </c>
      <c r="Q135" s="228">
        <v>1092.6030000000001</v>
      </c>
      <c r="R135" s="235">
        <v>12.956</v>
      </c>
      <c r="S135" s="228">
        <v>1899.778</v>
      </c>
      <c r="T135" s="235">
        <v>9.2870000000000008</v>
      </c>
      <c r="U135" s="228">
        <v>7917.3779999999997</v>
      </c>
      <c r="V135" s="235">
        <v>6.3559999999999999</v>
      </c>
      <c r="W135" s="235">
        <v>16.155999999999999</v>
      </c>
      <c r="X135" s="235">
        <v>5.0000000000000001E-3</v>
      </c>
      <c r="Y135" s="235">
        <v>31.209</v>
      </c>
      <c r="Z135" s="235">
        <v>17.100999999999999</v>
      </c>
      <c r="AA135" s="235">
        <v>51.192</v>
      </c>
      <c r="AB135" s="235">
        <v>21.491</v>
      </c>
      <c r="AC135" s="235">
        <v>39.902999999999999</v>
      </c>
    </row>
    <row r="136" spans="1:29" s="160" customFormat="1" ht="15.75" hidden="1" outlineLevel="1">
      <c r="A136" s="220" t="s">
        <v>440</v>
      </c>
      <c r="B136" s="220"/>
      <c r="C136" s="220"/>
      <c r="D136" s="201">
        <v>28.778442330472444</v>
      </c>
      <c r="E136" s="201">
        <v>28.197059657129568</v>
      </c>
      <c r="F136" s="201">
        <v>0.21801850250357913</v>
      </c>
      <c r="G136" s="201">
        <v>14.67991250190766</v>
      </c>
      <c r="H136" s="201">
        <v>5.668481065093057</v>
      </c>
      <c r="I136" s="201">
        <v>47.528033545780247</v>
      </c>
      <c r="J136" s="201">
        <v>186</v>
      </c>
      <c r="K136" s="201">
        <v>96.727542277421264</v>
      </c>
      <c r="L136" s="201">
        <v>62</v>
      </c>
      <c r="M136" s="211" t="s">
        <v>73</v>
      </c>
      <c r="N136" s="211" t="s">
        <v>73</v>
      </c>
      <c r="O136" s="211" t="s">
        <v>73</v>
      </c>
      <c r="P136" s="211" t="s">
        <v>73</v>
      </c>
      <c r="Q136" s="211" t="s">
        <v>73</v>
      </c>
      <c r="R136" s="211" t="s">
        <v>73</v>
      </c>
      <c r="S136" s="211" t="s">
        <v>73</v>
      </c>
      <c r="T136" s="211" t="s">
        <v>73</v>
      </c>
      <c r="U136" s="211" t="s">
        <v>73</v>
      </c>
      <c r="V136" s="211" t="s">
        <v>73</v>
      </c>
      <c r="W136" s="211" t="s">
        <v>73</v>
      </c>
      <c r="X136" s="211" t="s">
        <v>73</v>
      </c>
      <c r="Y136" s="211" t="s">
        <v>73</v>
      </c>
      <c r="Z136" s="211" t="s">
        <v>73</v>
      </c>
      <c r="AA136" s="211"/>
      <c r="AB136" s="211" t="s">
        <v>73</v>
      </c>
      <c r="AC136" s="211"/>
    </row>
    <row r="137" spans="1:29" s="160" customFormat="1" ht="7.5" customHeight="1" collapsed="1"/>
    <row r="138" spans="1:29" s="224" customFormat="1" ht="22.5" customHeight="1">
      <c r="A138" s="243" t="s">
        <v>734</v>
      </c>
      <c r="B138" s="243"/>
      <c r="C138" s="243"/>
      <c r="D138" s="244">
        <v>53156.326533578482</v>
      </c>
      <c r="E138" s="244">
        <v>55565.120999999999</v>
      </c>
      <c r="F138" s="244">
        <v>54852.578000000001</v>
      </c>
      <c r="G138" s="244">
        <v>60524.544999999998</v>
      </c>
      <c r="H138" s="244">
        <v>56510.404000000002</v>
      </c>
      <c r="I138" s="244">
        <v>57249.06</v>
      </c>
      <c r="J138" s="244">
        <v>58246.877</v>
      </c>
      <c r="K138" s="244">
        <v>60409.125999999997</v>
      </c>
      <c r="L138" s="244">
        <v>61818.061999999998</v>
      </c>
      <c r="M138" s="244">
        <v>61387.15</v>
      </c>
      <c r="N138" s="244">
        <v>64977.383000000002</v>
      </c>
      <c r="O138" s="244">
        <v>64419.764999999999</v>
      </c>
      <c r="P138" s="244">
        <v>66041.23</v>
      </c>
      <c r="Q138" s="244">
        <v>70561.244000000006</v>
      </c>
      <c r="R138" s="244">
        <v>69574.502999999997</v>
      </c>
      <c r="S138" s="244">
        <v>72331.915999999997</v>
      </c>
      <c r="T138" s="244">
        <v>69868.851999999999</v>
      </c>
      <c r="U138" s="244">
        <v>80298.267000000007</v>
      </c>
      <c r="V138" s="244">
        <v>77469.873000000007</v>
      </c>
      <c r="W138" s="244">
        <v>69456.578999999998</v>
      </c>
      <c r="X138" s="244">
        <v>70767.407000000007</v>
      </c>
      <c r="Y138" s="244">
        <v>67286.862999999998</v>
      </c>
      <c r="Z138" s="244">
        <v>70162.049999999988</v>
      </c>
      <c r="AA138" s="244">
        <v>67813.524999999994</v>
      </c>
      <c r="AB138" s="244">
        <v>76479.911999999997</v>
      </c>
      <c r="AC138" s="244">
        <v>72880.41</v>
      </c>
    </row>
    <row r="139" spans="1:29" s="160" customFormat="1" ht="14.25"/>
    <row r="140" spans="1:29" s="160" customFormat="1" ht="14.25">
      <c r="A140" s="198" t="s">
        <v>735</v>
      </c>
      <c r="B140" s="180"/>
      <c r="C140" s="180"/>
      <c r="D140" s="181"/>
      <c r="E140" s="181"/>
      <c r="F140" s="181"/>
      <c r="G140" s="181"/>
      <c r="H140" s="181"/>
      <c r="I140" s="181"/>
      <c r="J140" s="181"/>
      <c r="K140" s="181"/>
    </row>
    <row r="141" spans="1:29" s="160" customFormat="1" ht="14.25" hidden="1" outlineLevel="1">
      <c r="A141" s="180" t="s">
        <v>356</v>
      </c>
      <c r="B141" s="180"/>
      <c r="C141" s="180"/>
      <c r="D141" s="181">
        <v>90.986388378160356</v>
      </c>
      <c r="E141" s="181">
        <v>316.05415579602186</v>
      </c>
      <c r="F141" s="181">
        <v>138.80511326061205</v>
      </c>
      <c r="G141" s="225" t="s">
        <v>73</v>
      </c>
      <c r="H141" s="209" t="s">
        <v>73</v>
      </c>
      <c r="I141" s="209" t="s">
        <v>73</v>
      </c>
      <c r="J141" s="209" t="s">
        <v>73</v>
      </c>
      <c r="K141" s="209" t="s">
        <v>73</v>
      </c>
      <c r="L141" s="209" t="s">
        <v>73</v>
      </c>
      <c r="M141" s="209" t="s">
        <v>73</v>
      </c>
      <c r="N141" s="209" t="s">
        <v>73</v>
      </c>
      <c r="O141" s="209" t="s">
        <v>73</v>
      </c>
      <c r="P141" s="209" t="s">
        <v>73</v>
      </c>
      <c r="Q141" s="209" t="s">
        <v>73</v>
      </c>
      <c r="R141" s="181">
        <v>1E-3</v>
      </c>
      <c r="S141" s="181"/>
      <c r="T141" s="181">
        <v>1E-3</v>
      </c>
      <c r="U141" s="181"/>
      <c r="V141" s="181"/>
      <c r="W141" s="181"/>
      <c r="X141" s="181"/>
      <c r="Y141" s="181"/>
      <c r="Z141" s="181"/>
      <c r="AA141" s="181"/>
      <c r="AB141" s="181"/>
      <c r="AC141" s="181"/>
    </row>
    <row r="142" spans="1:29" s="160" customFormat="1" ht="14.25" hidden="1" outlineLevel="1">
      <c r="A142" s="160" t="s">
        <v>208</v>
      </c>
      <c r="D142" s="159"/>
      <c r="E142" s="159"/>
      <c r="F142" s="159"/>
      <c r="G142" s="203"/>
      <c r="H142" s="203"/>
      <c r="I142" s="203"/>
      <c r="J142" s="203"/>
      <c r="K142" s="153"/>
      <c r="L142" s="153"/>
      <c r="M142" s="226"/>
      <c r="N142" s="226"/>
    </row>
    <row r="143" spans="1:29" s="160" customFormat="1" ht="14.25" hidden="1" outlineLevel="1">
      <c r="A143" s="163" t="s">
        <v>424</v>
      </c>
      <c r="B143" s="163"/>
      <c r="C143" s="163"/>
      <c r="D143" s="201">
        <v>90.986388378160356</v>
      </c>
      <c r="E143" s="201">
        <v>316.05415579602186</v>
      </c>
      <c r="F143" s="201">
        <v>138.80511326061205</v>
      </c>
      <c r="G143" s="210" t="s">
        <v>73</v>
      </c>
      <c r="H143" s="204" t="s">
        <v>73</v>
      </c>
      <c r="I143" s="204" t="s">
        <v>73</v>
      </c>
      <c r="J143" s="204" t="s">
        <v>73</v>
      </c>
      <c r="K143" s="211" t="s">
        <v>73</v>
      </c>
      <c r="L143" s="211" t="s">
        <v>73</v>
      </c>
      <c r="M143" s="211" t="s">
        <v>73</v>
      </c>
      <c r="N143" s="211" t="s">
        <v>73</v>
      </c>
      <c r="O143" s="211" t="s">
        <v>73</v>
      </c>
      <c r="P143" s="211" t="s">
        <v>73</v>
      </c>
      <c r="Q143" s="211" t="s">
        <v>73</v>
      </c>
      <c r="R143" s="211" t="s">
        <v>73</v>
      </c>
      <c r="S143" s="211"/>
      <c r="T143" s="211" t="s">
        <v>73</v>
      </c>
      <c r="U143" s="211"/>
      <c r="V143" s="211"/>
      <c r="W143" s="211"/>
      <c r="X143" s="211"/>
      <c r="Y143" s="211"/>
      <c r="Z143" s="211"/>
      <c r="AA143" s="211"/>
      <c r="AB143" s="211"/>
      <c r="AC143" s="211"/>
    </row>
    <row r="144" spans="1:29" s="160" customFormat="1" ht="14.25" hidden="1" outlineLevel="1">
      <c r="D144" s="159"/>
      <c r="E144" s="159"/>
      <c r="F144" s="159"/>
      <c r="G144" s="159"/>
      <c r="H144" s="159"/>
      <c r="I144" s="159"/>
      <c r="J144" s="159"/>
      <c r="L144" s="159"/>
    </row>
    <row r="145" spans="1:29" s="160" customFormat="1" ht="14.25" collapsed="1">
      <c r="A145" s="180" t="s">
        <v>408</v>
      </c>
      <c r="B145" s="180" t="s">
        <v>409</v>
      </c>
      <c r="C145" s="180" t="s">
        <v>409</v>
      </c>
      <c r="D145" s="181">
        <v>8709.1124466763067</v>
      </c>
      <c r="E145" s="181">
        <v>14570.249195148361</v>
      </c>
      <c r="F145" s="181">
        <v>9325.3780804197577</v>
      </c>
      <c r="G145" s="181">
        <v>12160.636032644636</v>
      </c>
      <c r="H145" s="181">
        <v>24886.637999999999</v>
      </c>
      <c r="I145" s="181">
        <v>30654.845000000001</v>
      </c>
      <c r="J145" s="181">
        <v>63418.226999999999</v>
      </c>
      <c r="K145" s="181">
        <v>37114.080999999998</v>
      </c>
      <c r="L145" s="181">
        <v>34696.983</v>
      </c>
      <c r="M145" s="181">
        <v>51622.906999999999</v>
      </c>
      <c r="N145" s="181">
        <v>30226.097000000002</v>
      </c>
      <c r="O145" s="181">
        <v>49104.309000000001</v>
      </c>
      <c r="P145" s="181">
        <v>32270.65</v>
      </c>
      <c r="Q145" s="181">
        <v>39089.796000000002</v>
      </c>
      <c r="R145" s="181">
        <v>87530.259000000005</v>
      </c>
      <c r="S145" s="181">
        <v>57130.428999999996</v>
      </c>
      <c r="T145" s="181">
        <v>77813.236000000004</v>
      </c>
      <c r="U145" s="181">
        <v>42190.436999999998</v>
      </c>
      <c r="V145" s="181">
        <v>101769.356</v>
      </c>
      <c r="W145" s="181">
        <v>45265.752999999997</v>
      </c>
      <c r="X145" s="181">
        <v>96251.191000000006</v>
      </c>
      <c r="Y145" s="181">
        <v>47031.430999999997</v>
      </c>
      <c r="Z145" s="181">
        <v>71605.81</v>
      </c>
      <c r="AA145" s="181">
        <v>63280.089</v>
      </c>
      <c r="AB145" s="181">
        <v>82219.737999999998</v>
      </c>
      <c r="AC145" s="181">
        <v>44006.830999999998</v>
      </c>
    </row>
    <row r="146" spans="1:29" s="160" customFormat="1" ht="14.25">
      <c r="A146" s="160" t="s">
        <v>208</v>
      </c>
      <c r="D146" s="159"/>
      <c r="E146" s="159"/>
      <c r="F146" s="159"/>
      <c r="G146" s="159"/>
      <c r="H146" s="159"/>
      <c r="I146" s="159"/>
      <c r="J146" s="159"/>
      <c r="L146" s="159"/>
    </row>
    <row r="147" spans="1:29" s="160" customFormat="1" ht="28.5">
      <c r="A147" s="234" t="s">
        <v>428</v>
      </c>
      <c r="B147" s="234" t="s">
        <v>425</v>
      </c>
      <c r="C147" s="234"/>
      <c r="D147" s="228">
        <v>6453.8563839451172</v>
      </c>
      <c r="E147" s="228">
        <v>10208.571034061757</v>
      </c>
      <c r="F147" s="228">
        <v>9075.0201667114816</v>
      </c>
      <c r="G147" s="228">
        <v>8317.2605248432083</v>
      </c>
      <c r="H147" s="228">
        <v>21173.44825330843</v>
      </c>
      <c r="I147" s="228">
        <v>19577.189450811391</v>
      </c>
      <c r="J147" s="228">
        <v>24184</v>
      </c>
      <c r="K147" s="236">
        <v>14450</v>
      </c>
      <c r="L147" s="228">
        <v>20369</v>
      </c>
      <c r="M147" s="236">
        <v>51623</v>
      </c>
      <c r="N147" s="236">
        <v>30226.097000000002</v>
      </c>
      <c r="O147" s="228">
        <f t="shared" ref="O147:V147" si="0">O149</f>
        <v>49104.309000000001</v>
      </c>
      <c r="P147" s="228">
        <f t="shared" si="0"/>
        <v>32270.65</v>
      </c>
      <c r="Q147" s="228">
        <f t="shared" si="0"/>
        <v>39089.796000000002</v>
      </c>
      <c r="R147" s="228">
        <f t="shared" si="0"/>
        <v>87530.259000000005</v>
      </c>
      <c r="S147" s="228">
        <f t="shared" si="0"/>
        <v>57130.428999999996</v>
      </c>
      <c r="T147" s="228">
        <f t="shared" si="0"/>
        <v>77813.236000000004</v>
      </c>
      <c r="U147" s="228">
        <f>U149</f>
        <v>42190.436999999998</v>
      </c>
      <c r="V147" s="228">
        <f t="shared" si="0"/>
        <v>101769.356</v>
      </c>
      <c r="W147" s="228">
        <f t="shared" ref="W147:AB147" si="1">W149</f>
        <v>45265.752999999997</v>
      </c>
      <c r="X147" s="228">
        <f t="shared" si="1"/>
        <v>96251.191000000006</v>
      </c>
      <c r="Y147" s="228">
        <f t="shared" si="1"/>
        <v>47031.430999999997</v>
      </c>
      <c r="Z147" s="228">
        <f t="shared" si="1"/>
        <v>71605.81</v>
      </c>
      <c r="AA147" s="228">
        <f t="shared" si="1"/>
        <v>63280.089</v>
      </c>
      <c r="AB147" s="228">
        <f t="shared" si="1"/>
        <v>82219.737999999998</v>
      </c>
      <c r="AC147" s="228">
        <f t="shared" ref="AC147" si="2">AC149</f>
        <v>44006.830999999998</v>
      </c>
    </row>
    <row r="148" spans="1:29" s="160" customFormat="1" ht="15.75" hidden="1">
      <c r="A148" s="217" t="s">
        <v>441</v>
      </c>
      <c r="B148" s="217"/>
      <c r="C148" s="217"/>
      <c r="D148" s="159">
        <v>2255.2560627311905</v>
      </c>
      <c r="E148" s="159">
        <v>4361.6781610866037</v>
      </c>
      <c r="F148" s="159">
        <v>250.3579137082767</v>
      </c>
      <c r="G148" s="159">
        <v>3843.3755078014283</v>
      </c>
      <c r="H148" s="159">
        <v>3713.2184618067918</v>
      </c>
      <c r="I148" s="159">
        <v>11077.665457875191</v>
      </c>
      <c r="J148" s="159">
        <v>39234</v>
      </c>
      <c r="K148" s="206">
        <v>22664.476791930407</v>
      </c>
      <c r="L148" s="159">
        <v>14328</v>
      </c>
      <c r="M148" s="209" t="s">
        <v>73</v>
      </c>
      <c r="N148" s="209" t="s">
        <v>73</v>
      </c>
      <c r="O148" s="209" t="s">
        <v>73</v>
      </c>
      <c r="P148" s="209" t="s">
        <v>73</v>
      </c>
      <c r="Q148" s="209" t="s">
        <v>73</v>
      </c>
      <c r="R148" s="209" t="s">
        <v>73</v>
      </c>
      <c r="S148" s="209" t="s">
        <v>73</v>
      </c>
      <c r="T148" s="209" t="s">
        <v>73</v>
      </c>
      <c r="U148" s="209" t="s">
        <v>73</v>
      </c>
      <c r="V148" s="209" t="s">
        <v>73</v>
      </c>
      <c r="W148" s="209" t="s">
        <v>73</v>
      </c>
      <c r="X148" s="209" t="s">
        <v>73</v>
      </c>
      <c r="Y148" s="209" t="s">
        <v>73</v>
      </c>
      <c r="Z148" s="209" t="s">
        <v>73</v>
      </c>
      <c r="AA148" s="209"/>
      <c r="AB148" s="209" t="s">
        <v>73</v>
      </c>
      <c r="AC148" s="209" t="s">
        <v>73</v>
      </c>
    </row>
    <row r="149" spans="1:29" s="224" customFormat="1" ht="22.5" customHeight="1">
      <c r="A149" s="245" t="s">
        <v>736</v>
      </c>
      <c r="B149" s="245"/>
      <c r="C149" s="245"/>
      <c r="D149" s="246">
        <v>8800.0988350544667</v>
      </c>
      <c r="E149" s="246">
        <v>14886.303350944383</v>
      </c>
      <c r="F149" s="246">
        <v>9464.1831936803701</v>
      </c>
      <c r="G149" s="246">
        <v>12160.636032644636</v>
      </c>
      <c r="H149" s="246">
        <v>24886.666715115221</v>
      </c>
      <c r="I149" s="246">
        <v>30654.854908686582</v>
      </c>
      <c r="J149" s="246">
        <f t="shared" ref="J149:V149" si="3">J145</f>
        <v>63418.226999999999</v>
      </c>
      <c r="K149" s="246">
        <f t="shared" si="3"/>
        <v>37114.080999999998</v>
      </c>
      <c r="L149" s="246">
        <f t="shared" si="3"/>
        <v>34696.983</v>
      </c>
      <c r="M149" s="246">
        <f t="shared" si="3"/>
        <v>51622.906999999999</v>
      </c>
      <c r="N149" s="246">
        <f t="shared" si="3"/>
        <v>30226.097000000002</v>
      </c>
      <c r="O149" s="246">
        <f t="shared" si="3"/>
        <v>49104.309000000001</v>
      </c>
      <c r="P149" s="246">
        <f t="shared" si="3"/>
        <v>32270.65</v>
      </c>
      <c r="Q149" s="246">
        <f t="shared" si="3"/>
        <v>39089.796000000002</v>
      </c>
      <c r="R149" s="246">
        <f t="shared" si="3"/>
        <v>87530.259000000005</v>
      </c>
      <c r="S149" s="246">
        <f t="shared" si="3"/>
        <v>57130.428999999996</v>
      </c>
      <c r="T149" s="246">
        <f t="shared" si="3"/>
        <v>77813.236000000004</v>
      </c>
      <c r="U149" s="246">
        <f t="shared" si="3"/>
        <v>42190.436999999998</v>
      </c>
      <c r="V149" s="246">
        <f t="shared" si="3"/>
        <v>101769.356</v>
      </c>
      <c r="W149" s="246">
        <f t="shared" ref="W149:AB149" si="4">W145</f>
        <v>45265.752999999997</v>
      </c>
      <c r="X149" s="246">
        <f t="shared" si="4"/>
        <v>96251.191000000006</v>
      </c>
      <c r="Y149" s="246">
        <f t="shared" si="4"/>
        <v>47031.430999999997</v>
      </c>
      <c r="Z149" s="246">
        <f t="shared" si="4"/>
        <v>71605.81</v>
      </c>
      <c r="AA149" s="246">
        <f t="shared" si="4"/>
        <v>63280.089</v>
      </c>
      <c r="AB149" s="246">
        <f t="shared" si="4"/>
        <v>82219.737999999998</v>
      </c>
      <c r="AC149" s="246">
        <f t="shared" ref="AC149" si="5">AC145</f>
        <v>44006.830999999998</v>
      </c>
    </row>
    <row r="150" spans="1:29" s="224" customFormat="1" ht="22.5" customHeight="1">
      <c r="A150" s="221" t="s">
        <v>737</v>
      </c>
      <c r="B150" s="221"/>
      <c r="C150" s="221"/>
      <c r="D150" s="222">
        <v>61956.425368632947</v>
      </c>
      <c r="E150" s="222">
        <v>70451.443645850741</v>
      </c>
      <c r="F150" s="222">
        <v>64316.766349570862</v>
      </c>
      <c r="G150" s="222">
        <v>72685.188549668237</v>
      </c>
      <c r="H150" s="222">
        <v>81397.062564042935</v>
      </c>
      <c r="I150" s="222">
        <v>87903.897444096423</v>
      </c>
      <c r="J150" s="222">
        <f t="shared" ref="J150:AA150" si="6">J138+J149</f>
        <v>121665.10399999999</v>
      </c>
      <c r="K150" s="222">
        <f t="shared" si="6"/>
        <v>97523.206999999995</v>
      </c>
      <c r="L150" s="222">
        <f t="shared" si="6"/>
        <v>96515.044999999998</v>
      </c>
      <c r="M150" s="222">
        <f t="shared" si="6"/>
        <v>113010.057</v>
      </c>
      <c r="N150" s="222">
        <f t="shared" si="6"/>
        <v>95203.48000000001</v>
      </c>
      <c r="O150" s="222">
        <f t="shared" si="6"/>
        <v>113524.07399999999</v>
      </c>
      <c r="P150" s="222">
        <f t="shared" si="6"/>
        <v>98311.88</v>
      </c>
      <c r="Q150" s="222">
        <f t="shared" si="6"/>
        <v>109651.04000000001</v>
      </c>
      <c r="R150" s="222">
        <f t="shared" si="6"/>
        <v>157104.76199999999</v>
      </c>
      <c r="S150" s="222">
        <f t="shared" si="6"/>
        <v>129462.345</v>
      </c>
      <c r="T150" s="222">
        <f t="shared" si="6"/>
        <v>147682.08799999999</v>
      </c>
      <c r="U150" s="222">
        <f t="shared" si="6"/>
        <v>122488.704</v>
      </c>
      <c r="V150" s="222">
        <f t="shared" si="6"/>
        <v>179239.22899999999</v>
      </c>
      <c r="W150" s="222">
        <f t="shared" si="6"/>
        <v>114722.33199999999</v>
      </c>
      <c r="X150" s="222">
        <f t="shared" si="6"/>
        <v>167018.598</v>
      </c>
      <c r="Y150" s="222">
        <f t="shared" si="6"/>
        <v>114318.29399999999</v>
      </c>
      <c r="Z150" s="222">
        <f t="shared" si="6"/>
        <v>141767.85999999999</v>
      </c>
      <c r="AA150" s="222">
        <f t="shared" si="6"/>
        <v>131093.614</v>
      </c>
      <c r="AB150" s="222">
        <f>AB138+AB149</f>
        <v>158699.65</v>
      </c>
      <c r="AC150" s="222">
        <f>AC138+AC149</f>
        <v>116887.24100000001</v>
      </c>
    </row>
    <row r="151" spans="1:29" s="131" customFormat="1" ht="15">
      <c r="B151" s="135"/>
      <c r="C151" s="135"/>
    </row>
    <row r="152" spans="1:29" s="131" customFormat="1" ht="15">
      <c r="A152" s="109" t="s">
        <v>168</v>
      </c>
      <c r="B152" s="135"/>
      <c r="C152" s="135"/>
    </row>
    <row r="153" spans="1:29" s="131" customFormat="1" ht="15">
      <c r="A153" s="248" t="s">
        <v>448</v>
      </c>
      <c r="B153" s="135"/>
      <c r="C153" s="135"/>
      <c r="M153" s="144"/>
    </row>
    <row r="154" spans="1:29" s="131" customFormat="1" ht="15">
      <c r="A154" s="248" t="s">
        <v>447</v>
      </c>
      <c r="B154" s="135"/>
      <c r="C154" s="135"/>
    </row>
    <row r="155" spans="1:29" s="131" customFormat="1" ht="15">
      <c r="A155" s="248" t="s">
        <v>449</v>
      </c>
      <c r="B155" s="135"/>
      <c r="C155" s="135"/>
    </row>
    <row r="156" spans="1:29" s="131" customFormat="1" ht="15">
      <c r="A156" s="248" t="s">
        <v>450</v>
      </c>
      <c r="B156" s="135"/>
      <c r="C156" s="135"/>
    </row>
    <row r="157" spans="1:29" s="131" customFormat="1" ht="15" hidden="1">
      <c r="A157" s="248" t="s">
        <v>445</v>
      </c>
      <c r="B157" s="135"/>
      <c r="C157" s="135"/>
    </row>
    <row r="158" spans="1:29" s="131" customFormat="1" ht="15">
      <c r="A158" s="248" t="s">
        <v>446</v>
      </c>
      <c r="B158" s="135"/>
      <c r="C158" s="135"/>
    </row>
    <row r="159" spans="1:29" s="131" customFormat="1" ht="15">
      <c r="B159" s="135"/>
      <c r="C159" s="135"/>
    </row>
    <row r="160" spans="1:29" s="131" customFormat="1" ht="15">
      <c r="B160" s="132"/>
      <c r="C160" s="132"/>
    </row>
    <row r="161" spans="1:3" s="131" customFormat="1" ht="15">
      <c r="B161" s="135"/>
      <c r="C161" s="135"/>
    </row>
    <row r="162" spans="1:3" s="131" customFormat="1" ht="15">
      <c r="B162" s="135"/>
      <c r="C162" s="135"/>
    </row>
    <row r="163" spans="1:3" s="131" customFormat="1" ht="15">
      <c r="A163" s="130"/>
      <c r="B163" s="135"/>
      <c r="C163" s="135"/>
    </row>
    <row r="164" spans="1:3" ht="15">
      <c r="A164" s="131"/>
    </row>
    <row r="165" spans="1:3">
      <c r="B165" s="184"/>
      <c r="C165" s="184"/>
    </row>
    <row r="166" spans="1:3">
      <c r="A166" s="184"/>
    </row>
    <row r="167" spans="1:3">
      <c r="B167" s="184"/>
      <c r="C167" s="184"/>
    </row>
    <row r="168" spans="1:3">
      <c r="A168" s="184"/>
    </row>
    <row r="169" spans="1:3">
      <c r="B169" s="184"/>
      <c r="C169" s="184"/>
    </row>
    <row r="170" spans="1:3">
      <c r="A170" s="184" t="s">
        <v>426</v>
      </c>
      <c r="B170" s="184"/>
      <c r="C170" s="184"/>
    </row>
    <row r="171" spans="1:3" hidden="1" outlineLevel="1">
      <c r="A171" s="184" t="s">
        <v>427</v>
      </c>
      <c r="B171" s="184"/>
      <c r="C171" s="184"/>
    </row>
    <row r="172" spans="1:3" collapsed="1"/>
  </sheetData>
  <printOptions horizontalCentered="1"/>
  <pageMargins left="0.19685039370078741" right="0.19685039370078741" top="0.24" bottom="0.17" header="0.15748031496062992" footer="0.11811023622047245"/>
  <pageSetup paperSize="9" scale="95"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IR44"/>
  <sheetViews>
    <sheetView showGridLines="0" workbookViewId="0"/>
  </sheetViews>
  <sheetFormatPr baseColWidth="10" defaultColWidth="11.42578125" defaultRowHeight="11.45" customHeight="1"/>
  <cols>
    <col min="1" max="1" width="25.7109375" style="10" customWidth="1"/>
    <col min="2" max="8" width="5.85546875" style="10" customWidth="1"/>
    <col min="9" max="11" width="6.42578125" style="10" customWidth="1"/>
    <col min="12" max="16384" width="11.42578125" style="10"/>
  </cols>
  <sheetData>
    <row r="1" spans="1:252" s="1" customFormat="1" ht="15">
      <c r="A1" s="155" t="s">
        <v>992</v>
      </c>
      <c r="B1" s="140"/>
      <c r="C1" s="140"/>
      <c r="D1" s="140"/>
      <c r="E1" s="250"/>
      <c r="F1" s="250"/>
      <c r="G1" s="250"/>
      <c r="H1" s="250"/>
      <c r="I1" s="140"/>
      <c r="J1" s="140"/>
      <c r="K1" s="140"/>
      <c r="L1" s="140"/>
      <c r="M1" s="140"/>
      <c r="N1" s="140"/>
      <c r="O1" s="140"/>
      <c r="P1" s="140"/>
      <c r="Q1" s="140"/>
      <c r="R1" s="250"/>
      <c r="S1" s="250"/>
      <c r="T1" s="250"/>
      <c r="U1" s="140"/>
      <c r="V1" s="140"/>
      <c r="W1" s="140"/>
      <c r="X1" s="140"/>
      <c r="Y1" s="140"/>
      <c r="Z1" s="140"/>
      <c r="AA1" s="140"/>
      <c r="AB1" s="140"/>
      <c r="AC1" s="140"/>
      <c r="AD1" s="250"/>
      <c r="AE1" s="250"/>
      <c r="AF1" s="250"/>
      <c r="AG1" s="140"/>
      <c r="AH1" s="140"/>
      <c r="AI1" s="140"/>
      <c r="AJ1" s="140"/>
      <c r="AK1" s="140"/>
      <c r="AL1" s="140"/>
      <c r="AM1" s="140"/>
      <c r="AN1" s="140"/>
      <c r="AO1" s="140"/>
      <c r="AP1" s="250"/>
      <c r="AQ1" s="250"/>
      <c r="AR1" s="250"/>
      <c r="AS1" s="140"/>
      <c r="AT1" s="140"/>
      <c r="AU1" s="140"/>
      <c r="AV1" s="140"/>
      <c r="AW1" s="140"/>
      <c r="AX1" s="140"/>
      <c r="AY1" s="140"/>
      <c r="AZ1" s="140"/>
      <c r="BA1" s="140"/>
      <c r="BB1" s="250"/>
      <c r="BC1" s="250"/>
      <c r="BD1" s="250"/>
      <c r="BE1" s="140"/>
      <c r="BF1" s="140"/>
      <c r="BG1" s="140"/>
      <c r="BH1" s="140"/>
      <c r="BI1" s="140"/>
      <c r="BJ1" s="140"/>
      <c r="BK1" s="140"/>
      <c r="BL1" s="140"/>
      <c r="BM1" s="140"/>
      <c r="BN1" s="250"/>
      <c r="BO1" s="250"/>
      <c r="BP1" s="250"/>
      <c r="BQ1" s="140"/>
      <c r="BR1" s="140"/>
      <c r="BS1" s="140"/>
      <c r="BT1" s="140"/>
      <c r="BU1" s="140"/>
      <c r="BV1" s="140"/>
      <c r="BW1" s="140"/>
      <c r="BX1" s="140"/>
      <c r="BY1" s="140"/>
      <c r="BZ1" s="250"/>
      <c r="CA1" s="250"/>
      <c r="CB1" s="250"/>
      <c r="CC1" s="140"/>
      <c r="CD1" s="140"/>
      <c r="CE1" s="140"/>
      <c r="CF1" s="140"/>
      <c r="CG1" s="140"/>
      <c r="CH1" s="140"/>
      <c r="CI1" s="140"/>
      <c r="CJ1" s="140"/>
      <c r="CK1" s="140"/>
      <c r="CL1" s="250"/>
      <c r="CM1" s="250"/>
      <c r="CN1" s="250"/>
      <c r="CO1" s="140"/>
      <c r="CP1" s="140"/>
      <c r="CQ1" s="140"/>
      <c r="CR1" s="140"/>
      <c r="CS1" s="140"/>
      <c r="CT1" s="140"/>
      <c r="CU1" s="140"/>
      <c r="CV1" s="140"/>
      <c r="CW1" s="140"/>
      <c r="CX1" s="250"/>
      <c r="CY1" s="250"/>
      <c r="CZ1" s="250"/>
      <c r="DA1" s="140"/>
      <c r="DB1" s="140"/>
      <c r="DC1" s="140"/>
      <c r="DD1" s="140"/>
      <c r="DE1" s="140"/>
      <c r="DF1" s="140"/>
      <c r="DG1" s="140"/>
      <c r="DH1" s="140"/>
      <c r="DI1" s="140"/>
      <c r="DJ1" s="250"/>
      <c r="DK1" s="250"/>
      <c r="DL1" s="250"/>
      <c r="DM1" s="140"/>
      <c r="DN1" s="140"/>
      <c r="DO1" s="140"/>
      <c r="DP1" s="140"/>
      <c r="DQ1" s="140"/>
      <c r="DR1" s="140"/>
      <c r="DS1" s="140"/>
      <c r="DT1" s="140"/>
      <c r="DU1" s="140"/>
      <c r="DV1" s="250"/>
      <c r="DW1" s="250"/>
      <c r="DX1" s="250"/>
      <c r="DY1" s="140"/>
      <c r="DZ1" s="140"/>
      <c r="EA1" s="140"/>
      <c r="EB1" s="140"/>
      <c r="EC1" s="140"/>
      <c r="ED1" s="140"/>
      <c r="EE1" s="140"/>
      <c r="EF1" s="140"/>
      <c r="EG1" s="140"/>
      <c r="EH1" s="250"/>
      <c r="EI1" s="250"/>
      <c r="EJ1" s="250"/>
      <c r="EK1" s="140"/>
      <c r="EL1" s="140"/>
      <c r="EM1" s="140"/>
      <c r="EN1" s="140"/>
      <c r="EO1" s="140"/>
      <c r="EP1" s="140"/>
      <c r="EQ1" s="140"/>
      <c r="ER1" s="140"/>
      <c r="ES1" s="140"/>
      <c r="ET1" s="250"/>
      <c r="EU1" s="250"/>
      <c r="EV1" s="250"/>
      <c r="EW1" s="140"/>
      <c r="EX1" s="140"/>
      <c r="EY1" s="140"/>
      <c r="EZ1" s="140"/>
      <c r="FA1" s="140"/>
      <c r="FB1" s="140"/>
      <c r="FC1" s="140"/>
      <c r="FD1" s="140"/>
      <c r="FE1" s="140"/>
      <c r="FF1" s="250"/>
      <c r="FG1" s="250"/>
      <c r="FH1" s="250"/>
      <c r="FI1" s="140"/>
      <c r="FJ1" s="140"/>
      <c r="FK1" s="140"/>
      <c r="FL1" s="140"/>
      <c r="FM1" s="140"/>
      <c r="FN1" s="140"/>
      <c r="FO1" s="140"/>
      <c r="FP1" s="140"/>
      <c r="FQ1" s="140"/>
      <c r="FR1" s="250"/>
      <c r="FS1" s="250"/>
      <c r="FT1" s="250"/>
      <c r="FU1" s="140"/>
      <c r="FV1" s="140"/>
      <c r="FW1" s="140"/>
      <c r="FX1" s="140"/>
      <c r="FY1" s="140"/>
      <c r="FZ1" s="140"/>
      <c r="GA1" s="140"/>
      <c r="GB1" s="140"/>
      <c r="GC1" s="140"/>
      <c r="GD1" s="250"/>
      <c r="GE1" s="250"/>
      <c r="GF1" s="250"/>
      <c r="GG1" s="140"/>
      <c r="GH1" s="140"/>
      <c r="GI1" s="140"/>
      <c r="GJ1" s="140"/>
      <c r="GK1" s="140"/>
      <c r="GL1" s="140"/>
      <c r="GM1" s="140"/>
      <c r="GN1" s="140"/>
      <c r="GO1" s="140"/>
      <c r="GP1" s="250"/>
      <c r="GQ1" s="250"/>
      <c r="GR1" s="250"/>
      <c r="GS1" s="140"/>
      <c r="GT1" s="140"/>
      <c r="GU1" s="140"/>
      <c r="GV1" s="140"/>
      <c r="GW1" s="140"/>
      <c r="GX1" s="140"/>
      <c r="GY1" s="140"/>
      <c r="GZ1" s="140"/>
      <c r="HA1" s="140"/>
      <c r="HB1" s="250"/>
      <c r="HC1" s="250"/>
      <c r="HD1" s="250"/>
      <c r="HE1" s="140"/>
      <c r="HF1" s="140"/>
      <c r="HG1" s="140"/>
      <c r="HH1" s="140"/>
      <c r="HI1" s="140"/>
      <c r="HJ1" s="140"/>
      <c r="HK1" s="140"/>
      <c r="HL1" s="140"/>
      <c r="HM1" s="140"/>
      <c r="HN1" s="250"/>
      <c r="HO1" s="250"/>
      <c r="HP1" s="250"/>
      <c r="HQ1" s="140"/>
      <c r="HR1" s="140"/>
      <c r="HS1" s="140"/>
      <c r="HT1" s="140"/>
      <c r="HU1" s="140"/>
      <c r="HV1" s="140"/>
      <c r="HW1" s="140"/>
      <c r="HX1" s="140"/>
      <c r="HY1" s="140"/>
      <c r="HZ1" s="250"/>
      <c r="IA1" s="250"/>
      <c r="IB1" s="250"/>
      <c r="IC1" s="140"/>
      <c r="ID1" s="140"/>
      <c r="IE1" s="140"/>
      <c r="IF1" s="140"/>
      <c r="IG1" s="140"/>
      <c r="IH1" s="140"/>
      <c r="II1" s="140"/>
      <c r="IJ1" s="140"/>
      <c r="IK1" s="140"/>
      <c r="IL1" s="250"/>
      <c r="IM1" s="250"/>
      <c r="IN1" s="250"/>
      <c r="IO1" s="140"/>
      <c r="IP1" s="140"/>
      <c r="IQ1" s="140"/>
      <c r="IR1" s="140"/>
    </row>
    <row r="2" spans="1:252" s="6" customFormat="1" ht="15">
      <c r="A2" s="152" t="s">
        <v>32</v>
      </c>
      <c r="B2" s="150"/>
      <c r="C2" s="150"/>
      <c r="D2" s="150"/>
      <c r="E2" s="252"/>
      <c r="F2" s="252"/>
      <c r="G2" s="252"/>
      <c r="H2" s="252"/>
      <c r="I2" s="251"/>
      <c r="J2" s="251"/>
      <c r="K2" s="251"/>
      <c r="L2" s="251"/>
      <c r="M2" s="251"/>
      <c r="N2" s="251"/>
      <c r="O2" s="150"/>
      <c r="P2" s="150"/>
      <c r="Q2" s="150"/>
      <c r="R2" s="252"/>
      <c r="S2" s="252"/>
      <c r="T2" s="252"/>
      <c r="U2" s="251"/>
      <c r="V2" s="251"/>
      <c r="W2" s="251"/>
      <c r="X2" s="251"/>
      <c r="Y2" s="251"/>
      <c r="Z2" s="251"/>
      <c r="AA2" s="150"/>
      <c r="AB2" s="150"/>
      <c r="AC2" s="150"/>
      <c r="AD2" s="252"/>
      <c r="AE2" s="252"/>
      <c r="AF2" s="252"/>
      <c r="AG2" s="251"/>
      <c r="AH2" s="251"/>
      <c r="AI2" s="251"/>
      <c r="AJ2" s="251"/>
      <c r="AK2" s="251"/>
      <c r="AL2" s="251"/>
      <c r="AM2" s="150"/>
      <c r="AN2" s="150"/>
      <c r="AO2" s="150"/>
      <c r="AP2" s="252"/>
      <c r="AQ2" s="252"/>
      <c r="AR2" s="252"/>
      <c r="AS2" s="251"/>
      <c r="AT2" s="251"/>
      <c r="AU2" s="251"/>
      <c r="AV2" s="251"/>
      <c r="AW2" s="251"/>
      <c r="AX2" s="251"/>
      <c r="AY2" s="150"/>
      <c r="AZ2" s="150"/>
      <c r="BA2" s="150"/>
      <c r="BB2" s="252"/>
      <c r="BC2" s="252"/>
      <c r="BD2" s="252"/>
      <c r="BE2" s="251"/>
      <c r="BF2" s="251"/>
      <c r="BG2" s="251"/>
      <c r="BH2" s="251"/>
      <c r="BI2" s="251"/>
      <c r="BJ2" s="251"/>
      <c r="BK2" s="150"/>
      <c r="BL2" s="150"/>
      <c r="BM2" s="150"/>
      <c r="BN2" s="252"/>
      <c r="BO2" s="252"/>
      <c r="BP2" s="252"/>
      <c r="BQ2" s="251"/>
      <c r="BR2" s="251"/>
      <c r="BS2" s="251"/>
      <c r="BT2" s="251"/>
      <c r="BU2" s="251"/>
      <c r="BV2" s="251"/>
      <c r="BW2" s="150"/>
      <c r="BX2" s="150"/>
      <c r="BY2" s="150"/>
      <c r="BZ2" s="252"/>
      <c r="CA2" s="252"/>
      <c r="CB2" s="252"/>
      <c r="CC2" s="251"/>
      <c r="CD2" s="251"/>
      <c r="CE2" s="251"/>
      <c r="CF2" s="251"/>
      <c r="CG2" s="251"/>
      <c r="CH2" s="251"/>
      <c r="CI2" s="150"/>
      <c r="CJ2" s="150"/>
      <c r="CK2" s="150"/>
      <c r="CL2" s="252"/>
      <c r="CM2" s="252"/>
      <c r="CN2" s="252"/>
      <c r="CO2" s="251"/>
      <c r="CP2" s="251"/>
      <c r="CQ2" s="251"/>
      <c r="CR2" s="251"/>
      <c r="CS2" s="251"/>
      <c r="CT2" s="251"/>
      <c r="CU2" s="150"/>
      <c r="CV2" s="150"/>
      <c r="CW2" s="150"/>
      <c r="CX2" s="252"/>
      <c r="CY2" s="252"/>
      <c r="CZ2" s="252"/>
      <c r="DA2" s="251"/>
      <c r="DB2" s="251"/>
      <c r="DC2" s="251"/>
      <c r="DD2" s="251"/>
      <c r="DE2" s="251"/>
      <c r="DF2" s="251"/>
      <c r="DG2" s="150"/>
      <c r="DH2" s="150"/>
      <c r="DI2" s="150"/>
      <c r="DJ2" s="252"/>
      <c r="DK2" s="252"/>
      <c r="DL2" s="252"/>
      <c r="DM2" s="251"/>
      <c r="DN2" s="251"/>
      <c r="DO2" s="251"/>
      <c r="DP2" s="251"/>
      <c r="DQ2" s="251"/>
      <c r="DR2" s="251"/>
      <c r="DS2" s="150"/>
      <c r="DT2" s="150"/>
      <c r="DU2" s="150"/>
      <c r="DV2" s="252"/>
      <c r="DW2" s="252"/>
      <c r="DX2" s="252"/>
      <c r="DY2" s="251"/>
      <c r="DZ2" s="251"/>
      <c r="EA2" s="251"/>
      <c r="EB2" s="251"/>
      <c r="EC2" s="251"/>
      <c r="ED2" s="251"/>
      <c r="EE2" s="150"/>
      <c r="EF2" s="150"/>
      <c r="EG2" s="150"/>
      <c r="EH2" s="252"/>
      <c r="EI2" s="252"/>
      <c r="EJ2" s="252"/>
      <c r="EK2" s="251"/>
      <c r="EL2" s="251"/>
      <c r="EM2" s="251"/>
      <c r="EN2" s="251"/>
      <c r="EO2" s="251"/>
      <c r="EP2" s="251"/>
      <c r="EQ2" s="150"/>
      <c r="ER2" s="150"/>
      <c r="ES2" s="150"/>
      <c r="ET2" s="252"/>
      <c r="EU2" s="252"/>
      <c r="EV2" s="252"/>
      <c r="EW2" s="251"/>
      <c r="EX2" s="251"/>
      <c r="EY2" s="251"/>
      <c r="EZ2" s="251"/>
      <c r="FA2" s="251"/>
      <c r="FB2" s="251"/>
      <c r="FC2" s="150"/>
      <c r="FD2" s="150"/>
      <c r="FE2" s="150"/>
      <c r="FF2" s="252"/>
      <c r="FG2" s="252"/>
      <c r="FH2" s="252"/>
      <c r="FI2" s="251"/>
      <c r="FJ2" s="251"/>
      <c r="FK2" s="251"/>
      <c r="FL2" s="251"/>
      <c r="FM2" s="251"/>
      <c r="FN2" s="251"/>
      <c r="FO2" s="150"/>
      <c r="FP2" s="150"/>
      <c r="FQ2" s="150"/>
      <c r="FR2" s="252"/>
      <c r="FS2" s="252"/>
      <c r="FT2" s="252"/>
      <c r="FU2" s="251"/>
      <c r="FV2" s="251"/>
      <c r="FW2" s="251"/>
      <c r="FX2" s="251"/>
      <c r="FY2" s="251"/>
      <c r="FZ2" s="251"/>
      <c r="GA2" s="150"/>
      <c r="GB2" s="150"/>
      <c r="GC2" s="150"/>
      <c r="GD2" s="252"/>
      <c r="GE2" s="252"/>
      <c r="GF2" s="252"/>
      <c r="GG2" s="251"/>
      <c r="GH2" s="251"/>
      <c r="GI2" s="251"/>
      <c r="GJ2" s="251"/>
      <c r="GK2" s="251"/>
      <c r="GL2" s="251"/>
      <c r="GM2" s="150"/>
      <c r="GN2" s="150"/>
      <c r="GO2" s="150"/>
      <c r="GP2" s="252"/>
      <c r="GQ2" s="252"/>
      <c r="GR2" s="252"/>
      <c r="GS2" s="251"/>
      <c r="GT2" s="251"/>
      <c r="GU2" s="251"/>
      <c r="GV2" s="251"/>
      <c r="GW2" s="251"/>
      <c r="GX2" s="251"/>
      <c r="GY2" s="150"/>
      <c r="GZ2" s="150"/>
      <c r="HA2" s="150"/>
      <c r="HB2" s="252"/>
      <c r="HC2" s="252"/>
      <c r="HD2" s="252"/>
      <c r="HE2" s="251"/>
      <c r="HF2" s="251"/>
      <c r="HG2" s="251"/>
      <c r="HH2" s="251"/>
      <c r="HI2" s="251"/>
      <c r="HJ2" s="251"/>
      <c r="HK2" s="150"/>
      <c r="HL2" s="150"/>
      <c r="HM2" s="150"/>
      <c r="HN2" s="252"/>
      <c r="HO2" s="252"/>
      <c r="HP2" s="252"/>
      <c r="HQ2" s="251"/>
      <c r="HR2" s="251"/>
      <c r="HS2" s="251"/>
      <c r="HT2" s="251"/>
      <c r="HU2" s="251"/>
      <c r="HV2" s="251"/>
      <c r="HW2" s="150"/>
      <c r="HX2" s="150"/>
      <c r="HY2" s="150"/>
      <c r="HZ2" s="252"/>
      <c r="IA2" s="252"/>
      <c r="IB2" s="252"/>
      <c r="IC2" s="251"/>
      <c r="ID2" s="251"/>
      <c r="IE2" s="251"/>
      <c r="IF2" s="251"/>
      <c r="IG2" s="251"/>
      <c r="IH2" s="251"/>
      <c r="II2" s="150"/>
      <c r="IJ2" s="150"/>
      <c r="IK2" s="150"/>
      <c r="IL2" s="252"/>
      <c r="IM2" s="252"/>
      <c r="IN2" s="252"/>
      <c r="IO2" s="251"/>
      <c r="IP2" s="251"/>
      <c r="IQ2" s="251"/>
      <c r="IR2" s="251"/>
    </row>
    <row r="3" spans="1:252" s="2" customFormat="1" ht="18" customHeight="1">
      <c r="A3" s="253"/>
      <c r="B3" s="254"/>
      <c r="C3" s="254"/>
      <c r="D3" s="254"/>
      <c r="E3" s="255"/>
      <c r="F3" s="255"/>
      <c r="G3" s="255"/>
      <c r="H3" s="255"/>
      <c r="I3" s="253"/>
      <c r="J3" s="253"/>
      <c r="K3" s="253"/>
      <c r="L3" s="253"/>
      <c r="M3" s="253"/>
      <c r="N3" s="253"/>
      <c r="O3" s="254"/>
      <c r="P3" s="254"/>
      <c r="Q3" s="254"/>
      <c r="R3" s="255"/>
      <c r="S3" s="255"/>
      <c r="T3" s="255"/>
      <c r="U3" s="253"/>
      <c r="V3" s="253"/>
      <c r="W3" s="253"/>
      <c r="X3" s="253"/>
      <c r="Y3" s="253"/>
      <c r="Z3" s="253"/>
      <c r="AA3" s="254"/>
      <c r="AB3" s="254"/>
      <c r="AC3" s="254"/>
      <c r="AD3" s="255"/>
      <c r="AE3" s="255"/>
      <c r="AF3" s="255"/>
      <c r="AG3" s="253"/>
      <c r="AH3" s="253"/>
      <c r="AI3" s="253"/>
      <c r="AJ3" s="253"/>
      <c r="AK3" s="253"/>
      <c r="AL3" s="253"/>
      <c r="AM3" s="254"/>
      <c r="AN3" s="254"/>
      <c r="AO3" s="254"/>
      <c r="AP3" s="255"/>
      <c r="AQ3" s="255"/>
      <c r="AR3" s="255"/>
      <c r="AS3" s="253"/>
      <c r="AT3" s="253"/>
      <c r="AU3" s="253"/>
      <c r="AV3" s="253"/>
      <c r="AW3" s="253"/>
      <c r="AX3" s="253"/>
      <c r="AY3" s="254"/>
      <c r="AZ3" s="254"/>
      <c r="BA3" s="254"/>
      <c r="BB3" s="255"/>
      <c r="BC3" s="255"/>
      <c r="BD3" s="255"/>
      <c r="BE3" s="253"/>
      <c r="BF3" s="253"/>
      <c r="BG3" s="253"/>
      <c r="BH3" s="253"/>
      <c r="BI3" s="253"/>
      <c r="BJ3" s="253"/>
      <c r="BK3" s="254"/>
      <c r="BL3" s="254"/>
      <c r="BM3" s="254"/>
      <c r="BN3" s="255"/>
      <c r="BO3" s="255"/>
      <c r="BP3" s="255"/>
      <c r="BQ3" s="253"/>
      <c r="BR3" s="253"/>
      <c r="BS3" s="253"/>
      <c r="BT3" s="253"/>
      <c r="BU3" s="253"/>
      <c r="BV3" s="253"/>
      <c r="BW3" s="254"/>
      <c r="BX3" s="254"/>
      <c r="BY3" s="254"/>
      <c r="BZ3" s="255"/>
      <c r="CA3" s="255"/>
      <c r="CB3" s="255"/>
      <c r="CC3" s="253"/>
      <c r="CD3" s="253"/>
      <c r="CE3" s="253"/>
      <c r="CF3" s="253"/>
      <c r="CG3" s="253"/>
      <c r="CH3" s="253"/>
      <c r="CI3" s="254"/>
      <c r="CJ3" s="254"/>
      <c r="CK3" s="254"/>
      <c r="CL3" s="255"/>
      <c r="CM3" s="255"/>
      <c r="CN3" s="255"/>
      <c r="CO3" s="253"/>
      <c r="CP3" s="253"/>
      <c r="CQ3" s="253"/>
      <c r="CR3" s="253"/>
      <c r="CS3" s="253"/>
      <c r="CT3" s="253"/>
      <c r="CU3" s="254"/>
      <c r="CV3" s="254"/>
      <c r="CW3" s="254"/>
      <c r="CX3" s="255"/>
      <c r="CY3" s="255"/>
      <c r="CZ3" s="255"/>
      <c r="DA3" s="253"/>
      <c r="DB3" s="253"/>
      <c r="DC3" s="253"/>
      <c r="DD3" s="253"/>
      <c r="DE3" s="253"/>
      <c r="DF3" s="253"/>
      <c r="DG3" s="254"/>
      <c r="DH3" s="254"/>
      <c r="DI3" s="254"/>
      <c r="DJ3" s="255"/>
      <c r="DK3" s="255"/>
      <c r="DL3" s="255"/>
      <c r="DM3" s="253"/>
      <c r="DN3" s="253"/>
      <c r="DO3" s="253"/>
      <c r="DP3" s="253"/>
      <c r="DQ3" s="253"/>
      <c r="DR3" s="253"/>
      <c r="DS3" s="254"/>
      <c r="DT3" s="254"/>
      <c r="DU3" s="254"/>
      <c r="DV3" s="255"/>
      <c r="DW3" s="255"/>
      <c r="DX3" s="255"/>
      <c r="DY3" s="253"/>
      <c r="DZ3" s="253"/>
      <c r="EA3" s="253"/>
      <c r="EB3" s="253"/>
      <c r="EC3" s="253"/>
      <c r="ED3" s="253"/>
      <c r="EE3" s="254"/>
      <c r="EF3" s="254"/>
      <c r="EG3" s="254"/>
      <c r="EH3" s="255"/>
      <c r="EI3" s="255"/>
      <c r="EJ3" s="255"/>
      <c r="EK3" s="253"/>
      <c r="EL3" s="253"/>
      <c r="EM3" s="253"/>
      <c r="EN3" s="253"/>
      <c r="EO3" s="253"/>
      <c r="EP3" s="253"/>
      <c r="EQ3" s="254"/>
      <c r="ER3" s="254"/>
      <c r="ES3" s="254"/>
      <c r="ET3" s="255"/>
      <c r="EU3" s="255"/>
      <c r="EV3" s="255"/>
      <c r="EW3" s="253"/>
      <c r="EX3" s="253"/>
      <c r="EY3" s="253"/>
      <c r="EZ3" s="253"/>
      <c r="FA3" s="253"/>
      <c r="FB3" s="253"/>
      <c r="FC3" s="254"/>
      <c r="FD3" s="254"/>
      <c r="FE3" s="254"/>
      <c r="FF3" s="255"/>
      <c r="FG3" s="255"/>
      <c r="FH3" s="255"/>
      <c r="FI3" s="253"/>
      <c r="FJ3" s="253"/>
      <c r="FK3" s="253"/>
      <c r="FL3" s="253"/>
      <c r="FM3" s="253"/>
      <c r="FN3" s="253"/>
      <c r="FO3" s="254"/>
      <c r="FP3" s="254"/>
      <c r="FQ3" s="254"/>
      <c r="FR3" s="255"/>
      <c r="FS3" s="255"/>
      <c r="FT3" s="255"/>
      <c r="FU3" s="253"/>
      <c r="FV3" s="253"/>
      <c r="FW3" s="253"/>
      <c r="FX3" s="253"/>
      <c r="FY3" s="253"/>
      <c r="FZ3" s="253"/>
      <c r="GA3" s="254"/>
      <c r="GB3" s="254"/>
      <c r="GC3" s="254"/>
      <c r="GD3" s="255"/>
      <c r="GE3" s="255"/>
      <c r="GF3" s="255"/>
      <c r="GG3" s="253"/>
      <c r="GH3" s="253"/>
      <c r="GI3" s="253"/>
      <c r="GJ3" s="253"/>
      <c r="GK3" s="253"/>
      <c r="GL3" s="253"/>
      <c r="GM3" s="254"/>
      <c r="GN3" s="254"/>
      <c r="GO3" s="254"/>
      <c r="GP3" s="255"/>
      <c r="GQ3" s="255"/>
      <c r="GR3" s="255"/>
      <c r="GS3" s="253"/>
      <c r="GT3" s="253"/>
      <c r="GU3" s="253"/>
      <c r="GV3" s="253"/>
      <c r="GW3" s="253"/>
      <c r="GX3" s="253"/>
      <c r="GY3" s="254"/>
      <c r="GZ3" s="254"/>
      <c r="HA3" s="254"/>
      <c r="HB3" s="255"/>
      <c r="HC3" s="255"/>
      <c r="HD3" s="255"/>
      <c r="HE3" s="253"/>
      <c r="HF3" s="253"/>
      <c r="HG3" s="253"/>
      <c r="HH3" s="253"/>
      <c r="HI3" s="253"/>
      <c r="HJ3" s="253"/>
      <c r="HK3" s="254"/>
      <c r="HL3" s="254"/>
      <c r="HM3" s="254"/>
      <c r="HN3" s="255"/>
      <c r="HO3" s="255"/>
      <c r="HP3" s="255"/>
      <c r="HQ3" s="253"/>
      <c r="HR3" s="253"/>
      <c r="HS3" s="253"/>
      <c r="HT3" s="253"/>
      <c r="HU3" s="253"/>
      <c r="HV3" s="253"/>
      <c r="HW3" s="254"/>
      <c r="HX3" s="254"/>
      <c r="HY3" s="254"/>
      <c r="HZ3" s="255"/>
      <c r="IA3" s="255"/>
      <c r="IB3" s="255"/>
      <c r="IC3" s="253"/>
      <c r="ID3" s="253"/>
      <c r="IE3" s="253"/>
      <c r="IF3" s="253"/>
      <c r="IG3" s="253"/>
      <c r="IH3" s="253"/>
      <c r="II3" s="254"/>
      <c r="IJ3" s="254"/>
      <c r="IK3" s="254"/>
      <c r="IL3" s="255"/>
      <c r="IM3" s="255"/>
      <c r="IN3" s="255"/>
      <c r="IO3" s="253"/>
      <c r="IP3" s="253"/>
      <c r="IQ3" s="253"/>
      <c r="IR3" s="253"/>
    </row>
    <row r="4" spans="1:252"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9"/>
      <c r="O4" s="258"/>
      <c r="P4" s="258"/>
      <c r="Q4" s="259"/>
      <c r="R4" s="259"/>
      <c r="S4" s="259"/>
      <c r="T4" s="258"/>
      <c r="U4" s="260"/>
      <c r="V4" s="258"/>
      <c r="W4" s="258"/>
      <c r="X4" s="259"/>
      <c r="Y4" s="259"/>
      <c r="Z4" s="259"/>
      <c r="AA4" s="258"/>
      <c r="AB4" s="258"/>
      <c r="AC4" s="259"/>
      <c r="AD4" s="259"/>
      <c r="AE4" s="259"/>
      <c r="AF4" s="258"/>
      <c r="AG4" s="260"/>
      <c r="AH4" s="258"/>
      <c r="AI4" s="258"/>
      <c r="AJ4" s="259"/>
      <c r="AK4" s="259"/>
      <c r="AL4" s="259"/>
      <c r="AM4" s="258"/>
      <c r="AN4" s="258"/>
      <c r="AO4" s="259"/>
      <c r="AP4" s="259"/>
      <c r="AQ4" s="259"/>
      <c r="AR4" s="258"/>
      <c r="AS4" s="260"/>
      <c r="AT4" s="258"/>
      <c r="AU4" s="258"/>
      <c r="AV4" s="259"/>
      <c r="AW4" s="259"/>
      <c r="AX4" s="259"/>
      <c r="AY4" s="258"/>
      <c r="AZ4" s="258"/>
      <c r="BA4" s="259"/>
      <c r="BB4" s="259"/>
      <c r="BC4" s="259"/>
      <c r="BD4" s="258"/>
      <c r="BE4" s="260"/>
      <c r="BF4" s="258"/>
      <c r="BG4" s="258"/>
      <c r="BH4" s="259"/>
      <c r="BI4" s="259"/>
      <c r="BJ4" s="259"/>
      <c r="BK4" s="258"/>
      <c r="BL4" s="258"/>
      <c r="BM4" s="259"/>
      <c r="BN4" s="259"/>
      <c r="BO4" s="259"/>
      <c r="BP4" s="258"/>
      <c r="BQ4" s="260"/>
      <c r="BR4" s="258"/>
      <c r="BS4" s="258"/>
      <c r="BT4" s="259"/>
      <c r="BU4" s="259"/>
      <c r="BV4" s="259"/>
      <c r="BW4" s="258"/>
      <c r="BX4" s="258"/>
      <c r="BY4" s="259"/>
      <c r="BZ4" s="259"/>
      <c r="CA4" s="259"/>
      <c r="CB4" s="258"/>
      <c r="CC4" s="260"/>
      <c r="CD4" s="258"/>
      <c r="CE4" s="258"/>
      <c r="CF4" s="259"/>
      <c r="CG4" s="259"/>
      <c r="CH4" s="259"/>
      <c r="CI4" s="258"/>
      <c r="CJ4" s="258"/>
      <c r="CK4" s="259"/>
      <c r="CL4" s="259"/>
      <c r="CM4" s="259"/>
      <c r="CN4" s="258"/>
      <c r="CO4" s="260"/>
      <c r="CP4" s="258"/>
      <c r="CQ4" s="258"/>
      <c r="CR4" s="259"/>
      <c r="CS4" s="259"/>
      <c r="CT4" s="259"/>
      <c r="CU4" s="258"/>
      <c r="CV4" s="258"/>
      <c r="CW4" s="259"/>
      <c r="CX4" s="259"/>
      <c r="CY4" s="259"/>
      <c r="CZ4" s="258"/>
      <c r="DA4" s="260"/>
      <c r="DB4" s="258"/>
      <c r="DC4" s="258"/>
      <c r="DD4" s="259"/>
      <c r="DE4" s="259"/>
      <c r="DF4" s="259"/>
      <c r="DG4" s="258"/>
      <c r="DH4" s="258"/>
      <c r="DI4" s="259"/>
      <c r="DJ4" s="259"/>
      <c r="DK4" s="259"/>
      <c r="DL4" s="258"/>
      <c r="DM4" s="260"/>
      <c r="DN4" s="258"/>
      <c r="DO4" s="258"/>
      <c r="DP4" s="259"/>
      <c r="DQ4" s="259"/>
      <c r="DR4" s="259"/>
      <c r="DS4" s="258"/>
      <c r="DT4" s="258"/>
      <c r="DU4" s="259"/>
      <c r="DV4" s="259"/>
      <c r="DW4" s="259"/>
      <c r="DX4" s="258"/>
      <c r="DY4" s="260"/>
      <c r="DZ4" s="258"/>
      <c r="EA4" s="258"/>
      <c r="EB4" s="259"/>
      <c r="EC4" s="259"/>
      <c r="ED4" s="259"/>
      <c r="EE4" s="258"/>
      <c r="EF4" s="258"/>
      <c r="EG4" s="259"/>
      <c r="EH4" s="259"/>
      <c r="EI4" s="259"/>
      <c r="EJ4" s="258"/>
      <c r="EK4" s="260"/>
      <c r="EL4" s="258"/>
      <c r="EM4" s="258"/>
      <c r="EN4" s="259"/>
      <c r="EO4" s="259"/>
      <c r="EP4" s="259"/>
      <c r="EQ4" s="258"/>
      <c r="ER4" s="258"/>
      <c r="ES4" s="259"/>
      <c r="ET4" s="259"/>
      <c r="EU4" s="259"/>
      <c r="EV4" s="258"/>
      <c r="EW4" s="260"/>
      <c r="EX4" s="258"/>
      <c r="EY4" s="258"/>
      <c r="EZ4" s="259"/>
      <c r="FA4" s="259"/>
      <c r="FB4" s="259"/>
      <c r="FC4" s="258"/>
      <c r="FD4" s="258"/>
      <c r="FE4" s="259"/>
      <c r="FF4" s="259"/>
      <c r="FG4" s="259"/>
      <c r="FH4" s="258"/>
      <c r="FI4" s="260"/>
      <c r="FJ4" s="258"/>
      <c r="FK4" s="258"/>
      <c r="FL4" s="259"/>
      <c r="FM4" s="259"/>
      <c r="FN4" s="259"/>
      <c r="FO4" s="258"/>
      <c r="FP4" s="258"/>
      <c r="FQ4" s="259"/>
      <c r="FR4" s="259"/>
      <c r="FS4" s="259"/>
      <c r="FT4" s="258"/>
      <c r="FU4" s="260"/>
      <c r="FV4" s="258"/>
      <c r="FW4" s="258"/>
      <c r="FX4" s="259"/>
      <c r="FY4" s="259"/>
      <c r="FZ4" s="259"/>
      <c r="GA4" s="258"/>
      <c r="GB4" s="258"/>
      <c r="GC4" s="259"/>
      <c r="GD4" s="259"/>
      <c r="GE4" s="259"/>
      <c r="GF4" s="258"/>
      <c r="GG4" s="260"/>
      <c r="GH4" s="258"/>
      <c r="GI4" s="258"/>
      <c r="GJ4" s="259"/>
      <c r="GK4" s="259"/>
      <c r="GL4" s="259"/>
      <c r="GM4" s="258"/>
      <c r="GN4" s="258"/>
      <c r="GO4" s="259"/>
      <c r="GP4" s="259"/>
      <c r="GQ4" s="259"/>
      <c r="GR4" s="258"/>
      <c r="GS4" s="260"/>
      <c r="GT4" s="258"/>
      <c r="GU4" s="258"/>
      <c r="GV4" s="259"/>
      <c r="GW4" s="259"/>
      <c r="GX4" s="259"/>
      <c r="GY4" s="258"/>
      <c r="GZ4" s="258"/>
      <c r="HA4" s="259"/>
      <c r="HB4" s="259"/>
      <c r="HC4" s="259"/>
      <c r="HD4" s="258"/>
      <c r="HE4" s="260"/>
      <c r="HF4" s="258"/>
      <c r="HG4" s="258"/>
      <c r="HH4" s="259"/>
      <c r="HI4" s="259"/>
      <c r="HJ4" s="259"/>
      <c r="HK4" s="258"/>
      <c r="HL4" s="258"/>
      <c r="HM4" s="259"/>
      <c r="HN4" s="259"/>
      <c r="HO4" s="259"/>
      <c r="HP4" s="258"/>
      <c r="HQ4" s="260"/>
      <c r="HR4" s="258"/>
      <c r="HS4" s="258"/>
      <c r="HT4" s="259"/>
      <c r="HU4" s="259"/>
      <c r="HV4" s="259"/>
      <c r="HW4" s="258"/>
      <c r="HX4" s="258"/>
      <c r="HY4" s="259"/>
      <c r="HZ4" s="259"/>
      <c r="IA4" s="259"/>
      <c r="IB4" s="258"/>
      <c r="IC4" s="260"/>
      <c r="ID4" s="258"/>
      <c r="IE4" s="258"/>
      <c r="IF4" s="259"/>
      <c r="IG4" s="259"/>
      <c r="IH4" s="259"/>
      <c r="II4" s="258"/>
      <c r="IJ4" s="258"/>
      <c r="IK4" s="259"/>
      <c r="IL4" s="259"/>
      <c r="IM4" s="259"/>
      <c r="IN4" s="258"/>
      <c r="IO4" s="260"/>
      <c r="IP4" s="258"/>
      <c r="IQ4" s="258"/>
      <c r="IR4" s="259"/>
    </row>
    <row r="5" spans="1:252"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row>
    <row r="6" spans="1:252" s="5" customFormat="1" ht="14.25">
      <c r="A6" s="35" t="s">
        <v>29</v>
      </c>
      <c r="B6" s="291">
        <v>7.5</v>
      </c>
      <c r="C6" s="291">
        <v>7</v>
      </c>
      <c r="D6" s="291">
        <v>7.9</v>
      </c>
      <c r="E6" s="291">
        <v>8.3000000000000007</v>
      </c>
      <c r="F6" s="291">
        <v>7.2</v>
      </c>
      <c r="G6" s="397">
        <v>7.6</v>
      </c>
      <c r="H6" s="291">
        <v>8.4</v>
      </c>
      <c r="I6" s="291">
        <v>8.5</v>
      </c>
      <c r="J6" s="291">
        <v>8.4</v>
      </c>
      <c r="K6" s="291">
        <v>8.1</v>
      </c>
      <c r="L6" s="291"/>
      <c r="M6" s="291"/>
      <c r="N6" s="291"/>
      <c r="O6" s="291"/>
      <c r="P6" s="292"/>
      <c r="Q6" s="292"/>
      <c r="R6" s="292"/>
      <c r="S6" s="292"/>
      <c r="T6" s="292"/>
      <c r="U6" s="35"/>
      <c r="V6" s="291"/>
      <c r="W6" s="291"/>
      <c r="X6" s="291"/>
      <c r="Y6" s="291"/>
      <c r="Z6" s="291"/>
      <c r="AA6" s="291"/>
      <c r="AB6" s="292"/>
      <c r="AC6" s="292"/>
      <c r="AD6" s="292"/>
      <c r="AE6" s="292"/>
      <c r="AF6" s="292"/>
      <c r="AG6" s="35"/>
      <c r="AH6" s="291"/>
      <c r="AI6" s="291"/>
      <c r="AJ6" s="291"/>
      <c r="AK6" s="291"/>
      <c r="AL6" s="291"/>
      <c r="AM6" s="291"/>
      <c r="AN6" s="292"/>
      <c r="AO6" s="292"/>
      <c r="AP6" s="292"/>
      <c r="AQ6" s="292"/>
      <c r="AR6" s="292"/>
      <c r="AS6" s="35"/>
      <c r="AT6" s="291"/>
      <c r="AU6" s="291"/>
      <c r="AV6" s="291"/>
      <c r="AW6" s="291"/>
      <c r="AX6" s="291"/>
      <c r="AY6" s="291"/>
      <c r="AZ6" s="292"/>
      <c r="BA6" s="292"/>
      <c r="BB6" s="292"/>
      <c r="BC6" s="292"/>
      <c r="BD6" s="292"/>
      <c r="BE6" s="35"/>
      <c r="BF6" s="291"/>
      <c r="BG6" s="291"/>
      <c r="BH6" s="291"/>
      <c r="BI6" s="291"/>
      <c r="BJ6" s="291"/>
      <c r="BK6" s="291"/>
      <c r="BL6" s="292"/>
      <c r="BM6" s="292"/>
      <c r="BN6" s="292"/>
      <c r="BO6" s="292"/>
      <c r="BP6" s="292"/>
      <c r="BQ6" s="35"/>
      <c r="BR6" s="291"/>
      <c r="BS6" s="291"/>
      <c r="BT6" s="291"/>
      <c r="BU6" s="291"/>
      <c r="BV6" s="291"/>
      <c r="BW6" s="291"/>
      <c r="BX6" s="292"/>
      <c r="BY6" s="292"/>
      <c r="BZ6" s="292"/>
      <c r="CA6" s="292"/>
      <c r="CB6" s="292"/>
      <c r="CC6" s="35"/>
      <c r="CD6" s="291"/>
      <c r="CE6" s="291"/>
      <c r="CF6" s="291"/>
      <c r="CG6" s="291"/>
      <c r="CH6" s="291"/>
      <c r="CI6" s="291"/>
      <c r="CJ6" s="292"/>
      <c r="CK6" s="292"/>
      <c r="CL6" s="292"/>
      <c r="CM6" s="292"/>
      <c r="CN6" s="292"/>
      <c r="CO6" s="35"/>
      <c r="CP6" s="291"/>
      <c r="CQ6" s="291"/>
      <c r="CR6" s="291"/>
      <c r="CS6" s="291"/>
      <c r="CT6" s="291"/>
      <c r="CU6" s="291"/>
      <c r="CV6" s="292"/>
      <c r="CW6" s="292"/>
      <c r="CX6" s="292"/>
      <c r="CY6" s="292"/>
      <c r="CZ6" s="292"/>
      <c r="DA6" s="35"/>
      <c r="DB6" s="291"/>
      <c r="DC6" s="291"/>
      <c r="DD6" s="291"/>
      <c r="DE6" s="291"/>
      <c r="DF6" s="291"/>
      <c r="DG6" s="291"/>
      <c r="DH6" s="292"/>
      <c r="DI6" s="292"/>
      <c r="DJ6" s="292"/>
      <c r="DK6" s="292"/>
      <c r="DL6" s="292"/>
      <c r="DM6" s="35"/>
      <c r="DN6" s="291"/>
      <c r="DO6" s="291"/>
      <c r="DP6" s="291"/>
      <c r="DQ6" s="291"/>
      <c r="DR6" s="291"/>
      <c r="DS6" s="291"/>
      <c r="DT6" s="292"/>
      <c r="DU6" s="292"/>
      <c r="DV6" s="292"/>
      <c r="DW6" s="292"/>
      <c r="DX6" s="292"/>
      <c r="DY6" s="35"/>
      <c r="DZ6" s="291"/>
      <c r="EA6" s="291"/>
      <c r="EB6" s="291"/>
      <c r="EC6" s="291"/>
      <c r="ED6" s="291"/>
      <c r="EE6" s="291"/>
      <c r="EF6" s="292"/>
      <c r="EG6" s="292"/>
      <c r="EH6" s="292"/>
      <c r="EI6" s="292"/>
      <c r="EJ6" s="292"/>
      <c r="EK6" s="35"/>
      <c r="EL6" s="291"/>
      <c r="EM6" s="291"/>
      <c r="EN6" s="291"/>
      <c r="EO6" s="291"/>
      <c r="EP6" s="291"/>
      <c r="EQ6" s="291"/>
      <c r="ER6" s="292"/>
      <c r="ES6" s="292"/>
      <c r="ET6" s="292"/>
      <c r="EU6" s="292"/>
      <c r="EV6" s="292"/>
      <c r="EW6" s="35"/>
      <c r="EX6" s="291"/>
      <c r="EY6" s="291"/>
      <c r="EZ6" s="291"/>
      <c r="FA6" s="291"/>
      <c r="FB6" s="291"/>
      <c r="FC6" s="291"/>
      <c r="FD6" s="292"/>
      <c r="FE6" s="292"/>
      <c r="FF6" s="292"/>
      <c r="FG6" s="292"/>
      <c r="FH6" s="292"/>
      <c r="FI6" s="35"/>
      <c r="FJ6" s="291"/>
      <c r="FK6" s="291"/>
      <c r="FL6" s="291"/>
      <c r="FM6" s="291"/>
      <c r="FN6" s="291"/>
      <c r="FO6" s="291"/>
      <c r="FP6" s="292"/>
      <c r="FQ6" s="292"/>
      <c r="FR6" s="292"/>
      <c r="FS6" s="292"/>
      <c r="FT6" s="292"/>
      <c r="FU6" s="35"/>
      <c r="FV6" s="291"/>
      <c r="FW6" s="291"/>
      <c r="FX6" s="291"/>
      <c r="FY6" s="291"/>
      <c r="FZ6" s="291"/>
      <c r="GA6" s="291"/>
      <c r="GB6" s="292"/>
      <c r="GC6" s="292"/>
      <c r="GD6" s="292"/>
      <c r="GE6" s="292"/>
      <c r="GF6" s="292"/>
      <c r="GG6" s="35"/>
      <c r="GH6" s="291"/>
      <c r="GI6" s="291"/>
      <c r="GJ6" s="291"/>
      <c r="GK6" s="291"/>
      <c r="GL6" s="291"/>
      <c r="GM6" s="291"/>
      <c r="GN6" s="292"/>
      <c r="GO6" s="292"/>
      <c r="GP6" s="292"/>
      <c r="GQ6" s="292"/>
      <c r="GR6" s="292"/>
      <c r="GS6" s="35"/>
      <c r="GT6" s="291"/>
      <c r="GU6" s="291"/>
      <c r="GV6" s="291"/>
      <c r="GW6" s="291"/>
      <c r="GX6" s="291"/>
      <c r="GY6" s="291"/>
      <c r="GZ6" s="292"/>
      <c r="HA6" s="292"/>
      <c r="HB6" s="292"/>
      <c r="HC6" s="292"/>
      <c r="HD6" s="292"/>
      <c r="HE6" s="35"/>
      <c r="HF6" s="291"/>
      <c r="HG6" s="291"/>
      <c r="HH6" s="291"/>
      <c r="HI6" s="291"/>
      <c r="HJ6" s="291"/>
      <c r="HK6" s="291"/>
      <c r="HL6" s="292"/>
      <c r="HM6" s="292"/>
      <c r="HN6" s="292"/>
      <c r="HO6" s="292"/>
      <c r="HP6" s="292"/>
      <c r="HQ6" s="35"/>
      <c r="HR6" s="291"/>
      <c r="HS6" s="291"/>
      <c r="HT6" s="291"/>
      <c r="HU6" s="291"/>
      <c r="HV6" s="291"/>
      <c r="HW6" s="291"/>
      <c r="HX6" s="292"/>
      <c r="HY6" s="292"/>
      <c r="HZ6" s="292"/>
      <c r="IA6" s="292"/>
      <c r="IB6" s="292"/>
      <c r="IC6" s="35"/>
      <c r="ID6" s="291"/>
      <c r="IE6" s="291"/>
      <c r="IF6" s="291"/>
      <c r="IG6" s="291"/>
      <c r="IH6" s="291"/>
      <c r="II6" s="291"/>
      <c r="IJ6" s="292"/>
      <c r="IK6" s="292"/>
      <c r="IL6" s="292"/>
      <c r="IM6" s="292"/>
      <c r="IN6" s="292"/>
      <c r="IO6" s="35"/>
      <c r="IP6" s="291"/>
      <c r="IQ6" s="291"/>
      <c r="IR6" s="291"/>
    </row>
    <row r="7" spans="1:252" s="5" customFormat="1" ht="14.25">
      <c r="A7" s="35" t="s">
        <v>28</v>
      </c>
      <c r="B7" s="291">
        <v>8.5</v>
      </c>
      <c r="C7" s="291">
        <v>7.4</v>
      </c>
      <c r="D7" s="291">
        <v>7.6</v>
      </c>
      <c r="E7" s="291">
        <v>7</v>
      </c>
      <c r="F7" s="291">
        <v>5.8</v>
      </c>
      <c r="G7" s="397">
        <v>5.4</v>
      </c>
      <c r="H7" s="291">
        <v>5.2</v>
      </c>
      <c r="I7" s="291">
        <v>5</v>
      </c>
      <c r="J7" s="291">
        <v>4.5999999999999996</v>
      </c>
      <c r="K7" s="291">
        <v>4.4000000000000004</v>
      </c>
      <c r="L7" s="291"/>
      <c r="M7" s="291"/>
      <c r="N7" s="291"/>
      <c r="O7" s="291"/>
      <c r="P7" s="292"/>
      <c r="Q7" s="292"/>
      <c r="R7" s="292"/>
      <c r="S7" s="292"/>
      <c r="T7" s="292"/>
      <c r="U7" s="35"/>
      <c r="V7" s="291"/>
      <c r="W7" s="291"/>
      <c r="X7" s="291"/>
      <c r="Y7" s="291"/>
      <c r="Z7" s="291"/>
      <c r="AA7" s="291"/>
      <c r="AB7" s="292"/>
      <c r="AC7" s="292"/>
      <c r="AD7" s="292"/>
      <c r="AE7" s="292"/>
      <c r="AF7" s="292"/>
      <c r="AG7" s="35"/>
      <c r="AH7" s="291"/>
      <c r="AI7" s="291"/>
      <c r="AJ7" s="291"/>
      <c r="AK7" s="291"/>
      <c r="AL7" s="291"/>
      <c r="AM7" s="291"/>
      <c r="AN7" s="292"/>
      <c r="AO7" s="292"/>
      <c r="AP7" s="292"/>
      <c r="AQ7" s="292"/>
      <c r="AR7" s="292"/>
      <c r="AS7" s="35"/>
      <c r="AT7" s="291"/>
      <c r="AU7" s="291"/>
      <c r="AV7" s="291"/>
      <c r="AW7" s="291"/>
      <c r="AX7" s="291"/>
      <c r="AY7" s="291"/>
      <c r="AZ7" s="292"/>
      <c r="BA7" s="292"/>
      <c r="BB7" s="292"/>
      <c r="BC7" s="292"/>
      <c r="BD7" s="292"/>
      <c r="BE7" s="35"/>
      <c r="BF7" s="291"/>
      <c r="BG7" s="291"/>
      <c r="BH7" s="291"/>
      <c r="BI7" s="291"/>
      <c r="BJ7" s="291"/>
      <c r="BK7" s="291"/>
      <c r="BL7" s="292"/>
      <c r="BM7" s="292"/>
      <c r="BN7" s="292"/>
      <c r="BO7" s="292"/>
      <c r="BP7" s="292"/>
      <c r="BQ7" s="35"/>
      <c r="BR7" s="291"/>
      <c r="BS7" s="291"/>
      <c r="BT7" s="291"/>
      <c r="BU7" s="291"/>
      <c r="BV7" s="291"/>
      <c r="BW7" s="291"/>
      <c r="BX7" s="292"/>
      <c r="BY7" s="292"/>
      <c r="BZ7" s="292"/>
      <c r="CA7" s="292"/>
      <c r="CB7" s="292"/>
      <c r="CC7" s="35"/>
      <c r="CD7" s="291"/>
      <c r="CE7" s="291"/>
      <c r="CF7" s="291"/>
      <c r="CG7" s="291"/>
      <c r="CH7" s="291"/>
      <c r="CI7" s="291"/>
      <c r="CJ7" s="292"/>
      <c r="CK7" s="292"/>
      <c r="CL7" s="292"/>
      <c r="CM7" s="292"/>
      <c r="CN7" s="292"/>
      <c r="CO7" s="35"/>
      <c r="CP7" s="291"/>
      <c r="CQ7" s="291"/>
      <c r="CR7" s="291"/>
      <c r="CS7" s="291"/>
      <c r="CT7" s="291"/>
      <c r="CU7" s="291"/>
      <c r="CV7" s="292"/>
      <c r="CW7" s="292"/>
      <c r="CX7" s="292"/>
      <c r="CY7" s="292"/>
      <c r="CZ7" s="292"/>
      <c r="DA7" s="35"/>
      <c r="DB7" s="291"/>
      <c r="DC7" s="291"/>
      <c r="DD7" s="291"/>
      <c r="DE7" s="291"/>
      <c r="DF7" s="291"/>
      <c r="DG7" s="291"/>
      <c r="DH7" s="292"/>
      <c r="DI7" s="292"/>
      <c r="DJ7" s="292"/>
      <c r="DK7" s="292"/>
      <c r="DL7" s="292"/>
      <c r="DM7" s="35"/>
      <c r="DN7" s="291"/>
      <c r="DO7" s="291"/>
      <c r="DP7" s="291"/>
      <c r="DQ7" s="291"/>
      <c r="DR7" s="291"/>
      <c r="DS7" s="291"/>
      <c r="DT7" s="292"/>
      <c r="DU7" s="292"/>
      <c r="DV7" s="292"/>
      <c r="DW7" s="292"/>
      <c r="DX7" s="292"/>
      <c r="DY7" s="35"/>
      <c r="DZ7" s="291"/>
      <c r="EA7" s="291"/>
      <c r="EB7" s="291"/>
      <c r="EC7" s="291"/>
      <c r="ED7" s="291"/>
      <c r="EE7" s="291"/>
      <c r="EF7" s="292"/>
      <c r="EG7" s="292"/>
      <c r="EH7" s="292"/>
      <c r="EI7" s="292"/>
      <c r="EJ7" s="292"/>
      <c r="EK7" s="35"/>
      <c r="EL7" s="291"/>
      <c r="EM7" s="291"/>
      <c r="EN7" s="291"/>
      <c r="EO7" s="291"/>
      <c r="EP7" s="291"/>
      <c r="EQ7" s="291"/>
      <c r="ER7" s="292"/>
      <c r="ES7" s="292"/>
      <c r="ET7" s="292"/>
      <c r="EU7" s="292"/>
      <c r="EV7" s="292"/>
      <c r="EW7" s="35"/>
      <c r="EX7" s="291"/>
      <c r="EY7" s="291"/>
      <c r="EZ7" s="291"/>
      <c r="FA7" s="291"/>
      <c r="FB7" s="291"/>
      <c r="FC7" s="291"/>
      <c r="FD7" s="292"/>
      <c r="FE7" s="292"/>
      <c r="FF7" s="292"/>
      <c r="FG7" s="292"/>
      <c r="FH7" s="292"/>
      <c r="FI7" s="35"/>
      <c r="FJ7" s="291"/>
      <c r="FK7" s="291"/>
      <c r="FL7" s="291"/>
      <c r="FM7" s="291"/>
      <c r="FN7" s="291"/>
      <c r="FO7" s="291"/>
      <c r="FP7" s="292"/>
      <c r="FQ7" s="292"/>
      <c r="FR7" s="292"/>
      <c r="FS7" s="292"/>
      <c r="FT7" s="292"/>
      <c r="FU7" s="35"/>
      <c r="FV7" s="291"/>
      <c r="FW7" s="291"/>
      <c r="FX7" s="291"/>
      <c r="FY7" s="291"/>
      <c r="FZ7" s="291"/>
      <c r="GA7" s="291"/>
      <c r="GB7" s="292"/>
      <c r="GC7" s="292"/>
      <c r="GD7" s="292"/>
      <c r="GE7" s="292"/>
      <c r="GF7" s="292"/>
      <c r="GG7" s="35"/>
      <c r="GH7" s="291"/>
      <c r="GI7" s="291"/>
      <c r="GJ7" s="291"/>
      <c r="GK7" s="291"/>
      <c r="GL7" s="291"/>
      <c r="GM7" s="291"/>
      <c r="GN7" s="292"/>
      <c r="GO7" s="292"/>
      <c r="GP7" s="292"/>
      <c r="GQ7" s="292"/>
      <c r="GR7" s="292"/>
      <c r="GS7" s="35"/>
      <c r="GT7" s="291"/>
      <c r="GU7" s="291"/>
      <c r="GV7" s="291"/>
      <c r="GW7" s="291"/>
      <c r="GX7" s="291"/>
      <c r="GY7" s="291"/>
      <c r="GZ7" s="292"/>
      <c r="HA7" s="292"/>
      <c r="HB7" s="292"/>
      <c r="HC7" s="292"/>
      <c r="HD7" s="292"/>
      <c r="HE7" s="35"/>
      <c r="HF7" s="291"/>
      <c r="HG7" s="291"/>
      <c r="HH7" s="291"/>
      <c r="HI7" s="291"/>
      <c r="HJ7" s="291"/>
      <c r="HK7" s="291"/>
      <c r="HL7" s="292"/>
      <c r="HM7" s="292"/>
      <c r="HN7" s="292"/>
      <c r="HO7" s="292"/>
      <c r="HP7" s="292"/>
      <c r="HQ7" s="35"/>
      <c r="HR7" s="291"/>
      <c r="HS7" s="291"/>
      <c r="HT7" s="291"/>
      <c r="HU7" s="291"/>
      <c r="HV7" s="291"/>
      <c r="HW7" s="291"/>
      <c r="HX7" s="292"/>
      <c r="HY7" s="292"/>
      <c r="HZ7" s="292"/>
      <c r="IA7" s="292"/>
      <c r="IB7" s="292"/>
      <c r="IC7" s="35"/>
      <c r="ID7" s="291"/>
      <c r="IE7" s="291"/>
      <c r="IF7" s="291"/>
      <c r="IG7" s="291"/>
      <c r="IH7" s="291"/>
      <c r="II7" s="291"/>
      <c r="IJ7" s="292"/>
      <c r="IK7" s="292"/>
      <c r="IL7" s="292"/>
      <c r="IM7" s="292"/>
      <c r="IN7" s="292"/>
      <c r="IO7" s="35"/>
      <c r="IP7" s="291"/>
      <c r="IQ7" s="291"/>
      <c r="IR7" s="291"/>
    </row>
    <row r="8" spans="1:252" s="5" customFormat="1" ht="14.25">
      <c r="A8" s="35" t="s">
        <v>13</v>
      </c>
      <c r="B8" s="291">
        <v>4.5999999999999996</v>
      </c>
      <c r="C8" s="291">
        <v>5.5</v>
      </c>
      <c r="D8" s="291">
        <v>13.5</v>
      </c>
      <c r="E8" s="291">
        <v>16.7</v>
      </c>
      <c r="F8" s="291">
        <v>12.3</v>
      </c>
      <c r="G8" s="397">
        <v>10</v>
      </c>
      <c r="H8" s="291">
        <v>8.6</v>
      </c>
      <c r="I8" s="291">
        <v>7.4</v>
      </c>
      <c r="J8" s="291">
        <v>6.2</v>
      </c>
      <c r="K8" s="291">
        <v>5.8</v>
      </c>
      <c r="L8" s="291"/>
      <c r="M8" s="292"/>
      <c r="N8" s="291"/>
      <c r="O8" s="291"/>
      <c r="P8" s="292"/>
      <c r="Q8" s="292"/>
      <c r="R8" s="292"/>
      <c r="S8" s="292"/>
      <c r="T8" s="292"/>
      <c r="U8" s="35"/>
      <c r="V8" s="291"/>
      <c r="W8" s="291"/>
      <c r="X8" s="291"/>
      <c r="Y8" s="292"/>
      <c r="Z8" s="291"/>
      <c r="AA8" s="291"/>
      <c r="AB8" s="292"/>
      <c r="AC8" s="292"/>
      <c r="AD8" s="292"/>
      <c r="AE8" s="292"/>
      <c r="AF8" s="292"/>
      <c r="AG8" s="35"/>
      <c r="AH8" s="291"/>
      <c r="AI8" s="291"/>
      <c r="AJ8" s="291"/>
      <c r="AK8" s="292"/>
      <c r="AL8" s="291"/>
      <c r="AM8" s="291"/>
      <c r="AN8" s="292"/>
      <c r="AO8" s="292"/>
      <c r="AP8" s="292"/>
      <c r="AQ8" s="292"/>
      <c r="AR8" s="292"/>
      <c r="AS8" s="35"/>
      <c r="AT8" s="291"/>
      <c r="AU8" s="291"/>
      <c r="AV8" s="291"/>
      <c r="AW8" s="292"/>
      <c r="AX8" s="291"/>
      <c r="AY8" s="291"/>
      <c r="AZ8" s="292"/>
      <c r="BA8" s="292"/>
      <c r="BB8" s="292"/>
      <c r="BC8" s="292"/>
      <c r="BD8" s="292"/>
      <c r="BE8" s="35"/>
      <c r="BF8" s="291"/>
      <c r="BG8" s="291"/>
      <c r="BH8" s="291"/>
      <c r="BI8" s="292"/>
      <c r="BJ8" s="291"/>
      <c r="BK8" s="291"/>
      <c r="BL8" s="292"/>
      <c r="BM8" s="292"/>
      <c r="BN8" s="292"/>
      <c r="BO8" s="292"/>
      <c r="BP8" s="292"/>
      <c r="BQ8" s="35"/>
      <c r="BR8" s="291"/>
      <c r="BS8" s="291"/>
      <c r="BT8" s="291"/>
      <c r="BU8" s="292"/>
      <c r="BV8" s="291"/>
      <c r="BW8" s="291"/>
      <c r="BX8" s="292"/>
      <c r="BY8" s="292"/>
      <c r="BZ8" s="292"/>
      <c r="CA8" s="292"/>
      <c r="CB8" s="292"/>
      <c r="CC8" s="35"/>
      <c r="CD8" s="291"/>
      <c r="CE8" s="291"/>
      <c r="CF8" s="291"/>
      <c r="CG8" s="292"/>
      <c r="CH8" s="291"/>
      <c r="CI8" s="291"/>
      <c r="CJ8" s="292"/>
      <c r="CK8" s="292"/>
      <c r="CL8" s="292"/>
      <c r="CM8" s="292"/>
      <c r="CN8" s="292"/>
      <c r="CO8" s="35"/>
      <c r="CP8" s="291"/>
      <c r="CQ8" s="291"/>
      <c r="CR8" s="291"/>
      <c r="CS8" s="292"/>
      <c r="CT8" s="291"/>
      <c r="CU8" s="291"/>
      <c r="CV8" s="292"/>
      <c r="CW8" s="292"/>
      <c r="CX8" s="292"/>
      <c r="CY8" s="292"/>
      <c r="CZ8" s="292"/>
      <c r="DA8" s="35"/>
      <c r="DB8" s="291"/>
      <c r="DC8" s="291"/>
      <c r="DD8" s="291"/>
      <c r="DE8" s="292"/>
      <c r="DF8" s="291"/>
      <c r="DG8" s="291"/>
      <c r="DH8" s="292"/>
      <c r="DI8" s="292"/>
      <c r="DJ8" s="292"/>
      <c r="DK8" s="292"/>
      <c r="DL8" s="292"/>
      <c r="DM8" s="35"/>
      <c r="DN8" s="291"/>
      <c r="DO8" s="291"/>
      <c r="DP8" s="291"/>
      <c r="DQ8" s="292"/>
      <c r="DR8" s="291"/>
      <c r="DS8" s="291"/>
      <c r="DT8" s="292"/>
      <c r="DU8" s="292"/>
      <c r="DV8" s="292"/>
      <c r="DW8" s="292"/>
      <c r="DX8" s="292"/>
      <c r="DY8" s="35"/>
      <c r="DZ8" s="291"/>
      <c r="EA8" s="291"/>
      <c r="EB8" s="291"/>
      <c r="EC8" s="292"/>
      <c r="ED8" s="291"/>
      <c r="EE8" s="291"/>
      <c r="EF8" s="292"/>
      <c r="EG8" s="292"/>
      <c r="EH8" s="292"/>
      <c r="EI8" s="292"/>
      <c r="EJ8" s="292"/>
      <c r="EK8" s="35"/>
      <c r="EL8" s="291"/>
      <c r="EM8" s="291"/>
      <c r="EN8" s="291"/>
      <c r="EO8" s="292"/>
      <c r="EP8" s="291"/>
      <c r="EQ8" s="291"/>
      <c r="ER8" s="292"/>
      <c r="ES8" s="292"/>
      <c r="ET8" s="292"/>
      <c r="EU8" s="292"/>
      <c r="EV8" s="292"/>
      <c r="EW8" s="35"/>
      <c r="EX8" s="291"/>
      <c r="EY8" s="291"/>
      <c r="EZ8" s="291"/>
      <c r="FA8" s="292"/>
      <c r="FB8" s="291"/>
      <c r="FC8" s="291"/>
      <c r="FD8" s="292"/>
      <c r="FE8" s="292"/>
      <c r="FF8" s="292"/>
      <c r="FG8" s="292"/>
      <c r="FH8" s="292"/>
      <c r="FI8" s="35"/>
      <c r="FJ8" s="291"/>
      <c r="FK8" s="291"/>
      <c r="FL8" s="291"/>
      <c r="FM8" s="292"/>
      <c r="FN8" s="291"/>
      <c r="FO8" s="291"/>
      <c r="FP8" s="292"/>
      <c r="FQ8" s="292"/>
      <c r="FR8" s="292"/>
      <c r="FS8" s="292"/>
      <c r="FT8" s="292"/>
      <c r="FU8" s="35"/>
      <c r="FV8" s="291"/>
      <c r="FW8" s="291"/>
      <c r="FX8" s="291"/>
      <c r="FY8" s="292"/>
      <c r="FZ8" s="291"/>
      <c r="GA8" s="291"/>
      <c r="GB8" s="292"/>
      <c r="GC8" s="292"/>
      <c r="GD8" s="292"/>
      <c r="GE8" s="292"/>
      <c r="GF8" s="292"/>
      <c r="GG8" s="35"/>
      <c r="GH8" s="291"/>
      <c r="GI8" s="291"/>
      <c r="GJ8" s="291"/>
      <c r="GK8" s="292"/>
      <c r="GL8" s="291"/>
      <c r="GM8" s="291"/>
      <c r="GN8" s="292"/>
      <c r="GO8" s="292"/>
      <c r="GP8" s="292"/>
      <c r="GQ8" s="292"/>
      <c r="GR8" s="292"/>
      <c r="GS8" s="35"/>
      <c r="GT8" s="291"/>
      <c r="GU8" s="291"/>
      <c r="GV8" s="291"/>
      <c r="GW8" s="292"/>
      <c r="GX8" s="291"/>
      <c r="GY8" s="291"/>
      <c r="GZ8" s="292"/>
      <c r="HA8" s="292"/>
      <c r="HB8" s="292"/>
      <c r="HC8" s="292"/>
      <c r="HD8" s="292"/>
      <c r="HE8" s="35"/>
      <c r="HF8" s="291"/>
      <c r="HG8" s="291"/>
      <c r="HH8" s="291"/>
      <c r="HI8" s="292"/>
      <c r="HJ8" s="291"/>
      <c r="HK8" s="291"/>
      <c r="HL8" s="292"/>
      <c r="HM8" s="292"/>
      <c r="HN8" s="292"/>
      <c r="HO8" s="292"/>
      <c r="HP8" s="292"/>
      <c r="HQ8" s="35"/>
      <c r="HR8" s="291"/>
      <c r="HS8" s="291"/>
      <c r="HT8" s="291"/>
      <c r="HU8" s="292"/>
      <c r="HV8" s="291"/>
      <c r="HW8" s="291"/>
      <c r="HX8" s="292"/>
      <c r="HY8" s="292"/>
      <c r="HZ8" s="292"/>
      <c r="IA8" s="292"/>
      <c r="IB8" s="292"/>
      <c r="IC8" s="35"/>
      <c r="ID8" s="291"/>
      <c r="IE8" s="291"/>
      <c r="IF8" s="291"/>
      <c r="IG8" s="292"/>
      <c r="IH8" s="291"/>
      <c r="II8" s="291"/>
      <c r="IJ8" s="292"/>
      <c r="IK8" s="292"/>
      <c r="IL8" s="292"/>
      <c r="IM8" s="292"/>
      <c r="IN8" s="292"/>
      <c r="IO8" s="35"/>
      <c r="IP8" s="291"/>
      <c r="IQ8" s="291"/>
      <c r="IR8" s="291"/>
    </row>
    <row r="9" spans="1:252" s="5" customFormat="1" ht="14.25">
      <c r="A9" s="36" t="s">
        <v>27</v>
      </c>
      <c r="B9" s="291">
        <v>4.7</v>
      </c>
      <c r="C9" s="291">
        <v>6.4</v>
      </c>
      <c r="D9" s="291">
        <v>12</v>
      </c>
      <c r="E9" s="291">
        <v>13.9</v>
      </c>
      <c r="F9" s="291">
        <v>14.7</v>
      </c>
      <c r="G9" s="291">
        <v>14.7</v>
      </c>
      <c r="H9" s="291">
        <v>13.1</v>
      </c>
      <c r="I9" s="291">
        <v>11.3</v>
      </c>
      <c r="J9" s="291">
        <v>9.6</v>
      </c>
      <c r="K9" s="291">
        <v>9.1999999999999993</v>
      </c>
      <c r="L9" s="291"/>
      <c r="M9" s="291"/>
      <c r="N9" s="291"/>
      <c r="O9" s="291"/>
      <c r="P9" s="291"/>
      <c r="Q9" s="291"/>
      <c r="R9" s="291"/>
      <c r="S9" s="291"/>
      <c r="T9" s="291"/>
      <c r="U9" s="36"/>
      <c r="V9" s="291"/>
      <c r="W9" s="291"/>
      <c r="X9" s="291"/>
      <c r="Y9" s="291"/>
      <c r="Z9" s="291"/>
      <c r="AA9" s="291"/>
      <c r="AB9" s="291"/>
      <c r="AC9" s="291"/>
      <c r="AD9" s="291"/>
      <c r="AE9" s="291"/>
      <c r="AF9" s="291"/>
      <c r="AG9" s="36"/>
      <c r="AH9" s="291"/>
      <c r="AI9" s="291"/>
      <c r="AJ9" s="291"/>
      <c r="AK9" s="291"/>
      <c r="AL9" s="291"/>
      <c r="AM9" s="291"/>
      <c r="AN9" s="291"/>
      <c r="AO9" s="291"/>
      <c r="AP9" s="291"/>
      <c r="AQ9" s="291"/>
      <c r="AR9" s="291"/>
      <c r="AS9" s="36"/>
      <c r="AT9" s="291"/>
      <c r="AU9" s="291"/>
      <c r="AV9" s="291"/>
      <c r="AW9" s="291"/>
      <c r="AX9" s="291"/>
      <c r="AY9" s="291"/>
      <c r="AZ9" s="291"/>
      <c r="BA9" s="291"/>
      <c r="BB9" s="291"/>
      <c r="BC9" s="291"/>
      <c r="BD9" s="291"/>
      <c r="BE9" s="36"/>
      <c r="BF9" s="291"/>
      <c r="BG9" s="291"/>
      <c r="BH9" s="291"/>
      <c r="BI9" s="291"/>
      <c r="BJ9" s="291"/>
      <c r="BK9" s="291"/>
      <c r="BL9" s="291"/>
      <c r="BM9" s="291"/>
      <c r="BN9" s="291"/>
      <c r="BO9" s="291"/>
      <c r="BP9" s="291"/>
      <c r="BQ9" s="36"/>
      <c r="BR9" s="291"/>
      <c r="BS9" s="291"/>
      <c r="BT9" s="291"/>
      <c r="BU9" s="291"/>
      <c r="BV9" s="291"/>
      <c r="BW9" s="291"/>
      <c r="BX9" s="291"/>
      <c r="BY9" s="291"/>
      <c r="BZ9" s="291"/>
      <c r="CA9" s="291"/>
      <c r="CB9" s="291"/>
      <c r="CC9" s="36"/>
      <c r="CD9" s="291"/>
      <c r="CE9" s="291"/>
      <c r="CF9" s="291"/>
      <c r="CG9" s="291"/>
      <c r="CH9" s="291"/>
      <c r="CI9" s="291"/>
      <c r="CJ9" s="291"/>
      <c r="CK9" s="291"/>
      <c r="CL9" s="291"/>
      <c r="CM9" s="291"/>
      <c r="CN9" s="291"/>
      <c r="CO9" s="36"/>
      <c r="CP9" s="291"/>
      <c r="CQ9" s="291"/>
      <c r="CR9" s="291"/>
      <c r="CS9" s="291"/>
      <c r="CT9" s="291"/>
      <c r="CU9" s="291"/>
      <c r="CV9" s="291"/>
      <c r="CW9" s="291"/>
      <c r="CX9" s="291"/>
      <c r="CY9" s="291"/>
      <c r="CZ9" s="291"/>
      <c r="DA9" s="36"/>
      <c r="DB9" s="291"/>
      <c r="DC9" s="291"/>
      <c r="DD9" s="291"/>
      <c r="DE9" s="291"/>
      <c r="DF9" s="291"/>
      <c r="DG9" s="291"/>
      <c r="DH9" s="291"/>
      <c r="DI9" s="291"/>
      <c r="DJ9" s="291"/>
      <c r="DK9" s="291"/>
      <c r="DL9" s="291"/>
      <c r="DM9" s="36"/>
      <c r="DN9" s="291"/>
      <c r="DO9" s="291"/>
      <c r="DP9" s="291"/>
      <c r="DQ9" s="291"/>
      <c r="DR9" s="291"/>
      <c r="DS9" s="291"/>
      <c r="DT9" s="291"/>
      <c r="DU9" s="291"/>
      <c r="DV9" s="291"/>
      <c r="DW9" s="291"/>
      <c r="DX9" s="291"/>
      <c r="DY9" s="36"/>
      <c r="DZ9" s="291"/>
      <c r="EA9" s="291"/>
      <c r="EB9" s="291"/>
      <c r="EC9" s="291"/>
      <c r="ED9" s="291"/>
      <c r="EE9" s="291"/>
      <c r="EF9" s="291"/>
      <c r="EG9" s="291"/>
      <c r="EH9" s="291"/>
      <c r="EI9" s="291"/>
      <c r="EJ9" s="291"/>
      <c r="EK9" s="36"/>
      <c r="EL9" s="291"/>
      <c r="EM9" s="291"/>
      <c r="EN9" s="291"/>
      <c r="EO9" s="291"/>
      <c r="EP9" s="291"/>
      <c r="EQ9" s="291"/>
      <c r="ER9" s="291"/>
      <c r="ES9" s="291"/>
      <c r="ET9" s="291"/>
      <c r="EU9" s="291"/>
      <c r="EV9" s="291"/>
      <c r="EW9" s="36"/>
      <c r="EX9" s="291"/>
      <c r="EY9" s="291"/>
      <c r="EZ9" s="291"/>
      <c r="FA9" s="291"/>
      <c r="FB9" s="291"/>
      <c r="FC9" s="291"/>
      <c r="FD9" s="291"/>
      <c r="FE9" s="291"/>
      <c r="FF9" s="291"/>
      <c r="FG9" s="291"/>
      <c r="FH9" s="291"/>
      <c r="FI9" s="36"/>
      <c r="FJ9" s="291"/>
      <c r="FK9" s="291"/>
      <c r="FL9" s="291"/>
      <c r="FM9" s="291"/>
      <c r="FN9" s="291"/>
      <c r="FO9" s="291"/>
      <c r="FP9" s="291"/>
      <c r="FQ9" s="291"/>
      <c r="FR9" s="291"/>
      <c r="FS9" s="291"/>
      <c r="FT9" s="291"/>
      <c r="FU9" s="36"/>
      <c r="FV9" s="291"/>
      <c r="FW9" s="291"/>
      <c r="FX9" s="291"/>
      <c r="FY9" s="291"/>
      <c r="FZ9" s="291"/>
      <c r="GA9" s="291"/>
      <c r="GB9" s="291"/>
      <c r="GC9" s="291"/>
      <c r="GD9" s="291"/>
      <c r="GE9" s="291"/>
      <c r="GF9" s="291"/>
      <c r="GG9" s="36"/>
      <c r="GH9" s="291"/>
      <c r="GI9" s="291"/>
      <c r="GJ9" s="291"/>
      <c r="GK9" s="291"/>
      <c r="GL9" s="291"/>
      <c r="GM9" s="291"/>
      <c r="GN9" s="291"/>
      <c r="GO9" s="291"/>
      <c r="GP9" s="291"/>
      <c r="GQ9" s="291"/>
      <c r="GR9" s="291"/>
      <c r="GS9" s="36"/>
      <c r="GT9" s="291"/>
      <c r="GU9" s="291"/>
      <c r="GV9" s="291"/>
      <c r="GW9" s="291"/>
      <c r="GX9" s="291"/>
      <c r="GY9" s="291"/>
      <c r="GZ9" s="291"/>
      <c r="HA9" s="291"/>
      <c r="HB9" s="291"/>
      <c r="HC9" s="291"/>
      <c r="HD9" s="291"/>
      <c r="HE9" s="36"/>
      <c r="HF9" s="291"/>
      <c r="HG9" s="291"/>
      <c r="HH9" s="291"/>
      <c r="HI9" s="291"/>
      <c r="HJ9" s="291"/>
      <c r="HK9" s="291"/>
      <c r="HL9" s="291"/>
      <c r="HM9" s="291"/>
      <c r="HN9" s="291"/>
      <c r="HO9" s="291"/>
      <c r="HP9" s="291"/>
      <c r="HQ9" s="36"/>
      <c r="HR9" s="291"/>
      <c r="HS9" s="291"/>
      <c r="HT9" s="291"/>
      <c r="HU9" s="291"/>
      <c r="HV9" s="291"/>
      <c r="HW9" s="291"/>
      <c r="HX9" s="291"/>
      <c r="HY9" s="291"/>
      <c r="HZ9" s="291"/>
      <c r="IA9" s="291"/>
      <c r="IB9" s="291"/>
      <c r="IC9" s="36"/>
      <c r="ID9" s="291"/>
      <c r="IE9" s="291"/>
      <c r="IF9" s="291"/>
      <c r="IG9" s="291"/>
      <c r="IH9" s="291"/>
      <c r="II9" s="291"/>
      <c r="IJ9" s="291"/>
      <c r="IK9" s="291"/>
      <c r="IL9" s="291"/>
      <c r="IM9" s="291"/>
      <c r="IN9" s="291"/>
      <c r="IO9" s="36"/>
      <c r="IP9" s="291"/>
      <c r="IQ9" s="291"/>
      <c r="IR9" s="291"/>
    </row>
    <row r="10" spans="1:252" s="5" customFormat="1" ht="14.25">
      <c r="A10" s="35" t="s">
        <v>26</v>
      </c>
      <c r="B10" s="291">
        <v>8.4</v>
      </c>
      <c r="C10" s="291">
        <v>7.8</v>
      </c>
      <c r="D10" s="291">
        <v>9.6</v>
      </c>
      <c r="E10" s="291">
        <v>12.7</v>
      </c>
      <c r="F10" s="291">
        <v>17.899999999999999</v>
      </c>
      <c r="G10" s="291">
        <v>24.5</v>
      </c>
      <c r="H10" s="291">
        <v>27.5</v>
      </c>
      <c r="I10" s="291">
        <v>26.5</v>
      </c>
      <c r="J10" s="291">
        <v>25.6</v>
      </c>
      <c r="K10" s="291">
        <v>23.2</v>
      </c>
      <c r="L10" s="291"/>
      <c r="M10" s="291"/>
      <c r="N10" s="291"/>
      <c r="O10" s="291"/>
      <c r="P10" s="291"/>
      <c r="Q10" s="291"/>
      <c r="R10" s="291"/>
      <c r="S10" s="291"/>
      <c r="T10" s="291"/>
      <c r="U10" s="35"/>
      <c r="V10" s="291"/>
      <c r="W10" s="291"/>
      <c r="X10" s="291"/>
      <c r="Y10" s="291"/>
      <c r="Z10" s="291"/>
      <c r="AA10" s="291"/>
      <c r="AB10" s="291"/>
      <c r="AC10" s="291"/>
      <c r="AD10" s="291"/>
      <c r="AE10" s="291"/>
      <c r="AF10" s="291"/>
      <c r="AG10" s="35"/>
      <c r="AH10" s="291"/>
      <c r="AI10" s="291"/>
      <c r="AJ10" s="291"/>
      <c r="AK10" s="291"/>
      <c r="AL10" s="291"/>
      <c r="AM10" s="291"/>
      <c r="AN10" s="291"/>
      <c r="AO10" s="291"/>
      <c r="AP10" s="291"/>
      <c r="AQ10" s="291"/>
      <c r="AR10" s="291"/>
      <c r="AS10" s="35"/>
      <c r="AT10" s="291"/>
      <c r="AU10" s="291"/>
      <c r="AV10" s="291"/>
      <c r="AW10" s="291"/>
      <c r="AX10" s="291"/>
      <c r="AY10" s="291"/>
      <c r="AZ10" s="291"/>
      <c r="BA10" s="291"/>
      <c r="BB10" s="291"/>
      <c r="BC10" s="291"/>
      <c r="BD10" s="291"/>
      <c r="BE10" s="35"/>
      <c r="BF10" s="291"/>
      <c r="BG10" s="291"/>
      <c r="BH10" s="291"/>
      <c r="BI10" s="291"/>
      <c r="BJ10" s="291"/>
      <c r="BK10" s="291"/>
      <c r="BL10" s="291"/>
      <c r="BM10" s="291"/>
      <c r="BN10" s="291"/>
      <c r="BO10" s="291"/>
      <c r="BP10" s="291"/>
      <c r="BQ10" s="35"/>
      <c r="BR10" s="291"/>
      <c r="BS10" s="291"/>
      <c r="BT10" s="291"/>
      <c r="BU10" s="291"/>
      <c r="BV10" s="291"/>
      <c r="BW10" s="291"/>
      <c r="BX10" s="291"/>
      <c r="BY10" s="291"/>
      <c r="BZ10" s="291"/>
      <c r="CA10" s="291"/>
      <c r="CB10" s="291"/>
      <c r="CC10" s="35"/>
      <c r="CD10" s="291"/>
      <c r="CE10" s="291"/>
      <c r="CF10" s="291"/>
      <c r="CG10" s="291"/>
      <c r="CH10" s="291"/>
      <c r="CI10" s="291"/>
      <c r="CJ10" s="291"/>
      <c r="CK10" s="291"/>
      <c r="CL10" s="291"/>
      <c r="CM10" s="291"/>
      <c r="CN10" s="291"/>
      <c r="CO10" s="35"/>
      <c r="CP10" s="291"/>
      <c r="CQ10" s="291"/>
      <c r="CR10" s="291"/>
      <c r="CS10" s="291"/>
      <c r="CT10" s="291"/>
      <c r="CU10" s="291"/>
      <c r="CV10" s="291"/>
      <c r="CW10" s="291"/>
      <c r="CX10" s="291"/>
      <c r="CY10" s="291"/>
      <c r="CZ10" s="291"/>
      <c r="DA10" s="35"/>
      <c r="DB10" s="291"/>
      <c r="DC10" s="291"/>
      <c r="DD10" s="291"/>
      <c r="DE10" s="291"/>
      <c r="DF10" s="291"/>
      <c r="DG10" s="291"/>
      <c r="DH10" s="291"/>
      <c r="DI10" s="291"/>
      <c r="DJ10" s="291"/>
      <c r="DK10" s="291"/>
      <c r="DL10" s="291"/>
      <c r="DM10" s="35"/>
      <c r="DN10" s="291"/>
      <c r="DO10" s="291"/>
      <c r="DP10" s="291"/>
      <c r="DQ10" s="291"/>
      <c r="DR10" s="291"/>
      <c r="DS10" s="291"/>
      <c r="DT10" s="291"/>
      <c r="DU10" s="291"/>
      <c r="DV10" s="291"/>
      <c r="DW10" s="291"/>
      <c r="DX10" s="291"/>
      <c r="DY10" s="35"/>
      <c r="DZ10" s="291"/>
      <c r="EA10" s="291"/>
      <c r="EB10" s="291"/>
      <c r="EC10" s="291"/>
      <c r="ED10" s="291"/>
      <c r="EE10" s="291"/>
      <c r="EF10" s="291"/>
      <c r="EG10" s="291"/>
      <c r="EH10" s="291"/>
      <c r="EI10" s="291"/>
      <c r="EJ10" s="291"/>
      <c r="EK10" s="35"/>
      <c r="EL10" s="291"/>
      <c r="EM10" s="291"/>
      <c r="EN10" s="291"/>
      <c r="EO10" s="291"/>
      <c r="EP10" s="291"/>
      <c r="EQ10" s="291"/>
      <c r="ER10" s="291"/>
      <c r="ES10" s="291"/>
      <c r="ET10" s="291"/>
      <c r="EU10" s="291"/>
      <c r="EV10" s="291"/>
      <c r="EW10" s="35"/>
      <c r="EX10" s="291"/>
      <c r="EY10" s="291"/>
      <c r="EZ10" s="291"/>
      <c r="FA10" s="291"/>
      <c r="FB10" s="291"/>
      <c r="FC10" s="291"/>
      <c r="FD10" s="291"/>
      <c r="FE10" s="291"/>
      <c r="FF10" s="291"/>
      <c r="FG10" s="291"/>
      <c r="FH10" s="291"/>
      <c r="FI10" s="35"/>
      <c r="FJ10" s="291"/>
      <c r="FK10" s="291"/>
      <c r="FL10" s="291"/>
      <c r="FM10" s="291"/>
      <c r="FN10" s="291"/>
      <c r="FO10" s="291"/>
      <c r="FP10" s="291"/>
      <c r="FQ10" s="291"/>
      <c r="FR10" s="291"/>
      <c r="FS10" s="291"/>
      <c r="FT10" s="291"/>
      <c r="FU10" s="35"/>
      <c r="FV10" s="291"/>
      <c r="FW10" s="291"/>
      <c r="FX10" s="291"/>
      <c r="FY10" s="291"/>
      <c r="FZ10" s="291"/>
      <c r="GA10" s="291"/>
      <c r="GB10" s="291"/>
      <c r="GC10" s="291"/>
      <c r="GD10" s="291"/>
      <c r="GE10" s="291"/>
      <c r="GF10" s="291"/>
      <c r="GG10" s="35"/>
      <c r="GH10" s="291"/>
      <c r="GI10" s="291"/>
      <c r="GJ10" s="291"/>
      <c r="GK10" s="291"/>
      <c r="GL10" s="291"/>
      <c r="GM10" s="291"/>
      <c r="GN10" s="291"/>
      <c r="GO10" s="291"/>
      <c r="GP10" s="291"/>
      <c r="GQ10" s="291"/>
      <c r="GR10" s="291"/>
      <c r="GS10" s="35"/>
      <c r="GT10" s="291"/>
      <c r="GU10" s="291"/>
      <c r="GV10" s="291"/>
      <c r="GW10" s="291"/>
      <c r="GX10" s="291"/>
      <c r="GY10" s="291"/>
      <c r="GZ10" s="291"/>
      <c r="HA10" s="291"/>
      <c r="HB10" s="291"/>
      <c r="HC10" s="291"/>
      <c r="HD10" s="291"/>
      <c r="HE10" s="35"/>
      <c r="HF10" s="291"/>
      <c r="HG10" s="291"/>
      <c r="HH10" s="291"/>
      <c r="HI10" s="291"/>
      <c r="HJ10" s="291"/>
      <c r="HK10" s="291"/>
      <c r="HL10" s="291"/>
      <c r="HM10" s="291"/>
      <c r="HN10" s="291"/>
      <c r="HO10" s="291"/>
      <c r="HP10" s="291"/>
      <c r="HQ10" s="35"/>
      <c r="HR10" s="291"/>
      <c r="HS10" s="291"/>
      <c r="HT10" s="291"/>
      <c r="HU10" s="291"/>
      <c r="HV10" s="291"/>
      <c r="HW10" s="291"/>
      <c r="HX10" s="291"/>
      <c r="HY10" s="291"/>
      <c r="HZ10" s="291"/>
      <c r="IA10" s="291"/>
      <c r="IB10" s="291"/>
      <c r="IC10" s="35"/>
      <c r="ID10" s="291"/>
      <c r="IE10" s="291"/>
      <c r="IF10" s="291"/>
      <c r="IG10" s="291"/>
      <c r="IH10" s="291"/>
      <c r="II10" s="291"/>
      <c r="IJ10" s="291"/>
      <c r="IK10" s="291"/>
      <c r="IL10" s="291"/>
      <c r="IM10" s="291"/>
      <c r="IN10" s="291"/>
      <c r="IO10" s="35"/>
      <c r="IP10" s="291"/>
      <c r="IQ10" s="291"/>
      <c r="IR10" s="291"/>
    </row>
    <row r="11" spans="1:252" s="5" customFormat="1" ht="14.25">
      <c r="A11" s="35" t="s">
        <v>25</v>
      </c>
      <c r="B11" s="291">
        <v>8.1999999999999993</v>
      </c>
      <c r="C11" s="291">
        <v>11.3</v>
      </c>
      <c r="D11" s="291">
        <v>17.899999999999999</v>
      </c>
      <c r="E11" s="291">
        <v>19.899999999999999</v>
      </c>
      <c r="F11" s="291">
        <v>21.4</v>
      </c>
      <c r="G11" s="397">
        <v>24.8</v>
      </c>
      <c r="H11" s="291">
        <v>26.1</v>
      </c>
      <c r="I11" s="258">
        <v>24.5</v>
      </c>
      <c r="J11" s="291">
        <v>22.4</v>
      </c>
      <c r="K11" s="291">
        <v>20.5</v>
      </c>
      <c r="L11" s="291"/>
      <c r="M11" s="291"/>
      <c r="N11" s="291"/>
      <c r="O11" s="291"/>
      <c r="P11" s="292"/>
      <c r="Q11" s="292"/>
      <c r="R11" s="292"/>
      <c r="S11" s="292"/>
      <c r="T11" s="292"/>
      <c r="U11" s="35"/>
      <c r="V11" s="291"/>
      <c r="W11" s="291"/>
      <c r="X11" s="291"/>
      <c r="Y11" s="291"/>
      <c r="Z11" s="291"/>
      <c r="AA11" s="291"/>
      <c r="AB11" s="292"/>
      <c r="AC11" s="292"/>
      <c r="AD11" s="292"/>
      <c r="AE11" s="292"/>
      <c r="AF11" s="292"/>
      <c r="AG11" s="35"/>
      <c r="AH11" s="291"/>
      <c r="AI11" s="291"/>
      <c r="AJ11" s="291"/>
      <c r="AK11" s="291"/>
      <c r="AL11" s="291"/>
      <c r="AM11" s="291"/>
      <c r="AN11" s="292"/>
      <c r="AO11" s="292"/>
      <c r="AP11" s="292"/>
      <c r="AQ11" s="292"/>
      <c r="AR11" s="292"/>
      <c r="AS11" s="35"/>
      <c r="AT11" s="291"/>
      <c r="AU11" s="291"/>
      <c r="AV11" s="291"/>
      <c r="AW11" s="291"/>
      <c r="AX11" s="291"/>
      <c r="AY11" s="291"/>
      <c r="AZ11" s="292"/>
      <c r="BA11" s="292"/>
      <c r="BB11" s="292"/>
      <c r="BC11" s="292"/>
      <c r="BD11" s="292"/>
      <c r="BE11" s="35"/>
      <c r="BF11" s="291"/>
      <c r="BG11" s="291"/>
      <c r="BH11" s="291"/>
      <c r="BI11" s="291"/>
      <c r="BJ11" s="291"/>
      <c r="BK11" s="291"/>
      <c r="BL11" s="292"/>
      <c r="BM11" s="292"/>
      <c r="BN11" s="292"/>
      <c r="BO11" s="292"/>
      <c r="BP11" s="292"/>
      <c r="BQ11" s="35"/>
      <c r="BR11" s="291"/>
      <c r="BS11" s="291"/>
      <c r="BT11" s="291"/>
      <c r="BU11" s="291"/>
      <c r="BV11" s="291"/>
      <c r="BW11" s="291"/>
      <c r="BX11" s="292"/>
      <c r="BY11" s="292"/>
      <c r="BZ11" s="292"/>
      <c r="CA11" s="292"/>
      <c r="CB11" s="292"/>
      <c r="CC11" s="35"/>
      <c r="CD11" s="291"/>
      <c r="CE11" s="291"/>
      <c r="CF11" s="291"/>
      <c r="CG11" s="291"/>
      <c r="CH11" s="291"/>
      <c r="CI11" s="291"/>
      <c r="CJ11" s="292"/>
      <c r="CK11" s="292"/>
      <c r="CL11" s="292"/>
      <c r="CM11" s="292"/>
      <c r="CN11" s="292"/>
      <c r="CO11" s="35"/>
      <c r="CP11" s="291"/>
      <c r="CQ11" s="291"/>
      <c r="CR11" s="291"/>
      <c r="CS11" s="291"/>
      <c r="CT11" s="291"/>
      <c r="CU11" s="291"/>
      <c r="CV11" s="292"/>
      <c r="CW11" s="292"/>
      <c r="CX11" s="292"/>
      <c r="CY11" s="292"/>
      <c r="CZ11" s="292"/>
      <c r="DA11" s="35"/>
      <c r="DB11" s="291"/>
      <c r="DC11" s="291"/>
      <c r="DD11" s="291"/>
      <c r="DE11" s="291"/>
      <c r="DF11" s="291"/>
      <c r="DG11" s="291"/>
      <c r="DH11" s="292"/>
      <c r="DI11" s="292"/>
      <c r="DJ11" s="292"/>
      <c r="DK11" s="292"/>
      <c r="DL11" s="292"/>
      <c r="DM11" s="35"/>
      <c r="DN11" s="291"/>
      <c r="DO11" s="291"/>
      <c r="DP11" s="291"/>
      <c r="DQ11" s="291"/>
      <c r="DR11" s="291"/>
      <c r="DS11" s="291"/>
      <c r="DT11" s="292"/>
      <c r="DU11" s="292"/>
      <c r="DV11" s="292"/>
      <c r="DW11" s="292"/>
      <c r="DX11" s="292"/>
      <c r="DY11" s="35"/>
      <c r="DZ11" s="291"/>
      <c r="EA11" s="291"/>
      <c r="EB11" s="291"/>
      <c r="EC11" s="291"/>
      <c r="ED11" s="291"/>
      <c r="EE11" s="291"/>
      <c r="EF11" s="292"/>
      <c r="EG11" s="292"/>
      <c r="EH11" s="292"/>
      <c r="EI11" s="292"/>
      <c r="EJ11" s="292"/>
      <c r="EK11" s="35"/>
      <c r="EL11" s="291"/>
      <c r="EM11" s="291"/>
      <c r="EN11" s="291"/>
      <c r="EO11" s="291"/>
      <c r="EP11" s="291"/>
      <c r="EQ11" s="291"/>
      <c r="ER11" s="292"/>
      <c r="ES11" s="292"/>
      <c r="ET11" s="292"/>
      <c r="EU11" s="292"/>
      <c r="EV11" s="292"/>
      <c r="EW11" s="35"/>
      <c r="EX11" s="291"/>
      <c r="EY11" s="291"/>
      <c r="EZ11" s="291"/>
      <c r="FA11" s="291"/>
      <c r="FB11" s="291"/>
      <c r="FC11" s="291"/>
      <c r="FD11" s="292"/>
      <c r="FE11" s="292"/>
      <c r="FF11" s="292"/>
      <c r="FG11" s="292"/>
      <c r="FH11" s="292"/>
      <c r="FI11" s="35"/>
      <c r="FJ11" s="291"/>
      <c r="FK11" s="291"/>
      <c r="FL11" s="291"/>
      <c r="FM11" s="291"/>
      <c r="FN11" s="291"/>
      <c r="FO11" s="291"/>
      <c r="FP11" s="292"/>
      <c r="FQ11" s="292"/>
      <c r="FR11" s="292"/>
      <c r="FS11" s="292"/>
      <c r="FT11" s="292"/>
      <c r="FU11" s="35"/>
      <c r="FV11" s="291"/>
      <c r="FW11" s="291"/>
      <c r="FX11" s="291"/>
      <c r="FY11" s="291"/>
      <c r="FZ11" s="291"/>
      <c r="GA11" s="291"/>
      <c r="GB11" s="292"/>
      <c r="GC11" s="292"/>
      <c r="GD11" s="292"/>
      <c r="GE11" s="292"/>
      <c r="GF11" s="292"/>
      <c r="GG11" s="35"/>
      <c r="GH11" s="291"/>
      <c r="GI11" s="291"/>
      <c r="GJ11" s="291"/>
      <c r="GK11" s="291"/>
      <c r="GL11" s="291"/>
      <c r="GM11" s="291"/>
      <c r="GN11" s="292"/>
      <c r="GO11" s="292"/>
      <c r="GP11" s="292"/>
      <c r="GQ11" s="292"/>
      <c r="GR11" s="292"/>
      <c r="GS11" s="35"/>
      <c r="GT11" s="291"/>
      <c r="GU11" s="291"/>
      <c r="GV11" s="291"/>
      <c r="GW11" s="291"/>
      <c r="GX11" s="291"/>
      <c r="GY11" s="291"/>
      <c r="GZ11" s="292"/>
      <c r="HA11" s="292"/>
      <c r="HB11" s="292"/>
      <c r="HC11" s="292"/>
      <c r="HD11" s="292"/>
      <c r="HE11" s="35"/>
      <c r="HF11" s="291"/>
      <c r="HG11" s="291"/>
      <c r="HH11" s="291"/>
      <c r="HI11" s="291"/>
      <c r="HJ11" s="291"/>
      <c r="HK11" s="291"/>
      <c r="HL11" s="292"/>
      <c r="HM11" s="292"/>
      <c r="HN11" s="292"/>
      <c r="HO11" s="292"/>
      <c r="HP11" s="292"/>
      <c r="HQ11" s="35"/>
      <c r="HR11" s="291"/>
      <c r="HS11" s="291"/>
      <c r="HT11" s="291"/>
      <c r="HU11" s="291"/>
      <c r="HV11" s="291"/>
      <c r="HW11" s="291"/>
      <c r="HX11" s="292"/>
      <c r="HY11" s="292"/>
      <c r="HZ11" s="292"/>
      <c r="IA11" s="292"/>
      <c r="IB11" s="292"/>
      <c r="IC11" s="35"/>
      <c r="ID11" s="291"/>
      <c r="IE11" s="291"/>
      <c r="IF11" s="291"/>
      <c r="IG11" s="291"/>
      <c r="IH11" s="291"/>
      <c r="II11" s="291"/>
      <c r="IJ11" s="292"/>
      <c r="IK11" s="292"/>
      <c r="IL11" s="292"/>
      <c r="IM11" s="292"/>
      <c r="IN11" s="292"/>
      <c r="IO11" s="35"/>
      <c r="IP11" s="291"/>
      <c r="IQ11" s="291"/>
      <c r="IR11" s="291"/>
    </row>
    <row r="12" spans="1:252" s="5" customFormat="1" ht="14.25">
      <c r="A12" s="35" t="s">
        <v>24</v>
      </c>
      <c r="B12" s="291">
        <v>8</v>
      </c>
      <c r="C12" s="291">
        <v>7.4</v>
      </c>
      <c r="D12" s="291">
        <v>9.1</v>
      </c>
      <c r="E12" s="291">
        <v>9.3000000000000007</v>
      </c>
      <c r="F12" s="291">
        <v>9.1999999999999993</v>
      </c>
      <c r="G12" s="397">
        <v>9.8000000000000007</v>
      </c>
      <c r="H12" s="291">
        <v>10.3</v>
      </c>
      <c r="I12" s="291">
        <v>10.3</v>
      </c>
      <c r="J12" s="291">
        <v>10.3</v>
      </c>
      <c r="K12" s="291">
        <v>10</v>
      </c>
      <c r="L12" s="291"/>
      <c r="M12" s="291"/>
      <c r="N12" s="291"/>
      <c r="O12" s="291"/>
      <c r="P12" s="292"/>
      <c r="Q12" s="292"/>
      <c r="R12" s="292"/>
      <c r="S12" s="292"/>
      <c r="T12" s="292"/>
      <c r="U12" s="35"/>
      <c r="V12" s="291"/>
      <c r="W12" s="291"/>
      <c r="X12" s="291"/>
      <c r="Y12" s="291"/>
      <c r="Z12" s="291"/>
      <c r="AA12" s="291"/>
      <c r="AB12" s="292"/>
      <c r="AC12" s="292"/>
      <c r="AD12" s="292"/>
      <c r="AE12" s="292"/>
      <c r="AF12" s="292"/>
      <c r="AG12" s="35"/>
      <c r="AH12" s="291"/>
      <c r="AI12" s="291"/>
      <c r="AJ12" s="291"/>
      <c r="AK12" s="291"/>
      <c r="AL12" s="291"/>
      <c r="AM12" s="291"/>
      <c r="AN12" s="292"/>
      <c r="AO12" s="292"/>
      <c r="AP12" s="292"/>
      <c r="AQ12" s="292"/>
      <c r="AR12" s="292"/>
      <c r="AS12" s="35"/>
      <c r="AT12" s="291"/>
      <c r="AU12" s="291"/>
      <c r="AV12" s="291"/>
      <c r="AW12" s="291"/>
      <c r="AX12" s="291"/>
      <c r="AY12" s="291"/>
      <c r="AZ12" s="292"/>
      <c r="BA12" s="292"/>
      <c r="BB12" s="292"/>
      <c r="BC12" s="292"/>
      <c r="BD12" s="292"/>
      <c r="BE12" s="35"/>
      <c r="BF12" s="291"/>
      <c r="BG12" s="291"/>
      <c r="BH12" s="291"/>
      <c r="BI12" s="291"/>
      <c r="BJ12" s="291"/>
      <c r="BK12" s="291"/>
      <c r="BL12" s="292"/>
      <c r="BM12" s="292"/>
      <c r="BN12" s="292"/>
      <c r="BO12" s="292"/>
      <c r="BP12" s="292"/>
      <c r="BQ12" s="35"/>
      <c r="BR12" s="291"/>
      <c r="BS12" s="291"/>
      <c r="BT12" s="291"/>
      <c r="BU12" s="291"/>
      <c r="BV12" s="291"/>
      <c r="BW12" s="291"/>
      <c r="BX12" s="292"/>
      <c r="BY12" s="292"/>
      <c r="BZ12" s="292"/>
      <c r="CA12" s="292"/>
      <c r="CB12" s="292"/>
      <c r="CC12" s="35"/>
      <c r="CD12" s="291"/>
      <c r="CE12" s="291"/>
      <c r="CF12" s="291"/>
      <c r="CG12" s="291"/>
      <c r="CH12" s="291"/>
      <c r="CI12" s="291"/>
      <c r="CJ12" s="292"/>
      <c r="CK12" s="292"/>
      <c r="CL12" s="292"/>
      <c r="CM12" s="292"/>
      <c r="CN12" s="292"/>
      <c r="CO12" s="35"/>
      <c r="CP12" s="291"/>
      <c r="CQ12" s="291"/>
      <c r="CR12" s="291"/>
      <c r="CS12" s="291"/>
      <c r="CT12" s="291"/>
      <c r="CU12" s="291"/>
      <c r="CV12" s="292"/>
      <c r="CW12" s="292"/>
      <c r="CX12" s="292"/>
      <c r="CY12" s="292"/>
      <c r="CZ12" s="292"/>
      <c r="DA12" s="35"/>
      <c r="DB12" s="291"/>
      <c r="DC12" s="291"/>
      <c r="DD12" s="291"/>
      <c r="DE12" s="291"/>
      <c r="DF12" s="291"/>
      <c r="DG12" s="291"/>
      <c r="DH12" s="292"/>
      <c r="DI12" s="292"/>
      <c r="DJ12" s="292"/>
      <c r="DK12" s="292"/>
      <c r="DL12" s="292"/>
      <c r="DM12" s="35"/>
      <c r="DN12" s="291"/>
      <c r="DO12" s="291"/>
      <c r="DP12" s="291"/>
      <c r="DQ12" s="291"/>
      <c r="DR12" s="291"/>
      <c r="DS12" s="291"/>
      <c r="DT12" s="292"/>
      <c r="DU12" s="292"/>
      <c r="DV12" s="292"/>
      <c r="DW12" s="292"/>
      <c r="DX12" s="292"/>
      <c r="DY12" s="35"/>
      <c r="DZ12" s="291"/>
      <c r="EA12" s="291"/>
      <c r="EB12" s="291"/>
      <c r="EC12" s="291"/>
      <c r="ED12" s="291"/>
      <c r="EE12" s="291"/>
      <c r="EF12" s="292"/>
      <c r="EG12" s="292"/>
      <c r="EH12" s="292"/>
      <c r="EI12" s="292"/>
      <c r="EJ12" s="292"/>
      <c r="EK12" s="35"/>
      <c r="EL12" s="291"/>
      <c r="EM12" s="291"/>
      <c r="EN12" s="291"/>
      <c r="EO12" s="291"/>
      <c r="EP12" s="291"/>
      <c r="EQ12" s="291"/>
      <c r="ER12" s="292"/>
      <c r="ES12" s="292"/>
      <c r="ET12" s="292"/>
      <c r="EU12" s="292"/>
      <c r="EV12" s="292"/>
      <c r="EW12" s="35"/>
      <c r="EX12" s="291"/>
      <c r="EY12" s="291"/>
      <c r="EZ12" s="291"/>
      <c r="FA12" s="291"/>
      <c r="FB12" s="291"/>
      <c r="FC12" s="291"/>
      <c r="FD12" s="292"/>
      <c r="FE12" s="292"/>
      <c r="FF12" s="292"/>
      <c r="FG12" s="292"/>
      <c r="FH12" s="292"/>
      <c r="FI12" s="35"/>
      <c r="FJ12" s="291"/>
      <c r="FK12" s="291"/>
      <c r="FL12" s="291"/>
      <c r="FM12" s="291"/>
      <c r="FN12" s="291"/>
      <c r="FO12" s="291"/>
      <c r="FP12" s="292"/>
      <c r="FQ12" s="292"/>
      <c r="FR12" s="292"/>
      <c r="FS12" s="292"/>
      <c r="FT12" s="292"/>
      <c r="FU12" s="35"/>
      <c r="FV12" s="291"/>
      <c r="FW12" s="291"/>
      <c r="FX12" s="291"/>
      <c r="FY12" s="291"/>
      <c r="FZ12" s="291"/>
      <c r="GA12" s="291"/>
      <c r="GB12" s="292"/>
      <c r="GC12" s="292"/>
      <c r="GD12" s="292"/>
      <c r="GE12" s="292"/>
      <c r="GF12" s="292"/>
      <c r="GG12" s="35"/>
      <c r="GH12" s="291"/>
      <c r="GI12" s="291"/>
      <c r="GJ12" s="291"/>
      <c r="GK12" s="291"/>
      <c r="GL12" s="291"/>
      <c r="GM12" s="291"/>
      <c r="GN12" s="292"/>
      <c r="GO12" s="292"/>
      <c r="GP12" s="292"/>
      <c r="GQ12" s="292"/>
      <c r="GR12" s="292"/>
      <c r="GS12" s="35"/>
      <c r="GT12" s="291"/>
      <c r="GU12" s="291"/>
      <c r="GV12" s="291"/>
      <c r="GW12" s="291"/>
      <c r="GX12" s="291"/>
      <c r="GY12" s="291"/>
      <c r="GZ12" s="292"/>
      <c r="HA12" s="292"/>
      <c r="HB12" s="292"/>
      <c r="HC12" s="292"/>
      <c r="HD12" s="292"/>
      <c r="HE12" s="35"/>
      <c r="HF12" s="291"/>
      <c r="HG12" s="291"/>
      <c r="HH12" s="291"/>
      <c r="HI12" s="291"/>
      <c r="HJ12" s="291"/>
      <c r="HK12" s="291"/>
      <c r="HL12" s="292"/>
      <c r="HM12" s="292"/>
      <c r="HN12" s="292"/>
      <c r="HO12" s="292"/>
      <c r="HP12" s="292"/>
      <c r="HQ12" s="35"/>
      <c r="HR12" s="291"/>
      <c r="HS12" s="291"/>
      <c r="HT12" s="291"/>
      <c r="HU12" s="291"/>
      <c r="HV12" s="291"/>
      <c r="HW12" s="291"/>
      <c r="HX12" s="292"/>
      <c r="HY12" s="292"/>
      <c r="HZ12" s="292"/>
      <c r="IA12" s="292"/>
      <c r="IB12" s="292"/>
      <c r="IC12" s="35"/>
      <c r="ID12" s="291"/>
      <c r="IE12" s="291"/>
      <c r="IF12" s="291"/>
      <c r="IG12" s="291"/>
      <c r="IH12" s="291"/>
      <c r="II12" s="291"/>
      <c r="IJ12" s="292"/>
      <c r="IK12" s="292"/>
      <c r="IL12" s="292"/>
      <c r="IM12" s="292"/>
      <c r="IN12" s="292"/>
      <c r="IO12" s="35"/>
      <c r="IP12" s="291"/>
      <c r="IQ12" s="291"/>
      <c r="IR12" s="291"/>
    </row>
    <row r="13" spans="1:252" s="5" customFormat="1" ht="14.25">
      <c r="A13" s="35" t="s">
        <v>23</v>
      </c>
      <c r="B13" s="291">
        <v>6.1</v>
      </c>
      <c r="C13" s="291">
        <v>6.7</v>
      </c>
      <c r="D13" s="291">
        <v>7.7</v>
      </c>
      <c r="E13" s="291">
        <v>8.4</v>
      </c>
      <c r="F13" s="291">
        <v>8.4</v>
      </c>
      <c r="G13" s="397">
        <v>10.7</v>
      </c>
      <c r="H13" s="291">
        <v>12.1</v>
      </c>
      <c r="I13" s="291">
        <v>12.7</v>
      </c>
      <c r="J13" s="291">
        <v>12.4</v>
      </c>
      <c r="K13" s="291">
        <v>12.4</v>
      </c>
      <c r="L13" s="291"/>
      <c r="M13" s="292"/>
      <c r="N13" s="291"/>
      <c r="O13" s="291"/>
      <c r="P13" s="292"/>
      <c r="Q13" s="292"/>
      <c r="R13" s="292"/>
      <c r="S13" s="292"/>
      <c r="T13" s="292"/>
      <c r="U13" s="35"/>
      <c r="V13" s="291"/>
      <c r="W13" s="291"/>
      <c r="X13" s="291"/>
      <c r="Y13" s="292"/>
      <c r="Z13" s="291"/>
      <c r="AA13" s="291"/>
      <c r="AB13" s="292"/>
      <c r="AC13" s="292"/>
      <c r="AD13" s="292"/>
      <c r="AE13" s="292"/>
      <c r="AF13" s="292"/>
      <c r="AG13" s="35"/>
      <c r="AH13" s="291"/>
      <c r="AI13" s="291"/>
      <c r="AJ13" s="291"/>
      <c r="AK13" s="292"/>
      <c r="AL13" s="291"/>
      <c r="AM13" s="291"/>
      <c r="AN13" s="292"/>
      <c r="AO13" s="292"/>
      <c r="AP13" s="292"/>
      <c r="AQ13" s="292"/>
      <c r="AR13" s="292"/>
      <c r="AS13" s="35"/>
      <c r="AT13" s="291"/>
      <c r="AU13" s="291"/>
      <c r="AV13" s="291"/>
      <c r="AW13" s="292"/>
      <c r="AX13" s="291"/>
      <c r="AY13" s="291"/>
      <c r="AZ13" s="292"/>
      <c r="BA13" s="292"/>
      <c r="BB13" s="292"/>
      <c r="BC13" s="292"/>
      <c r="BD13" s="292"/>
      <c r="BE13" s="35"/>
      <c r="BF13" s="291"/>
      <c r="BG13" s="291"/>
      <c r="BH13" s="291"/>
      <c r="BI13" s="292"/>
      <c r="BJ13" s="291"/>
      <c r="BK13" s="291"/>
      <c r="BL13" s="292"/>
      <c r="BM13" s="292"/>
      <c r="BN13" s="292"/>
      <c r="BO13" s="292"/>
      <c r="BP13" s="292"/>
      <c r="BQ13" s="35"/>
      <c r="BR13" s="291"/>
      <c r="BS13" s="291"/>
      <c r="BT13" s="291"/>
      <c r="BU13" s="292"/>
      <c r="BV13" s="291"/>
      <c r="BW13" s="291"/>
      <c r="BX13" s="292"/>
      <c r="BY13" s="292"/>
      <c r="BZ13" s="292"/>
      <c r="CA13" s="292"/>
      <c r="CB13" s="292"/>
      <c r="CC13" s="35"/>
      <c r="CD13" s="291"/>
      <c r="CE13" s="291"/>
      <c r="CF13" s="291"/>
      <c r="CG13" s="292"/>
      <c r="CH13" s="291"/>
      <c r="CI13" s="291"/>
      <c r="CJ13" s="292"/>
      <c r="CK13" s="292"/>
      <c r="CL13" s="292"/>
      <c r="CM13" s="292"/>
      <c r="CN13" s="292"/>
      <c r="CO13" s="35"/>
      <c r="CP13" s="291"/>
      <c r="CQ13" s="291"/>
      <c r="CR13" s="291"/>
      <c r="CS13" s="292"/>
      <c r="CT13" s="291"/>
      <c r="CU13" s="291"/>
      <c r="CV13" s="292"/>
      <c r="CW13" s="292"/>
      <c r="CX13" s="292"/>
      <c r="CY13" s="292"/>
      <c r="CZ13" s="292"/>
      <c r="DA13" s="35"/>
      <c r="DB13" s="291"/>
      <c r="DC13" s="291"/>
      <c r="DD13" s="291"/>
      <c r="DE13" s="292"/>
      <c r="DF13" s="291"/>
      <c r="DG13" s="291"/>
      <c r="DH13" s="292"/>
      <c r="DI13" s="292"/>
      <c r="DJ13" s="292"/>
      <c r="DK13" s="292"/>
      <c r="DL13" s="292"/>
      <c r="DM13" s="35"/>
      <c r="DN13" s="291"/>
      <c r="DO13" s="291"/>
      <c r="DP13" s="291"/>
      <c r="DQ13" s="292"/>
      <c r="DR13" s="291"/>
      <c r="DS13" s="291"/>
      <c r="DT13" s="292"/>
      <c r="DU13" s="292"/>
      <c r="DV13" s="292"/>
      <c r="DW13" s="292"/>
      <c r="DX13" s="292"/>
      <c r="DY13" s="35"/>
      <c r="DZ13" s="291"/>
      <c r="EA13" s="291"/>
      <c r="EB13" s="291"/>
      <c r="EC13" s="292"/>
      <c r="ED13" s="291"/>
      <c r="EE13" s="291"/>
      <c r="EF13" s="292"/>
      <c r="EG13" s="292"/>
      <c r="EH13" s="292"/>
      <c r="EI13" s="292"/>
      <c r="EJ13" s="292"/>
      <c r="EK13" s="35"/>
      <c r="EL13" s="291"/>
      <c r="EM13" s="291"/>
      <c r="EN13" s="291"/>
      <c r="EO13" s="292"/>
      <c r="EP13" s="291"/>
      <c r="EQ13" s="291"/>
      <c r="ER13" s="292"/>
      <c r="ES13" s="292"/>
      <c r="ET13" s="292"/>
      <c r="EU13" s="292"/>
      <c r="EV13" s="292"/>
      <c r="EW13" s="35"/>
      <c r="EX13" s="291"/>
      <c r="EY13" s="291"/>
      <c r="EZ13" s="291"/>
      <c r="FA13" s="292"/>
      <c r="FB13" s="291"/>
      <c r="FC13" s="291"/>
      <c r="FD13" s="292"/>
      <c r="FE13" s="292"/>
      <c r="FF13" s="292"/>
      <c r="FG13" s="292"/>
      <c r="FH13" s="292"/>
      <c r="FI13" s="35"/>
      <c r="FJ13" s="291"/>
      <c r="FK13" s="291"/>
      <c r="FL13" s="291"/>
      <c r="FM13" s="292"/>
      <c r="FN13" s="291"/>
      <c r="FO13" s="291"/>
      <c r="FP13" s="292"/>
      <c r="FQ13" s="292"/>
      <c r="FR13" s="292"/>
      <c r="FS13" s="292"/>
      <c r="FT13" s="292"/>
      <c r="FU13" s="35"/>
      <c r="FV13" s="291"/>
      <c r="FW13" s="291"/>
      <c r="FX13" s="291"/>
      <c r="FY13" s="292"/>
      <c r="FZ13" s="291"/>
      <c r="GA13" s="291"/>
      <c r="GB13" s="292"/>
      <c r="GC13" s="292"/>
      <c r="GD13" s="292"/>
      <c r="GE13" s="292"/>
      <c r="GF13" s="292"/>
      <c r="GG13" s="35"/>
      <c r="GH13" s="291"/>
      <c r="GI13" s="291"/>
      <c r="GJ13" s="291"/>
      <c r="GK13" s="292"/>
      <c r="GL13" s="291"/>
      <c r="GM13" s="291"/>
      <c r="GN13" s="292"/>
      <c r="GO13" s="292"/>
      <c r="GP13" s="292"/>
      <c r="GQ13" s="292"/>
      <c r="GR13" s="292"/>
      <c r="GS13" s="35"/>
      <c r="GT13" s="291"/>
      <c r="GU13" s="291"/>
      <c r="GV13" s="291"/>
      <c r="GW13" s="292"/>
      <c r="GX13" s="291"/>
      <c r="GY13" s="291"/>
      <c r="GZ13" s="292"/>
      <c r="HA13" s="292"/>
      <c r="HB13" s="292"/>
      <c r="HC13" s="292"/>
      <c r="HD13" s="292"/>
      <c r="HE13" s="35"/>
      <c r="HF13" s="291"/>
      <c r="HG13" s="291"/>
      <c r="HH13" s="291"/>
      <c r="HI13" s="292"/>
      <c r="HJ13" s="291"/>
      <c r="HK13" s="291"/>
      <c r="HL13" s="292"/>
      <c r="HM13" s="292"/>
      <c r="HN13" s="292"/>
      <c r="HO13" s="292"/>
      <c r="HP13" s="292"/>
      <c r="HQ13" s="35"/>
      <c r="HR13" s="291"/>
      <c r="HS13" s="291"/>
      <c r="HT13" s="291"/>
      <c r="HU13" s="292"/>
      <c r="HV13" s="291"/>
      <c r="HW13" s="291"/>
      <c r="HX13" s="292"/>
      <c r="HY13" s="292"/>
      <c r="HZ13" s="292"/>
      <c r="IA13" s="292"/>
      <c r="IB13" s="292"/>
      <c r="IC13" s="35"/>
      <c r="ID13" s="291"/>
      <c r="IE13" s="291"/>
      <c r="IF13" s="291"/>
      <c r="IG13" s="292"/>
      <c r="IH13" s="291"/>
      <c r="II13" s="291"/>
      <c r="IJ13" s="292"/>
      <c r="IK13" s="292"/>
      <c r="IL13" s="292"/>
      <c r="IM13" s="292"/>
      <c r="IN13" s="292"/>
      <c r="IO13" s="35"/>
      <c r="IP13" s="291"/>
      <c r="IQ13" s="291"/>
      <c r="IR13" s="291"/>
    </row>
    <row r="14" spans="1:252" s="5" customFormat="1" ht="14.25">
      <c r="A14" s="36" t="s">
        <v>22</v>
      </c>
      <c r="B14" s="291">
        <v>3.9</v>
      </c>
      <c r="C14" s="291">
        <v>3.7</v>
      </c>
      <c r="D14" s="291">
        <v>5.4</v>
      </c>
      <c r="E14" s="291">
        <v>6.3</v>
      </c>
      <c r="F14" s="291">
        <v>7.9</v>
      </c>
      <c r="G14" s="291">
        <v>11.9</v>
      </c>
      <c r="H14" s="291">
        <v>15.9</v>
      </c>
      <c r="I14" s="291">
        <v>16.100000000000001</v>
      </c>
      <c r="J14" s="291">
        <v>16.2</v>
      </c>
      <c r="K14" s="291">
        <v>15.2</v>
      </c>
      <c r="L14" s="291"/>
      <c r="M14" s="291"/>
      <c r="N14" s="291"/>
      <c r="O14" s="291"/>
      <c r="P14" s="291"/>
      <c r="Q14" s="291"/>
      <c r="R14" s="291"/>
      <c r="S14" s="291"/>
      <c r="T14" s="291"/>
      <c r="U14" s="36"/>
      <c r="V14" s="291"/>
      <c r="W14" s="291"/>
      <c r="X14" s="291"/>
      <c r="Y14" s="291"/>
      <c r="Z14" s="291"/>
      <c r="AA14" s="291"/>
      <c r="AB14" s="291"/>
      <c r="AC14" s="291"/>
      <c r="AD14" s="291"/>
      <c r="AE14" s="291"/>
      <c r="AF14" s="291"/>
      <c r="AG14" s="36"/>
      <c r="AH14" s="291"/>
      <c r="AI14" s="291"/>
      <c r="AJ14" s="291"/>
      <c r="AK14" s="291"/>
      <c r="AL14" s="291"/>
      <c r="AM14" s="291"/>
      <c r="AN14" s="291"/>
      <c r="AO14" s="291"/>
      <c r="AP14" s="291"/>
      <c r="AQ14" s="291"/>
      <c r="AR14" s="291"/>
      <c r="AS14" s="36"/>
      <c r="AT14" s="291"/>
      <c r="AU14" s="291"/>
      <c r="AV14" s="291"/>
      <c r="AW14" s="291"/>
      <c r="AX14" s="291"/>
      <c r="AY14" s="291"/>
      <c r="AZ14" s="291"/>
      <c r="BA14" s="291"/>
      <c r="BB14" s="291"/>
      <c r="BC14" s="291"/>
      <c r="BD14" s="291"/>
      <c r="BE14" s="36"/>
      <c r="BF14" s="291"/>
      <c r="BG14" s="291"/>
      <c r="BH14" s="291"/>
      <c r="BI14" s="291"/>
      <c r="BJ14" s="291"/>
      <c r="BK14" s="291"/>
      <c r="BL14" s="291"/>
      <c r="BM14" s="291"/>
      <c r="BN14" s="291"/>
      <c r="BO14" s="291"/>
      <c r="BP14" s="291"/>
      <c r="BQ14" s="36"/>
      <c r="BR14" s="291"/>
      <c r="BS14" s="291"/>
      <c r="BT14" s="291"/>
      <c r="BU14" s="291"/>
      <c r="BV14" s="291"/>
      <c r="BW14" s="291"/>
      <c r="BX14" s="291"/>
      <c r="BY14" s="291"/>
      <c r="BZ14" s="291"/>
      <c r="CA14" s="291"/>
      <c r="CB14" s="291"/>
      <c r="CC14" s="36"/>
      <c r="CD14" s="291"/>
      <c r="CE14" s="291"/>
      <c r="CF14" s="291"/>
      <c r="CG14" s="291"/>
      <c r="CH14" s="291"/>
      <c r="CI14" s="291"/>
      <c r="CJ14" s="291"/>
      <c r="CK14" s="291"/>
      <c r="CL14" s="291"/>
      <c r="CM14" s="291"/>
      <c r="CN14" s="291"/>
      <c r="CO14" s="36"/>
      <c r="CP14" s="291"/>
      <c r="CQ14" s="291"/>
      <c r="CR14" s="291"/>
      <c r="CS14" s="291"/>
      <c r="CT14" s="291"/>
      <c r="CU14" s="291"/>
      <c r="CV14" s="291"/>
      <c r="CW14" s="291"/>
      <c r="CX14" s="291"/>
      <c r="CY14" s="291"/>
      <c r="CZ14" s="291"/>
      <c r="DA14" s="36"/>
      <c r="DB14" s="291"/>
      <c r="DC14" s="291"/>
      <c r="DD14" s="291"/>
      <c r="DE14" s="291"/>
      <c r="DF14" s="291"/>
      <c r="DG14" s="291"/>
      <c r="DH14" s="291"/>
      <c r="DI14" s="291"/>
      <c r="DJ14" s="291"/>
      <c r="DK14" s="291"/>
      <c r="DL14" s="291"/>
      <c r="DM14" s="36"/>
      <c r="DN14" s="291"/>
      <c r="DO14" s="291"/>
      <c r="DP14" s="291"/>
      <c r="DQ14" s="291"/>
      <c r="DR14" s="291"/>
      <c r="DS14" s="291"/>
      <c r="DT14" s="291"/>
      <c r="DU14" s="291"/>
      <c r="DV14" s="291"/>
      <c r="DW14" s="291"/>
      <c r="DX14" s="291"/>
      <c r="DY14" s="36"/>
      <c r="DZ14" s="291"/>
      <c r="EA14" s="291"/>
      <c r="EB14" s="291"/>
      <c r="EC14" s="291"/>
      <c r="ED14" s="291"/>
      <c r="EE14" s="291"/>
      <c r="EF14" s="291"/>
      <c r="EG14" s="291"/>
      <c r="EH14" s="291"/>
      <c r="EI14" s="291"/>
      <c r="EJ14" s="291"/>
      <c r="EK14" s="36"/>
      <c r="EL14" s="291"/>
      <c r="EM14" s="291"/>
      <c r="EN14" s="291"/>
      <c r="EO14" s="291"/>
      <c r="EP14" s="291"/>
      <c r="EQ14" s="291"/>
      <c r="ER14" s="291"/>
      <c r="ES14" s="291"/>
      <c r="ET14" s="291"/>
      <c r="EU14" s="291"/>
      <c r="EV14" s="291"/>
      <c r="EW14" s="36"/>
      <c r="EX14" s="291"/>
      <c r="EY14" s="291"/>
      <c r="EZ14" s="291"/>
      <c r="FA14" s="291"/>
      <c r="FB14" s="291"/>
      <c r="FC14" s="291"/>
      <c r="FD14" s="291"/>
      <c r="FE14" s="291"/>
      <c r="FF14" s="291"/>
      <c r="FG14" s="291"/>
      <c r="FH14" s="291"/>
      <c r="FI14" s="36"/>
      <c r="FJ14" s="291"/>
      <c r="FK14" s="291"/>
      <c r="FL14" s="291"/>
      <c r="FM14" s="291"/>
      <c r="FN14" s="291"/>
      <c r="FO14" s="291"/>
      <c r="FP14" s="291"/>
      <c r="FQ14" s="291"/>
      <c r="FR14" s="291"/>
      <c r="FS14" s="291"/>
      <c r="FT14" s="291"/>
      <c r="FU14" s="36"/>
      <c r="FV14" s="291"/>
      <c r="FW14" s="291"/>
      <c r="FX14" s="291"/>
      <c r="FY14" s="291"/>
      <c r="FZ14" s="291"/>
      <c r="GA14" s="291"/>
      <c r="GB14" s="291"/>
      <c r="GC14" s="291"/>
      <c r="GD14" s="291"/>
      <c r="GE14" s="291"/>
      <c r="GF14" s="291"/>
      <c r="GG14" s="36"/>
      <c r="GH14" s="291"/>
      <c r="GI14" s="291"/>
      <c r="GJ14" s="291"/>
      <c r="GK14" s="291"/>
      <c r="GL14" s="291"/>
      <c r="GM14" s="291"/>
      <c r="GN14" s="291"/>
      <c r="GO14" s="291"/>
      <c r="GP14" s="291"/>
      <c r="GQ14" s="291"/>
      <c r="GR14" s="291"/>
      <c r="GS14" s="36"/>
      <c r="GT14" s="291"/>
      <c r="GU14" s="291"/>
      <c r="GV14" s="291"/>
      <c r="GW14" s="291"/>
      <c r="GX14" s="291"/>
      <c r="GY14" s="291"/>
      <c r="GZ14" s="291"/>
      <c r="HA14" s="291"/>
      <c r="HB14" s="291"/>
      <c r="HC14" s="291"/>
      <c r="HD14" s="291"/>
      <c r="HE14" s="36"/>
      <c r="HF14" s="291"/>
      <c r="HG14" s="291"/>
      <c r="HH14" s="291"/>
      <c r="HI14" s="291"/>
      <c r="HJ14" s="291"/>
      <c r="HK14" s="291"/>
      <c r="HL14" s="291"/>
      <c r="HM14" s="291"/>
      <c r="HN14" s="291"/>
      <c r="HO14" s="291"/>
      <c r="HP14" s="291"/>
      <c r="HQ14" s="36"/>
      <c r="HR14" s="291"/>
      <c r="HS14" s="291"/>
      <c r="HT14" s="291"/>
      <c r="HU14" s="291"/>
      <c r="HV14" s="291"/>
      <c r="HW14" s="291"/>
      <c r="HX14" s="291"/>
      <c r="HY14" s="291"/>
      <c r="HZ14" s="291"/>
      <c r="IA14" s="291"/>
      <c r="IB14" s="291"/>
      <c r="IC14" s="36"/>
      <c r="ID14" s="291"/>
      <c r="IE14" s="291"/>
      <c r="IF14" s="291"/>
      <c r="IG14" s="291"/>
      <c r="IH14" s="291"/>
      <c r="II14" s="291"/>
      <c r="IJ14" s="291"/>
      <c r="IK14" s="291"/>
      <c r="IL14" s="291"/>
      <c r="IM14" s="291"/>
      <c r="IN14" s="291"/>
      <c r="IO14" s="36"/>
      <c r="IP14" s="291"/>
      <c r="IQ14" s="291"/>
      <c r="IR14" s="291"/>
    </row>
    <row r="15" spans="1:252" s="5" customFormat="1" ht="14.25">
      <c r="A15" s="35" t="s">
        <v>9</v>
      </c>
      <c r="B15" s="291">
        <v>6.1</v>
      </c>
      <c r="C15" s="291">
        <v>7.7</v>
      </c>
      <c r="D15" s="291">
        <v>17.5</v>
      </c>
      <c r="E15" s="291">
        <v>19.5</v>
      </c>
      <c r="F15" s="291">
        <v>16.2</v>
      </c>
      <c r="G15" s="291">
        <v>15</v>
      </c>
      <c r="H15" s="291">
        <v>11.9</v>
      </c>
      <c r="I15" s="291">
        <v>10.8</v>
      </c>
      <c r="J15" s="291">
        <v>10.4</v>
      </c>
      <c r="K15" s="291">
        <v>9.4</v>
      </c>
      <c r="L15" s="291"/>
      <c r="M15" s="291"/>
      <c r="N15" s="291"/>
      <c r="O15" s="291"/>
      <c r="P15" s="291"/>
      <c r="Q15" s="291"/>
      <c r="R15" s="291"/>
      <c r="S15" s="291"/>
      <c r="T15" s="291"/>
      <c r="U15" s="35"/>
      <c r="V15" s="291"/>
      <c r="W15" s="291"/>
      <c r="X15" s="291"/>
      <c r="Y15" s="291"/>
      <c r="Z15" s="291"/>
      <c r="AA15" s="291"/>
      <c r="AB15" s="291"/>
      <c r="AC15" s="291"/>
      <c r="AD15" s="291"/>
      <c r="AE15" s="291"/>
      <c r="AF15" s="291"/>
      <c r="AG15" s="35"/>
      <c r="AH15" s="291"/>
      <c r="AI15" s="291"/>
      <c r="AJ15" s="291"/>
      <c r="AK15" s="291"/>
      <c r="AL15" s="291"/>
      <c r="AM15" s="291"/>
      <c r="AN15" s="291"/>
      <c r="AO15" s="291"/>
      <c r="AP15" s="291"/>
      <c r="AQ15" s="291"/>
      <c r="AR15" s="291"/>
      <c r="AS15" s="35"/>
      <c r="AT15" s="291"/>
      <c r="AU15" s="291"/>
      <c r="AV15" s="291"/>
      <c r="AW15" s="291"/>
      <c r="AX15" s="291"/>
      <c r="AY15" s="291"/>
      <c r="AZ15" s="291"/>
      <c r="BA15" s="291"/>
      <c r="BB15" s="291"/>
      <c r="BC15" s="291"/>
      <c r="BD15" s="291"/>
      <c r="BE15" s="35"/>
      <c r="BF15" s="291"/>
      <c r="BG15" s="291"/>
      <c r="BH15" s="291"/>
      <c r="BI15" s="291"/>
      <c r="BJ15" s="291"/>
      <c r="BK15" s="291"/>
      <c r="BL15" s="291"/>
      <c r="BM15" s="291"/>
      <c r="BN15" s="291"/>
      <c r="BO15" s="291"/>
      <c r="BP15" s="291"/>
      <c r="BQ15" s="35"/>
      <c r="BR15" s="291"/>
      <c r="BS15" s="291"/>
      <c r="BT15" s="291"/>
      <c r="BU15" s="291"/>
      <c r="BV15" s="291"/>
      <c r="BW15" s="291"/>
      <c r="BX15" s="291"/>
      <c r="BY15" s="291"/>
      <c r="BZ15" s="291"/>
      <c r="CA15" s="291"/>
      <c r="CB15" s="291"/>
      <c r="CC15" s="35"/>
      <c r="CD15" s="291"/>
      <c r="CE15" s="291"/>
      <c r="CF15" s="291"/>
      <c r="CG15" s="291"/>
      <c r="CH15" s="291"/>
      <c r="CI15" s="291"/>
      <c r="CJ15" s="291"/>
      <c r="CK15" s="291"/>
      <c r="CL15" s="291"/>
      <c r="CM15" s="291"/>
      <c r="CN15" s="291"/>
      <c r="CO15" s="35"/>
      <c r="CP15" s="291"/>
      <c r="CQ15" s="291"/>
      <c r="CR15" s="291"/>
      <c r="CS15" s="291"/>
      <c r="CT15" s="291"/>
      <c r="CU15" s="291"/>
      <c r="CV15" s="291"/>
      <c r="CW15" s="291"/>
      <c r="CX15" s="291"/>
      <c r="CY15" s="291"/>
      <c r="CZ15" s="291"/>
      <c r="DA15" s="35"/>
      <c r="DB15" s="291"/>
      <c r="DC15" s="291"/>
      <c r="DD15" s="291"/>
      <c r="DE15" s="291"/>
      <c r="DF15" s="291"/>
      <c r="DG15" s="291"/>
      <c r="DH15" s="291"/>
      <c r="DI15" s="291"/>
      <c r="DJ15" s="291"/>
      <c r="DK15" s="291"/>
      <c r="DL15" s="291"/>
      <c r="DM15" s="35"/>
      <c r="DN15" s="291"/>
      <c r="DO15" s="291"/>
      <c r="DP15" s="291"/>
      <c r="DQ15" s="291"/>
      <c r="DR15" s="291"/>
      <c r="DS15" s="291"/>
      <c r="DT15" s="291"/>
      <c r="DU15" s="291"/>
      <c r="DV15" s="291"/>
      <c r="DW15" s="291"/>
      <c r="DX15" s="291"/>
      <c r="DY15" s="35"/>
      <c r="DZ15" s="291"/>
      <c r="EA15" s="291"/>
      <c r="EB15" s="291"/>
      <c r="EC15" s="291"/>
      <c r="ED15" s="291"/>
      <c r="EE15" s="291"/>
      <c r="EF15" s="291"/>
      <c r="EG15" s="291"/>
      <c r="EH15" s="291"/>
      <c r="EI15" s="291"/>
      <c r="EJ15" s="291"/>
      <c r="EK15" s="35"/>
      <c r="EL15" s="291"/>
      <c r="EM15" s="291"/>
      <c r="EN15" s="291"/>
      <c r="EO15" s="291"/>
      <c r="EP15" s="291"/>
      <c r="EQ15" s="291"/>
      <c r="ER15" s="291"/>
      <c r="ES15" s="291"/>
      <c r="ET15" s="291"/>
      <c r="EU15" s="291"/>
      <c r="EV15" s="291"/>
      <c r="EW15" s="35"/>
      <c r="EX15" s="291"/>
      <c r="EY15" s="291"/>
      <c r="EZ15" s="291"/>
      <c r="FA15" s="291"/>
      <c r="FB15" s="291"/>
      <c r="FC15" s="291"/>
      <c r="FD15" s="291"/>
      <c r="FE15" s="291"/>
      <c r="FF15" s="291"/>
      <c r="FG15" s="291"/>
      <c r="FH15" s="291"/>
      <c r="FI15" s="35"/>
      <c r="FJ15" s="291"/>
      <c r="FK15" s="291"/>
      <c r="FL15" s="291"/>
      <c r="FM15" s="291"/>
      <c r="FN15" s="291"/>
      <c r="FO15" s="291"/>
      <c r="FP15" s="291"/>
      <c r="FQ15" s="291"/>
      <c r="FR15" s="291"/>
      <c r="FS15" s="291"/>
      <c r="FT15" s="291"/>
      <c r="FU15" s="35"/>
      <c r="FV15" s="291"/>
      <c r="FW15" s="291"/>
      <c r="FX15" s="291"/>
      <c r="FY15" s="291"/>
      <c r="FZ15" s="291"/>
      <c r="GA15" s="291"/>
      <c r="GB15" s="291"/>
      <c r="GC15" s="291"/>
      <c r="GD15" s="291"/>
      <c r="GE15" s="291"/>
      <c r="GF15" s="291"/>
      <c r="GG15" s="35"/>
      <c r="GH15" s="291"/>
      <c r="GI15" s="291"/>
      <c r="GJ15" s="291"/>
      <c r="GK15" s="291"/>
      <c r="GL15" s="291"/>
      <c r="GM15" s="291"/>
      <c r="GN15" s="291"/>
      <c r="GO15" s="291"/>
      <c r="GP15" s="291"/>
      <c r="GQ15" s="291"/>
      <c r="GR15" s="291"/>
      <c r="GS15" s="35"/>
      <c r="GT15" s="291"/>
      <c r="GU15" s="291"/>
      <c r="GV15" s="291"/>
      <c r="GW15" s="291"/>
      <c r="GX15" s="291"/>
      <c r="GY15" s="291"/>
      <c r="GZ15" s="291"/>
      <c r="HA15" s="291"/>
      <c r="HB15" s="291"/>
      <c r="HC15" s="291"/>
      <c r="HD15" s="291"/>
      <c r="HE15" s="35"/>
      <c r="HF15" s="291"/>
      <c r="HG15" s="291"/>
      <c r="HH15" s="291"/>
      <c r="HI15" s="291"/>
      <c r="HJ15" s="291"/>
      <c r="HK15" s="291"/>
      <c r="HL15" s="291"/>
      <c r="HM15" s="291"/>
      <c r="HN15" s="291"/>
      <c r="HO15" s="291"/>
      <c r="HP15" s="291"/>
      <c r="HQ15" s="35"/>
      <c r="HR15" s="291"/>
      <c r="HS15" s="291"/>
      <c r="HT15" s="291"/>
      <c r="HU15" s="291"/>
      <c r="HV15" s="291"/>
      <c r="HW15" s="291"/>
      <c r="HX15" s="291"/>
      <c r="HY15" s="291"/>
      <c r="HZ15" s="291"/>
      <c r="IA15" s="291"/>
      <c r="IB15" s="291"/>
      <c r="IC15" s="35"/>
      <c r="ID15" s="291"/>
      <c r="IE15" s="291"/>
      <c r="IF15" s="291"/>
      <c r="IG15" s="291"/>
      <c r="IH15" s="291"/>
      <c r="II15" s="291"/>
      <c r="IJ15" s="291"/>
      <c r="IK15" s="291"/>
      <c r="IL15" s="291"/>
      <c r="IM15" s="291"/>
      <c r="IN15" s="291"/>
      <c r="IO15" s="35"/>
      <c r="IP15" s="291"/>
      <c r="IQ15" s="291"/>
      <c r="IR15" s="291"/>
    </row>
    <row r="16" spans="1:252" s="5" customFormat="1" ht="14.25">
      <c r="A16" s="35" t="s">
        <v>8</v>
      </c>
      <c r="B16" s="291">
        <v>4.3</v>
      </c>
      <c r="C16" s="291">
        <v>5.8</v>
      </c>
      <c r="D16" s="291">
        <v>13.8</v>
      </c>
      <c r="E16" s="291">
        <v>17.8</v>
      </c>
      <c r="F16" s="291">
        <v>15.4</v>
      </c>
      <c r="G16" s="397">
        <v>13.4</v>
      </c>
      <c r="H16" s="291">
        <v>11.8</v>
      </c>
      <c r="I16" s="291">
        <v>10.7</v>
      </c>
      <c r="J16" s="291">
        <v>9.9</v>
      </c>
      <c r="K16" s="291">
        <v>9.1</v>
      </c>
      <c r="L16" s="291"/>
      <c r="M16" s="291"/>
      <c r="N16" s="291"/>
      <c r="O16" s="291"/>
      <c r="P16" s="292"/>
      <c r="Q16" s="292"/>
      <c r="R16" s="292"/>
      <c r="S16" s="292"/>
      <c r="T16" s="292"/>
      <c r="U16" s="35"/>
      <c r="V16" s="291"/>
      <c r="W16" s="291"/>
      <c r="X16" s="291"/>
      <c r="Y16" s="291"/>
      <c r="Z16" s="291"/>
      <c r="AA16" s="291"/>
      <c r="AB16" s="292"/>
      <c r="AC16" s="292"/>
      <c r="AD16" s="292"/>
      <c r="AE16" s="292"/>
      <c r="AF16" s="292"/>
      <c r="AG16" s="35"/>
      <c r="AH16" s="291"/>
      <c r="AI16" s="291"/>
      <c r="AJ16" s="291"/>
      <c r="AK16" s="291"/>
      <c r="AL16" s="291"/>
      <c r="AM16" s="291"/>
      <c r="AN16" s="292"/>
      <c r="AO16" s="292"/>
      <c r="AP16" s="292"/>
      <c r="AQ16" s="292"/>
      <c r="AR16" s="292"/>
      <c r="AS16" s="35"/>
      <c r="AT16" s="291"/>
      <c r="AU16" s="291"/>
      <c r="AV16" s="291"/>
      <c r="AW16" s="291"/>
      <c r="AX16" s="291"/>
      <c r="AY16" s="291"/>
      <c r="AZ16" s="292"/>
      <c r="BA16" s="292"/>
      <c r="BB16" s="292"/>
      <c r="BC16" s="292"/>
      <c r="BD16" s="292"/>
      <c r="BE16" s="35"/>
      <c r="BF16" s="291"/>
      <c r="BG16" s="291"/>
      <c r="BH16" s="291"/>
      <c r="BI16" s="291"/>
      <c r="BJ16" s="291"/>
      <c r="BK16" s="291"/>
      <c r="BL16" s="292"/>
      <c r="BM16" s="292"/>
      <c r="BN16" s="292"/>
      <c r="BO16" s="292"/>
      <c r="BP16" s="292"/>
      <c r="BQ16" s="35"/>
      <c r="BR16" s="291"/>
      <c r="BS16" s="291"/>
      <c r="BT16" s="291"/>
      <c r="BU16" s="291"/>
      <c r="BV16" s="291"/>
      <c r="BW16" s="291"/>
      <c r="BX16" s="292"/>
      <c r="BY16" s="292"/>
      <c r="BZ16" s="292"/>
      <c r="CA16" s="292"/>
      <c r="CB16" s="292"/>
      <c r="CC16" s="35"/>
      <c r="CD16" s="291"/>
      <c r="CE16" s="291"/>
      <c r="CF16" s="291"/>
      <c r="CG16" s="291"/>
      <c r="CH16" s="291"/>
      <c r="CI16" s="291"/>
      <c r="CJ16" s="292"/>
      <c r="CK16" s="292"/>
      <c r="CL16" s="292"/>
      <c r="CM16" s="292"/>
      <c r="CN16" s="292"/>
      <c r="CO16" s="35"/>
      <c r="CP16" s="291"/>
      <c r="CQ16" s="291"/>
      <c r="CR16" s="291"/>
      <c r="CS16" s="291"/>
      <c r="CT16" s="291"/>
      <c r="CU16" s="291"/>
      <c r="CV16" s="292"/>
      <c r="CW16" s="292"/>
      <c r="CX16" s="292"/>
      <c r="CY16" s="292"/>
      <c r="CZ16" s="292"/>
      <c r="DA16" s="35"/>
      <c r="DB16" s="291"/>
      <c r="DC16" s="291"/>
      <c r="DD16" s="291"/>
      <c r="DE16" s="291"/>
      <c r="DF16" s="291"/>
      <c r="DG16" s="291"/>
      <c r="DH16" s="292"/>
      <c r="DI16" s="292"/>
      <c r="DJ16" s="292"/>
      <c r="DK16" s="292"/>
      <c r="DL16" s="292"/>
      <c r="DM16" s="35"/>
      <c r="DN16" s="291"/>
      <c r="DO16" s="291"/>
      <c r="DP16" s="291"/>
      <c r="DQ16" s="291"/>
      <c r="DR16" s="291"/>
      <c r="DS16" s="291"/>
      <c r="DT16" s="292"/>
      <c r="DU16" s="292"/>
      <c r="DV16" s="292"/>
      <c r="DW16" s="292"/>
      <c r="DX16" s="292"/>
      <c r="DY16" s="35"/>
      <c r="DZ16" s="291"/>
      <c r="EA16" s="291"/>
      <c r="EB16" s="291"/>
      <c r="EC16" s="291"/>
      <c r="ED16" s="291"/>
      <c r="EE16" s="291"/>
      <c r="EF16" s="292"/>
      <c r="EG16" s="292"/>
      <c r="EH16" s="292"/>
      <c r="EI16" s="292"/>
      <c r="EJ16" s="292"/>
      <c r="EK16" s="35"/>
      <c r="EL16" s="291"/>
      <c r="EM16" s="291"/>
      <c r="EN16" s="291"/>
      <c r="EO16" s="291"/>
      <c r="EP16" s="291"/>
      <c r="EQ16" s="291"/>
      <c r="ER16" s="292"/>
      <c r="ES16" s="292"/>
      <c r="ET16" s="292"/>
      <c r="EU16" s="292"/>
      <c r="EV16" s="292"/>
      <c r="EW16" s="35"/>
      <c r="EX16" s="291"/>
      <c r="EY16" s="291"/>
      <c r="EZ16" s="291"/>
      <c r="FA16" s="291"/>
      <c r="FB16" s="291"/>
      <c r="FC16" s="291"/>
      <c r="FD16" s="292"/>
      <c r="FE16" s="292"/>
      <c r="FF16" s="292"/>
      <c r="FG16" s="292"/>
      <c r="FH16" s="292"/>
      <c r="FI16" s="35"/>
      <c r="FJ16" s="291"/>
      <c r="FK16" s="291"/>
      <c r="FL16" s="291"/>
      <c r="FM16" s="291"/>
      <c r="FN16" s="291"/>
      <c r="FO16" s="291"/>
      <c r="FP16" s="292"/>
      <c r="FQ16" s="292"/>
      <c r="FR16" s="292"/>
      <c r="FS16" s="292"/>
      <c r="FT16" s="292"/>
      <c r="FU16" s="35"/>
      <c r="FV16" s="291"/>
      <c r="FW16" s="291"/>
      <c r="FX16" s="291"/>
      <c r="FY16" s="291"/>
      <c r="FZ16" s="291"/>
      <c r="GA16" s="291"/>
      <c r="GB16" s="292"/>
      <c r="GC16" s="292"/>
      <c r="GD16" s="292"/>
      <c r="GE16" s="292"/>
      <c r="GF16" s="292"/>
      <c r="GG16" s="35"/>
      <c r="GH16" s="291"/>
      <c r="GI16" s="291"/>
      <c r="GJ16" s="291"/>
      <c r="GK16" s="291"/>
      <c r="GL16" s="291"/>
      <c r="GM16" s="291"/>
      <c r="GN16" s="292"/>
      <c r="GO16" s="292"/>
      <c r="GP16" s="292"/>
      <c r="GQ16" s="292"/>
      <c r="GR16" s="292"/>
      <c r="GS16" s="35"/>
      <c r="GT16" s="291"/>
      <c r="GU16" s="291"/>
      <c r="GV16" s="291"/>
      <c r="GW16" s="291"/>
      <c r="GX16" s="291"/>
      <c r="GY16" s="291"/>
      <c r="GZ16" s="292"/>
      <c r="HA16" s="292"/>
      <c r="HB16" s="292"/>
      <c r="HC16" s="292"/>
      <c r="HD16" s="292"/>
      <c r="HE16" s="35"/>
      <c r="HF16" s="291"/>
      <c r="HG16" s="291"/>
      <c r="HH16" s="291"/>
      <c r="HI16" s="291"/>
      <c r="HJ16" s="291"/>
      <c r="HK16" s="291"/>
      <c r="HL16" s="292"/>
      <c r="HM16" s="292"/>
      <c r="HN16" s="292"/>
      <c r="HO16" s="292"/>
      <c r="HP16" s="292"/>
      <c r="HQ16" s="35"/>
      <c r="HR16" s="291"/>
      <c r="HS16" s="291"/>
      <c r="HT16" s="291"/>
      <c r="HU16" s="291"/>
      <c r="HV16" s="291"/>
      <c r="HW16" s="291"/>
      <c r="HX16" s="292"/>
      <c r="HY16" s="292"/>
      <c r="HZ16" s="292"/>
      <c r="IA16" s="292"/>
      <c r="IB16" s="292"/>
      <c r="IC16" s="35"/>
      <c r="ID16" s="291"/>
      <c r="IE16" s="291"/>
      <c r="IF16" s="291"/>
      <c r="IG16" s="291"/>
      <c r="IH16" s="291"/>
      <c r="II16" s="291"/>
      <c r="IJ16" s="292"/>
      <c r="IK16" s="292"/>
      <c r="IL16" s="292"/>
      <c r="IM16" s="292"/>
      <c r="IN16" s="292"/>
      <c r="IO16" s="35"/>
      <c r="IP16" s="291"/>
      <c r="IQ16" s="291"/>
      <c r="IR16" s="291"/>
    </row>
    <row r="17" spans="1:252" s="8" customFormat="1" ht="14.25">
      <c r="A17" s="35" t="s">
        <v>21</v>
      </c>
      <c r="B17" s="291">
        <v>4.2</v>
      </c>
      <c r="C17" s="291">
        <v>4.9000000000000004</v>
      </c>
      <c r="D17" s="291">
        <v>5.0999999999999996</v>
      </c>
      <c r="E17" s="291">
        <v>4.5999999999999996</v>
      </c>
      <c r="F17" s="291">
        <v>4.8</v>
      </c>
      <c r="G17" s="397">
        <v>5.0999999999999996</v>
      </c>
      <c r="H17" s="291">
        <v>5.9</v>
      </c>
      <c r="I17" s="291">
        <v>5.9</v>
      </c>
      <c r="J17" s="291">
        <v>5.7</v>
      </c>
      <c r="K17" s="291">
        <v>5.4</v>
      </c>
      <c r="L17" s="295"/>
      <c r="M17" s="295"/>
      <c r="N17" s="295"/>
      <c r="O17" s="295"/>
      <c r="P17" s="296"/>
      <c r="Q17" s="296"/>
      <c r="R17" s="296"/>
      <c r="S17" s="296"/>
      <c r="T17" s="296"/>
      <c r="U17" s="34"/>
      <c r="V17" s="295"/>
      <c r="W17" s="295"/>
      <c r="X17" s="295"/>
      <c r="Y17" s="295"/>
      <c r="Z17" s="295"/>
      <c r="AA17" s="295"/>
      <c r="AB17" s="296"/>
      <c r="AC17" s="296"/>
      <c r="AD17" s="296"/>
      <c r="AE17" s="296"/>
      <c r="AF17" s="296"/>
      <c r="AG17" s="34"/>
      <c r="AH17" s="295"/>
      <c r="AI17" s="295"/>
      <c r="AJ17" s="295"/>
      <c r="AK17" s="295"/>
      <c r="AL17" s="295"/>
      <c r="AM17" s="295"/>
      <c r="AN17" s="296"/>
      <c r="AO17" s="296"/>
      <c r="AP17" s="296"/>
      <c r="AQ17" s="296"/>
      <c r="AR17" s="296"/>
      <c r="AS17" s="34"/>
      <c r="AT17" s="295"/>
      <c r="AU17" s="295"/>
      <c r="AV17" s="295"/>
      <c r="AW17" s="295"/>
      <c r="AX17" s="295"/>
      <c r="AY17" s="295"/>
      <c r="AZ17" s="296"/>
      <c r="BA17" s="296"/>
      <c r="BB17" s="296"/>
      <c r="BC17" s="296"/>
      <c r="BD17" s="296"/>
      <c r="BE17" s="34"/>
      <c r="BF17" s="295"/>
      <c r="BG17" s="295"/>
      <c r="BH17" s="295"/>
      <c r="BI17" s="295"/>
      <c r="BJ17" s="295"/>
      <c r="BK17" s="295"/>
      <c r="BL17" s="296"/>
      <c r="BM17" s="296"/>
      <c r="BN17" s="296"/>
      <c r="BO17" s="296"/>
      <c r="BP17" s="296"/>
      <c r="BQ17" s="34"/>
      <c r="BR17" s="295"/>
      <c r="BS17" s="295"/>
      <c r="BT17" s="295"/>
      <c r="BU17" s="295"/>
      <c r="BV17" s="295"/>
      <c r="BW17" s="295"/>
      <c r="BX17" s="296"/>
      <c r="BY17" s="296"/>
      <c r="BZ17" s="296"/>
      <c r="CA17" s="296"/>
      <c r="CB17" s="296"/>
      <c r="CC17" s="34"/>
      <c r="CD17" s="295"/>
      <c r="CE17" s="295"/>
      <c r="CF17" s="295"/>
      <c r="CG17" s="295"/>
      <c r="CH17" s="295"/>
      <c r="CI17" s="295"/>
      <c r="CJ17" s="296"/>
      <c r="CK17" s="296"/>
      <c r="CL17" s="296"/>
      <c r="CM17" s="296"/>
      <c r="CN17" s="296"/>
      <c r="CO17" s="34"/>
      <c r="CP17" s="295"/>
      <c r="CQ17" s="295"/>
      <c r="CR17" s="295"/>
      <c r="CS17" s="295"/>
      <c r="CT17" s="295"/>
      <c r="CU17" s="295"/>
      <c r="CV17" s="296"/>
      <c r="CW17" s="296"/>
      <c r="CX17" s="296"/>
      <c r="CY17" s="296"/>
      <c r="CZ17" s="296"/>
      <c r="DA17" s="34"/>
      <c r="DB17" s="295"/>
      <c r="DC17" s="295"/>
      <c r="DD17" s="295"/>
      <c r="DE17" s="295"/>
      <c r="DF17" s="295"/>
      <c r="DG17" s="295"/>
      <c r="DH17" s="296"/>
      <c r="DI17" s="296"/>
      <c r="DJ17" s="296"/>
      <c r="DK17" s="296"/>
      <c r="DL17" s="296"/>
      <c r="DM17" s="34"/>
      <c r="DN17" s="295"/>
      <c r="DO17" s="295"/>
      <c r="DP17" s="295"/>
      <c r="DQ17" s="295"/>
      <c r="DR17" s="295"/>
      <c r="DS17" s="295"/>
      <c r="DT17" s="296"/>
      <c r="DU17" s="296"/>
      <c r="DV17" s="296"/>
      <c r="DW17" s="296"/>
      <c r="DX17" s="296"/>
      <c r="DY17" s="34"/>
      <c r="DZ17" s="295"/>
      <c r="EA17" s="295"/>
      <c r="EB17" s="295"/>
      <c r="EC17" s="295"/>
      <c r="ED17" s="295"/>
      <c r="EE17" s="295"/>
      <c r="EF17" s="296"/>
      <c r="EG17" s="296"/>
      <c r="EH17" s="296"/>
      <c r="EI17" s="296"/>
      <c r="EJ17" s="296"/>
      <c r="EK17" s="34"/>
      <c r="EL17" s="295"/>
      <c r="EM17" s="295"/>
      <c r="EN17" s="295"/>
      <c r="EO17" s="295"/>
      <c r="EP17" s="295"/>
      <c r="EQ17" s="295"/>
      <c r="ER17" s="296"/>
      <c r="ES17" s="296"/>
      <c r="ET17" s="296"/>
      <c r="EU17" s="296"/>
      <c r="EV17" s="296"/>
      <c r="EW17" s="34"/>
      <c r="EX17" s="295"/>
      <c r="EY17" s="295"/>
      <c r="EZ17" s="295"/>
      <c r="FA17" s="295"/>
      <c r="FB17" s="295"/>
      <c r="FC17" s="295"/>
      <c r="FD17" s="296"/>
      <c r="FE17" s="296"/>
      <c r="FF17" s="296"/>
      <c r="FG17" s="296"/>
      <c r="FH17" s="296"/>
      <c r="FI17" s="34"/>
      <c r="FJ17" s="295"/>
      <c r="FK17" s="295"/>
      <c r="FL17" s="295"/>
      <c r="FM17" s="295"/>
      <c r="FN17" s="295"/>
      <c r="FO17" s="295"/>
      <c r="FP17" s="296"/>
      <c r="FQ17" s="296"/>
      <c r="FR17" s="296"/>
      <c r="FS17" s="296"/>
      <c r="FT17" s="296"/>
      <c r="FU17" s="34"/>
      <c r="FV17" s="295"/>
      <c r="FW17" s="295"/>
      <c r="FX17" s="295"/>
      <c r="FY17" s="295"/>
      <c r="FZ17" s="295"/>
      <c r="GA17" s="295"/>
      <c r="GB17" s="296"/>
      <c r="GC17" s="296"/>
      <c r="GD17" s="296"/>
      <c r="GE17" s="296"/>
      <c r="GF17" s="296"/>
      <c r="GG17" s="34"/>
      <c r="GH17" s="295"/>
      <c r="GI17" s="295"/>
      <c r="GJ17" s="295"/>
      <c r="GK17" s="295"/>
      <c r="GL17" s="295"/>
      <c r="GM17" s="295"/>
      <c r="GN17" s="296"/>
      <c r="GO17" s="296"/>
      <c r="GP17" s="296"/>
      <c r="GQ17" s="296"/>
      <c r="GR17" s="296"/>
      <c r="GS17" s="34"/>
      <c r="GT17" s="295"/>
      <c r="GU17" s="295"/>
      <c r="GV17" s="295"/>
      <c r="GW17" s="295"/>
      <c r="GX17" s="295"/>
      <c r="GY17" s="295"/>
      <c r="GZ17" s="296"/>
      <c r="HA17" s="296"/>
      <c r="HB17" s="296"/>
      <c r="HC17" s="296"/>
      <c r="HD17" s="296"/>
      <c r="HE17" s="34"/>
      <c r="HF17" s="295"/>
      <c r="HG17" s="295"/>
      <c r="HH17" s="295"/>
      <c r="HI17" s="295"/>
      <c r="HJ17" s="295"/>
      <c r="HK17" s="295"/>
      <c r="HL17" s="296"/>
      <c r="HM17" s="296"/>
      <c r="HN17" s="296"/>
      <c r="HO17" s="296"/>
      <c r="HP17" s="296"/>
      <c r="HQ17" s="34"/>
      <c r="HR17" s="295"/>
      <c r="HS17" s="295"/>
      <c r="HT17" s="295"/>
      <c r="HU17" s="295"/>
      <c r="HV17" s="295"/>
      <c r="HW17" s="295"/>
      <c r="HX17" s="296"/>
      <c r="HY17" s="296"/>
      <c r="HZ17" s="296"/>
      <c r="IA17" s="296"/>
      <c r="IB17" s="296"/>
      <c r="IC17" s="34"/>
      <c r="ID17" s="295"/>
      <c r="IE17" s="295"/>
      <c r="IF17" s="295"/>
      <c r="IG17" s="295"/>
      <c r="IH17" s="295"/>
      <c r="II17" s="295"/>
      <c r="IJ17" s="296"/>
      <c r="IK17" s="296"/>
      <c r="IL17" s="296"/>
      <c r="IM17" s="296"/>
      <c r="IN17" s="296"/>
      <c r="IO17" s="34"/>
      <c r="IP17" s="295"/>
      <c r="IQ17" s="295"/>
      <c r="IR17" s="295"/>
    </row>
    <row r="18" spans="1:252" s="8" customFormat="1" ht="14.25">
      <c r="A18" s="35" t="s">
        <v>20</v>
      </c>
      <c r="B18" s="291">
        <v>6.5</v>
      </c>
      <c r="C18" s="291">
        <v>6</v>
      </c>
      <c r="D18" s="291">
        <v>6.9</v>
      </c>
      <c r="E18" s="291">
        <v>6.9</v>
      </c>
      <c r="F18" s="291">
        <v>6.4</v>
      </c>
      <c r="G18" s="397">
        <v>6.3</v>
      </c>
      <c r="H18" s="291">
        <v>6.4</v>
      </c>
      <c r="I18" s="291">
        <v>5.9</v>
      </c>
      <c r="J18" s="291">
        <v>5.9</v>
      </c>
      <c r="K18" s="291">
        <v>5.9</v>
      </c>
      <c r="L18" s="295"/>
      <c r="M18" s="296"/>
      <c r="N18" s="295"/>
      <c r="O18" s="295"/>
      <c r="P18" s="296"/>
      <c r="Q18" s="296"/>
      <c r="R18" s="296"/>
      <c r="S18" s="296"/>
      <c r="T18" s="296"/>
      <c r="U18" s="34"/>
      <c r="V18" s="295"/>
      <c r="W18" s="295"/>
      <c r="X18" s="295"/>
      <c r="Y18" s="296"/>
      <c r="Z18" s="295"/>
      <c r="AA18" s="295"/>
      <c r="AB18" s="296"/>
      <c r="AC18" s="296"/>
      <c r="AD18" s="296"/>
      <c r="AE18" s="296"/>
      <c r="AF18" s="296"/>
      <c r="AG18" s="34"/>
      <c r="AH18" s="295"/>
      <c r="AI18" s="295"/>
      <c r="AJ18" s="295"/>
      <c r="AK18" s="296"/>
      <c r="AL18" s="295"/>
      <c r="AM18" s="295"/>
      <c r="AN18" s="296"/>
      <c r="AO18" s="296"/>
      <c r="AP18" s="296"/>
      <c r="AQ18" s="296"/>
      <c r="AR18" s="296"/>
      <c r="AS18" s="34"/>
      <c r="AT18" s="295"/>
      <c r="AU18" s="295"/>
      <c r="AV18" s="295"/>
      <c r="AW18" s="296"/>
      <c r="AX18" s="295"/>
      <c r="AY18" s="295"/>
      <c r="AZ18" s="296"/>
      <c r="BA18" s="296"/>
      <c r="BB18" s="296"/>
      <c r="BC18" s="296"/>
      <c r="BD18" s="296"/>
      <c r="BE18" s="34"/>
      <c r="BF18" s="295"/>
      <c r="BG18" s="295"/>
      <c r="BH18" s="295"/>
      <c r="BI18" s="296"/>
      <c r="BJ18" s="295"/>
      <c r="BK18" s="295"/>
      <c r="BL18" s="296"/>
      <c r="BM18" s="296"/>
      <c r="BN18" s="296"/>
      <c r="BO18" s="296"/>
      <c r="BP18" s="296"/>
      <c r="BQ18" s="34"/>
      <c r="BR18" s="295"/>
      <c r="BS18" s="295"/>
      <c r="BT18" s="295"/>
      <c r="BU18" s="296"/>
      <c r="BV18" s="295"/>
      <c r="BW18" s="295"/>
      <c r="BX18" s="296"/>
      <c r="BY18" s="296"/>
      <c r="BZ18" s="296"/>
      <c r="CA18" s="296"/>
      <c r="CB18" s="296"/>
      <c r="CC18" s="34"/>
      <c r="CD18" s="295"/>
      <c r="CE18" s="295"/>
      <c r="CF18" s="295"/>
      <c r="CG18" s="296"/>
      <c r="CH18" s="295"/>
      <c r="CI18" s="295"/>
      <c r="CJ18" s="296"/>
      <c r="CK18" s="296"/>
      <c r="CL18" s="296"/>
      <c r="CM18" s="296"/>
      <c r="CN18" s="296"/>
      <c r="CO18" s="34"/>
      <c r="CP18" s="295"/>
      <c r="CQ18" s="295"/>
      <c r="CR18" s="295"/>
      <c r="CS18" s="296"/>
      <c r="CT18" s="295"/>
      <c r="CU18" s="295"/>
      <c r="CV18" s="296"/>
      <c r="CW18" s="296"/>
      <c r="CX18" s="296"/>
      <c r="CY18" s="296"/>
      <c r="CZ18" s="296"/>
      <c r="DA18" s="34"/>
      <c r="DB18" s="295"/>
      <c r="DC18" s="295"/>
      <c r="DD18" s="295"/>
      <c r="DE18" s="296"/>
      <c r="DF18" s="295"/>
      <c r="DG18" s="295"/>
      <c r="DH18" s="296"/>
      <c r="DI18" s="296"/>
      <c r="DJ18" s="296"/>
      <c r="DK18" s="296"/>
      <c r="DL18" s="296"/>
      <c r="DM18" s="34"/>
      <c r="DN18" s="295"/>
      <c r="DO18" s="295"/>
      <c r="DP18" s="295"/>
      <c r="DQ18" s="296"/>
      <c r="DR18" s="295"/>
      <c r="DS18" s="295"/>
      <c r="DT18" s="296"/>
      <c r="DU18" s="296"/>
      <c r="DV18" s="296"/>
      <c r="DW18" s="296"/>
      <c r="DX18" s="296"/>
      <c r="DY18" s="34"/>
      <c r="DZ18" s="295"/>
      <c r="EA18" s="295"/>
      <c r="EB18" s="295"/>
      <c r="EC18" s="296"/>
      <c r="ED18" s="295"/>
      <c r="EE18" s="295"/>
      <c r="EF18" s="296"/>
      <c r="EG18" s="296"/>
      <c r="EH18" s="296"/>
      <c r="EI18" s="296"/>
      <c r="EJ18" s="296"/>
      <c r="EK18" s="34"/>
      <c r="EL18" s="295"/>
      <c r="EM18" s="295"/>
      <c r="EN18" s="295"/>
      <c r="EO18" s="296"/>
      <c r="EP18" s="295"/>
      <c r="EQ18" s="295"/>
      <c r="ER18" s="296"/>
      <c r="ES18" s="296"/>
      <c r="ET18" s="296"/>
      <c r="EU18" s="296"/>
      <c r="EV18" s="296"/>
      <c r="EW18" s="34"/>
      <c r="EX18" s="295"/>
      <c r="EY18" s="295"/>
      <c r="EZ18" s="295"/>
      <c r="FA18" s="296"/>
      <c r="FB18" s="295"/>
      <c r="FC18" s="295"/>
      <c r="FD18" s="296"/>
      <c r="FE18" s="296"/>
      <c r="FF18" s="296"/>
      <c r="FG18" s="296"/>
      <c r="FH18" s="296"/>
      <c r="FI18" s="34"/>
      <c r="FJ18" s="295"/>
      <c r="FK18" s="295"/>
      <c r="FL18" s="295"/>
      <c r="FM18" s="296"/>
      <c r="FN18" s="295"/>
      <c r="FO18" s="295"/>
      <c r="FP18" s="296"/>
      <c r="FQ18" s="296"/>
      <c r="FR18" s="296"/>
      <c r="FS18" s="296"/>
      <c r="FT18" s="296"/>
      <c r="FU18" s="34"/>
      <c r="FV18" s="295"/>
      <c r="FW18" s="295"/>
      <c r="FX18" s="295"/>
      <c r="FY18" s="296"/>
      <c r="FZ18" s="295"/>
      <c r="GA18" s="295"/>
      <c r="GB18" s="296"/>
      <c r="GC18" s="296"/>
      <c r="GD18" s="296"/>
      <c r="GE18" s="296"/>
      <c r="GF18" s="296"/>
      <c r="GG18" s="34"/>
      <c r="GH18" s="295"/>
      <c r="GI18" s="295"/>
      <c r="GJ18" s="295"/>
      <c r="GK18" s="296"/>
      <c r="GL18" s="295"/>
      <c r="GM18" s="295"/>
      <c r="GN18" s="296"/>
      <c r="GO18" s="296"/>
      <c r="GP18" s="296"/>
      <c r="GQ18" s="296"/>
      <c r="GR18" s="296"/>
      <c r="GS18" s="34"/>
      <c r="GT18" s="295"/>
      <c r="GU18" s="295"/>
      <c r="GV18" s="295"/>
      <c r="GW18" s="296"/>
      <c r="GX18" s="295"/>
      <c r="GY18" s="295"/>
      <c r="GZ18" s="296"/>
      <c r="HA18" s="296"/>
      <c r="HB18" s="296"/>
      <c r="HC18" s="296"/>
      <c r="HD18" s="296"/>
      <c r="HE18" s="34"/>
      <c r="HF18" s="295"/>
      <c r="HG18" s="295"/>
      <c r="HH18" s="295"/>
      <c r="HI18" s="296"/>
      <c r="HJ18" s="295"/>
      <c r="HK18" s="295"/>
      <c r="HL18" s="296"/>
      <c r="HM18" s="296"/>
      <c r="HN18" s="296"/>
      <c r="HO18" s="296"/>
      <c r="HP18" s="296"/>
      <c r="HQ18" s="34"/>
      <c r="HR18" s="295"/>
      <c r="HS18" s="295"/>
      <c r="HT18" s="295"/>
      <c r="HU18" s="296"/>
      <c r="HV18" s="295"/>
      <c r="HW18" s="295"/>
      <c r="HX18" s="296"/>
      <c r="HY18" s="296"/>
      <c r="HZ18" s="296"/>
      <c r="IA18" s="296"/>
      <c r="IB18" s="296"/>
      <c r="IC18" s="34"/>
      <c r="ID18" s="295"/>
      <c r="IE18" s="295"/>
      <c r="IF18" s="295"/>
      <c r="IG18" s="296"/>
      <c r="IH18" s="295"/>
      <c r="II18" s="295"/>
      <c r="IJ18" s="296"/>
      <c r="IK18" s="296"/>
      <c r="IL18" s="296"/>
      <c r="IM18" s="296"/>
      <c r="IN18" s="296"/>
      <c r="IO18" s="34"/>
      <c r="IP18" s="295"/>
      <c r="IQ18" s="295"/>
      <c r="IR18" s="295"/>
    </row>
    <row r="19" spans="1:252" s="5" customFormat="1" ht="14.25">
      <c r="A19" s="35" t="s">
        <v>19</v>
      </c>
      <c r="B19" s="291">
        <v>4.2</v>
      </c>
      <c r="C19" s="291">
        <v>3.7</v>
      </c>
      <c r="D19" s="291">
        <v>4.4000000000000004</v>
      </c>
      <c r="E19" s="291">
        <v>5</v>
      </c>
      <c r="F19" s="291">
        <v>5</v>
      </c>
      <c r="G19" s="397">
        <v>5.8</v>
      </c>
      <c r="H19" s="291">
        <v>7.3</v>
      </c>
      <c r="I19" s="291">
        <v>7.4</v>
      </c>
      <c r="J19" s="291">
        <v>7.1</v>
      </c>
      <c r="K19" s="291">
        <v>6.9</v>
      </c>
      <c r="L19" s="291"/>
      <c r="M19" s="291"/>
      <c r="N19" s="291"/>
      <c r="O19" s="291"/>
      <c r="P19" s="291"/>
      <c r="Q19" s="291"/>
      <c r="R19" s="291"/>
      <c r="S19" s="291"/>
      <c r="T19" s="291"/>
      <c r="U19" s="36"/>
      <c r="V19" s="291"/>
      <c r="W19" s="291"/>
      <c r="X19" s="291"/>
      <c r="Y19" s="291"/>
      <c r="Z19" s="291"/>
      <c r="AA19" s="291"/>
      <c r="AB19" s="291"/>
      <c r="AC19" s="291"/>
      <c r="AD19" s="291"/>
      <c r="AE19" s="291"/>
      <c r="AF19" s="291"/>
      <c r="AG19" s="36"/>
      <c r="AH19" s="291"/>
      <c r="AI19" s="291"/>
      <c r="AJ19" s="291"/>
      <c r="AK19" s="291"/>
      <c r="AL19" s="291"/>
      <c r="AM19" s="291"/>
      <c r="AN19" s="291"/>
      <c r="AO19" s="291"/>
      <c r="AP19" s="291"/>
      <c r="AQ19" s="291"/>
      <c r="AR19" s="291"/>
      <c r="AS19" s="36"/>
      <c r="AT19" s="291"/>
      <c r="AU19" s="291"/>
      <c r="AV19" s="291"/>
      <c r="AW19" s="291"/>
      <c r="AX19" s="291"/>
      <c r="AY19" s="291"/>
      <c r="AZ19" s="291"/>
      <c r="BA19" s="291"/>
      <c r="BB19" s="291"/>
      <c r="BC19" s="291"/>
      <c r="BD19" s="291"/>
      <c r="BE19" s="36"/>
      <c r="BF19" s="291"/>
      <c r="BG19" s="291"/>
      <c r="BH19" s="291"/>
      <c r="BI19" s="291"/>
      <c r="BJ19" s="291"/>
      <c r="BK19" s="291"/>
      <c r="BL19" s="291"/>
      <c r="BM19" s="291"/>
      <c r="BN19" s="291"/>
      <c r="BO19" s="291"/>
      <c r="BP19" s="291"/>
      <c r="BQ19" s="36"/>
      <c r="BR19" s="291"/>
      <c r="BS19" s="291"/>
      <c r="BT19" s="291"/>
      <c r="BU19" s="291"/>
      <c r="BV19" s="291"/>
      <c r="BW19" s="291"/>
      <c r="BX19" s="291"/>
      <c r="BY19" s="291"/>
      <c r="BZ19" s="291"/>
      <c r="CA19" s="291"/>
      <c r="CB19" s="291"/>
      <c r="CC19" s="36"/>
      <c r="CD19" s="291"/>
      <c r="CE19" s="291"/>
      <c r="CF19" s="291"/>
      <c r="CG19" s="291"/>
      <c r="CH19" s="291"/>
      <c r="CI19" s="291"/>
      <c r="CJ19" s="291"/>
      <c r="CK19" s="291"/>
      <c r="CL19" s="291"/>
      <c r="CM19" s="291"/>
      <c r="CN19" s="291"/>
      <c r="CO19" s="36"/>
      <c r="CP19" s="291"/>
      <c r="CQ19" s="291"/>
      <c r="CR19" s="291"/>
      <c r="CS19" s="291"/>
      <c r="CT19" s="291"/>
      <c r="CU19" s="291"/>
      <c r="CV19" s="291"/>
      <c r="CW19" s="291"/>
      <c r="CX19" s="291"/>
      <c r="CY19" s="291"/>
      <c r="CZ19" s="291"/>
      <c r="DA19" s="36"/>
      <c r="DB19" s="291"/>
      <c r="DC19" s="291"/>
      <c r="DD19" s="291"/>
      <c r="DE19" s="291"/>
      <c r="DF19" s="291"/>
      <c r="DG19" s="291"/>
      <c r="DH19" s="291"/>
      <c r="DI19" s="291"/>
      <c r="DJ19" s="291"/>
      <c r="DK19" s="291"/>
      <c r="DL19" s="291"/>
      <c r="DM19" s="36"/>
      <c r="DN19" s="291"/>
      <c r="DO19" s="291"/>
      <c r="DP19" s="291"/>
      <c r="DQ19" s="291"/>
      <c r="DR19" s="291"/>
      <c r="DS19" s="291"/>
      <c r="DT19" s="291"/>
      <c r="DU19" s="291"/>
      <c r="DV19" s="291"/>
      <c r="DW19" s="291"/>
      <c r="DX19" s="291"/>
      <c r="DY19" s="36"/>
      <c r="DZ19" s="291"/>
      <c r="EA19" s="291"/>
      <c r="EB19" s="291"/>
      <c r="EC19" s="291"/>
      <c r="ED19" s="291"/>
      <c r="EE19" s="291"/>
      <c r="EF19" s="291"/>
      <c r="EG19" s="291"/>
      <c r="EH19" s="291"/>
      <c r="EI19" s="291"/>
      <c r="EJ19" s="291"/>
      <c r="EK19" s="36"/>
      <c r="EL19" s="291"/>
      <c r="EM19" s="291"/>
      <c r="EN19" s="291"/>
      <c r="EO19" s="291"/>
      <c r="EP19" s="291"/>
      <c r="EQ19" s="291"/>
      <c r="ER19" s="291"/>
      <c r="ES19" s="291"/>
      <c r="ET19" s="291"/>
      <c r="EU19" s="291"/>
      <c r="EV19" s="291"/>
      <c r="EW19" s="36"/>
      <c r="EX19" s="291"/>
      <c r="EY19" s="291"/>
      <c r="EZ19" s="291"/>
      <c r="FA19" s="291"/>
      <c r="FB19" s="291"/>
      <c r="FC19" s="291"/>
      <c r="FD19" s="291"/>
      <c r="FE19" s="291"/>
      <c r="FF19" s="291"/>
      <c r="FG19" s="291"/>
      <c r="FH19" s="291"/>
      <c r="FI19" s="36"/>
      <c r="FJ19" s="291"/>
      <c r="FK19" s="291"/>
      <c r="FL19" s="291"/>
      <c r="FM19" s="291"/>
      <c r="FN19" s="291"/>
      <c r="FO19" s="291"/>
      <c r="FP19" s="291"/>
      <c r="FQ19" s="291"/>
      <c r="FR19" s="291"/>
      <c r="FS19" s="291"/>
      <c r="FT19" s="291"/>
      <c r="FU19" s="36"/>
      <c r="FV19" s="291"/>
      <c r="FW19" s="291"/>
      <c r="FX19" s="291"/>
      <c r="FY19" s="291"/>
      <c r="FZ19" s="291"/>
      <c r="GA19" s="291"/>
      <c r="GB19" s="291"/>
      <c r="GC19" s="291"/>
      <c r="GD19" s="291"/>
      <c r="GE19" s="291"/>
      <c r="GF19" s="291"/>
      <c r="GG19" s="36"/>
      <c r="GH19" s="291"/>
      <c r="GI19" s="291"/>
      <c r="GJ19" s="291"/>
      <c r="GK19" s="291"/>
      <c r="GL19" s="291"/>
      <c r="GM19" s="291"/>
      <c r="GN19" s="291"/>
      <c r="GO19" s="291"/>
      <c r="GP19" s="291"/>
      <c r="GQ19" s="291"/>
      <c r="GR19" s="291"/>
      <c r="GS19" s="36"/>
      <c r="GT19" s="291"/>
      <c r="GU19" s="291"/>
      <c r="GV19" s="291"/>
      <c r="GW19" s="291"/>
      <c r="GX19" s="291"/>
      <c r="GY19" s="291"/>
      <c r="GZ19" s="291"/>
      <c r="HA19" s="291"/>
      <c r="HB19" s="291"/>
      <c r="HC19" s="291"/>
      <c r="HD19" s="291"/>
      <c r="HE19" s="36"/>
      <c r="HF19" s="291"/>
      <c r="HG19" s="291"/>
      <c r="HH19" s="291"/>
      <c r="HI19" s="291"/>
      <c r="HJ19" s="291"/>
      <c r="HK19" s="291"/>
      <c r="HL19" s="291"/>
      <c r="HM19" s="291"/>
      <c r="HN19" s="291"/>
      <c r="HO19" s="291"/>
      <c r="HP19" s="291"/>
      <c r="HQ19" s="36"/>
      <c r="HR19" s="291"/>
      <c r="HS19" s="291"/>
      <c r="HT19" s="291"/>
      <c r="HU19" s="291"/>
      <c r="HV19" s="291"/>
      <c r="HW19" s="291"/>
      <c r="HX19" s="291"/>
      <c r="HY19" s="291"/>
      <c r="HZ19" s="291"/>
      <c r="IA19" s="291"/>
      <c r="IB19" s="291"/>
      <c r="IC19" s="36"/>
      <c r="ID19" s="291"/>
      <c r="IE19" s="291"/>
      <c r="IF19" s="291"/>
      <c r="IG19" s="291"/>
      <c r="IH19" s="291"/>
      <c r="II19" s="291"/>
      <c r="IJ19" s="291"/>
      <c r="IK19" s="291"/>
      <c r="IL19" s="291"/>
      <c r="IM19" s="291"/>
      <c r="IN19" s="291"/>
      <c r="IO19" s="36"/>
      <c r="IP19" s="291"/>
      <c r="IQ19" s="291"/>
      <c r="IR19" s="291"/>
    </row>
    <row r="20" spans="1:252" s="5" customFormat="1" ht="14.25">
      <c r="A20" s="34" t="s">
        <v>18</v>
      </c>
      <c r="B20" s="295">
        <v>4.9000000000000004</v>
      </c>
      <c r="C20" s="295">
        <v>4.0999999999999996</v>
      </c>
      <c r="D20" s="295">
        <v>5.3</v>
      </c>
      <c r="E20" s="295">
        <v>4.8</v>
      </c>
      <c r="F20" s="295">
        <v>4.5999999999999996</v>
      </c>
      <c r="G20" s="296">
        <v>4.9000000000000004</v>
      </c>
      <c r="H20" s="295">
        <v>5.4</v>
      </c>
      <c r="I20" s="295">
        <v>5.6</v>
      </c>
      <c r="J20" s="295">
        <v>5.8</v>
      </c>
      <c r="K20" s="295">
        <v>5.7</v>
      </c>
      <c r="L20" s="291"/>
      <c r="M20" s="291"/>
      <c r="N20" s="291"/>
      <c r="O20" s="291"/>
      <c r="P20" s="291"/>
      <c r="Q20" s="291"/>
      <c r="R20" s="291"/>
      <c r="S20" s="291"/>
      <c r="T20" s="291"/>
      <c r="U20" s="35"/>
      <c r="V20" s="291"/>
      <c r="W20" s="291"/>
      <c r="X20" s="291"/>
      <c r="Y20" s="291"/>
      <c r="Z20" s="291"/>
      <c r="AA20" s="291"/>
      <c r="AB20" s="291"/>
      <c r="AC20" s="291"/>
      <c r="AD20" s="291"/>
      <c r="AE20" s="291"/>
      <c r="AF20" s="291"/>
      <c r="AG20" s="35"/>
      <c r="AH20" s="291"/>
      <c r="AI20" s="291"/>
      <c r="AJ20" s="291"/>
      <c r="AK20" s="291"/>
      <c r="AL20" s="291"/>
      <c r="AM20" s="291"/>
      <c r="AN20" s="291"/>
      <c r="AO20" s="291"/>
      <c r="AP20" s="291"/>
      <c r="AQ20" s="291"/>
      <c r="AR20" s="291"/>
      <c r="AS20" s="35"/>
      <c r="AT20" s="291"/>
      <c r="AU20" s="291"/>
      <c r="AV20" s="291"/>
      <c r="AW20" s="291"/>
      <c r="AX20" s="291"/>
      <c r="AY20" s="291"/>
      <c r="AZ20" s="291"/>
      <c r="BA20" s="291"/>
      <c r="BB20" s="291"/>
      <c r="BC20" s="291"/>
      <c r="BD20" s="291"/>
      <c r="BE20" s="35"/>
      <c r="BF20" s="291"/>
      <c r="BG20" s="291"/>
      <c r="BH20" s="291"/>
      <c r="BI20" s="291"/>
      <c r="BJ20" s="291"/>
      <c r="BK20" s="291"/>
      <c r="BL20" s="291"/>
      <c r="BM20" s="291"/>
      <c r="BN20" s="291"/>
      <c r="BO20" s="291"/>
      <c r="BP20" s="291"/>
      <c r="BQ20" s="35"/>
      <c r="BR20" s="291"/>
      <c r="BS20" s="291"/>
      <c r="BT20" s="291"/>
      <c r="BU20" s="291"/>
      <c r="BV20" s="291"/>
      <c r="BW20" s="291"/>
      <c r="BX20" s="291"/>
      <c r="BY20" s="291"/>
      <c r="BZ20" s="291"/>
      <c r="CA20" s="291"/>
      <c r="CB20" s="291"/>
      <c r="CC20" s="35"/>
      <c r="CD20" s="291"/>
      <c r="CE20" s="291"/>
      <c r="CF20" s="291"/>
      <c r="CG20" s="291"/>
      <c r="CH20" s="291"/>
      <c r="CI20" s="291"/>
      <c r="CJ20" s="291"/>
      <c r="CK20" s="291"/>
      <c r="CL20" s="291"/>
      <c r="CM20" s="291"/>
      <c r="CN20" s="291"/>
      <c r="CO20" s="35"/>
      <c r="CP20" s="291"/>
      <c r="CQ20" s="291"/>
      <c r="CR20" s="291"/>
      <c r="CS20" s="291"/>
      <c r="CT20" s="291"/>
      <c r="CU20" s="291"/>
      <c r="CV20" s="291"/>
      <c r="CW20" s="291"/>
      <c r="CX20" s="291"/>
      <c r="CY20" s="291"/>
      <c r="CZ20" s="291"/>
      <c r="DA20" s="35"/>
      <c r="DB20" s="291"/>
      <c r="DC20" s="291"/>
      <c r="DD20" s="291"/>
      <c r="DE20" s="291"/>
      <c r="DF20" s="291"/>
      <c r="DG20" s="291"/>
      <c r="DH20" s="291"/>
      <c r="DI20" s="291"/>
      <c r="DJ20" s="291"/>
      <c r="DK20" s="291"/>
      <c r="DL20" s="291"/>
      <c r="DM20" s="35"/>
      <c r="DN20" s="291"/>
      <c r="DO20" s="291"/>
      <c r="DP20" s="291"/>
      <c r="DQ20" s="291"/>
      <c r="DR20" s="291"/>
      <c r="DS20" s="291"/>
      <c r="DT20" s="291"/>
      <c r="DU20" s="291"/>
      <c r="DV20" s="291"/>
      <c r="DW20" s="291"/>
      <c r="DX20" s="291"/>
      <c r="DY20" s="35"/>
      <c r="DZ20" s="291"/>
      <c r="EA20" s="291"/>
      <c r="EB20" s="291"/>
      <c r="EC20" s="291"/>
      <c r="ED20" s="291"/>
      <c r="EE20" s="291"/>
      <c r="EF20" s="291"/>
      <c r="EG20" s="291"/>
      <c r="EH20" s="291"/>
      <c r="EI20" s="291"/>
      <c r="EJ20" s="291"/>
      <c r="EK20" s="35"/>
      <c r="EL20" s="291"/>
      <c r="EM20" s="291"/>
      <c r="EN20" s="291"/>
      <c r="EO20" s="291"/>
      <c r="EP20" s="291"/>
      <c r="EQ20" s="291"/>
      <c r="ER20" s="291"/>
      <c r="ES20" s="291"/>
      <c r="ET20" s="291"/>
      <c r="EU20" s="291"/>
      <c r="EV20" s="291"/>
      <c r="EW20" s="35"/>
      <c r="EX20" s="291"/>
      <c r="EY20" s="291"/>
      <c r="EZ20" s="291"/>
      <c r="FA20" s="291"/>
      <c r="FB20" s="291"/>
      <c r="FC20" s="291"/>
      <c r="FD20" s="291"/>
      <c r="FE20" s="291"/>
      <c r="FF20" s="291"/>
      <c r="FG20" s="291"/>
      <c r="FH20" s="291"/>
      <c r="FI20" s="35"/>
      <c r="FJ20" s="291"/>
      <c r="FK20" s="291"/>
      <c r="FL20" s="291"/>
      <c r="FM20" s="291"/>
      <c r="FN20" s="291"/>
      <c r="FO20" s="291"/>
      <c r="FP20" s="291"/>
      <c r="FQ20" s="291"/>
      <c r="FR20" s="291"/>
      <c r="FS20" s="291"/>
      <c r="FT20" s="291"/>
      <c r="FU20" s="35"/>
      <c r="FV20" s="291"/>
      <c r="FW20" s="291"/>
      <c r="FX20" s="291"/>
      <c r="FY20" s="291"/>
      <c r="FZ20" s="291"/>
      <c r="GA20" s="291"/>
      <c r="GB20" s="291"/>
      <c r="GC20" s="291"/>
      <c r="GD20" s="291"/>
      <c r="GE20" s="291"/>
      <c r="GF20" s="291"/>
      <c r="GG20" s="35"/>
      <c r="GH20" s="291"/>
      <c r="GI20" s="291"/>
      <c r="GJ20" s="291"/>
      <c r="GK20" s="291"/>
      <c r="GL20" s="291"/>
      <c r="GM20" s="291"/>
      <c r="GN20" s="291"/>
      <c r="GO20" s="291"/>
      <c r="GP20" s="291"/>
      <c r="GQ20" s="291"/>
      <c r="GR20" s="291"/>
      <c r="GS20" s="35"/>
      <c r="GT20" s="291"/>
      <c r="GU20" s="291"/>
      <c r="GV20" s="291"/>
      <c r="GW20" s="291"/>
      <c r="GX20" s="291"/>
      <c r="GY20" s="291"/>
      <c r="GZ20" s="291"/>
      <c r="HA20" s="291"/>
      <c r="HB20" s="291"/>
      <c r="HC20" s="291"/>
      <c r="HD20" s="291"/>
      <c r="HE20" s="35"/>
      <c r="HF20" s="291"/>
      <c r="HG20" s="291"/>
      <c r="HH20" s="291"/>
      <c r="HI20" s="291"/>
      <c r="HJ20" s="291"/>
      <c r="HK20" s="291"/>
      <c r="HL20" s="291"/>
      <c r="HM20" s="291"/>
      <c r="HN20" s="291"/>
      <c r="HO20" s="291"/>
      <c r="HP20" s="291"/>
      <c r="HQ20" s="35"/>
      <c r="HR20" s="291"/>
      <c r="HS20" s="291"/>
      <c r="HT20" s="291"/>
      <c r="HU20" s="291"/>
      <c r="HV20" s="291"/>
      <c r="HW20" s="291"/>
      <c r="HX20" s="291"/>
      <c r="HY20" s="291"/>
      <c r="HZ20" s="291"/>
      <c r="IA20" s="291"/>
      <c r="IB20" s="291"/>
      <c r="IC20" s="35"/>
      <c r="ID20" s="291"/>
      <c r="IE20" s="291"/>
      <c r="IF20" s="291"/>
      <c r="IG20" s="291"/>
      <c r="IH20" s="291"/>
      <c r="II20" s="291"/>
      <c r="IJ20" s="291"/>
      <c r="IK20" s="291"/>
      <c r="IL20" s="291"/>
      <c r="IM20" s="291"/>
      <c r="IN20" s="291"/>
      <c r="IO20" s="35"/>
      <c r="IP20" s="291"/>
      <c r="IQ20" s="291"/>
      <c r="IR20" s="291"/>
    </row>
    <row r="21" spans="1:252" s="5" customFormat="1" ht="14.25">
      <c r="A21" s="34" t="s">
        <v>1021</v>
      </c>
      <c r="B21" s="295">
        <v>4.9000000000000004</v>
      </c>
      <c r="C21" s="295">
        <v>4.0999999999999996</v>
      </c>
      <c r="D21" s="295">
        <v>5.3</v>
      </c>
      <c r="E21" s="295">
        <v>4.8</v>
      </c>
      <c r="F21" s="295">
        <v>4.5999999999999996</v>
      </c>
      <c r="G21" s="296">
        <v>4.9000000000000004</v>
      </c>
      <c r="H21" s="295">
        <v>5.4</v>
      </c>
      <c r="I21" s="295">
        <v>5.6</v>
      </c>
      <c r="J21" s="295">
        <v>5.8</v>
      </c>
      <c r="K21" s="295">
        <v>6</v>
      </c>
      <c r="L21" s="291"/>
      <c r="M21" s="291"/>
      <c r="N21" s="291"/>
      <c r="O21" s="291"/>
      <c r="P21" s="292"/>
      <c r="Q21" s="292"/>
      <c r="R21" s="292"/>
      <c r="S21" s="292"/>
      <c r="T21" s="292"/>
      <c r="U21" s="35"/>
      <c r="V21" s="291"/>
      <c r="W21" s="291"/>
      <c r="X21" s="291"/>
      <c r="Y21" s="291"/>
      <c r="Z21" s="291"/>
      <c r="AA21" s="291"/>
      <c r="AB21" s="292"/>
      <c r="AC21" s="292"/>
      <c r="AD21" s="292"/>
      <c r="AE21" s="292"/>
      <c r="AF21" s="292"/>
      <c r="AG21" s="35"/>
      <c r="AH21" s="291"/>
      <c r="AI21" s="291"/>
      <c r="AJ21" s="291"/>
      <c r="AK21" s="291"/>
      <c r="AL21" s="291"/>
      <c r="AM21" s="291"/>
      <c r="AN21" s="292"/>
      <c r="AO21" s="292"/>
      <c r="AP21" s="292"/>
      <c r="AQ21" s="292"/>
      <c r="AR21" s="292"/>
      <c r="AS21" s="35"/>
      <c r="AT21" s="291"/>
      <c r="AU21" s="291"/>
      <c r="AV21" s="291"/>
      <c r="AW21" s="291"/>
      <c r="AX21" s="291"/>
      <c r="AY21" s="291"/>
      <c r="AZ21" s="292"/>
      <c r="BA21" s="292"/>
      <c r="BB21" s="292"/>
      <c r="BC21" s="292"/>
      <c r="BD21" s="292"/>
      <c r="BE21" s="35"/>
      <c r="BF21" s="291"/>
      <c r="BG21" s="291"/>
      <c r="BH21" s="291"/>
      <c r="BI21" s="291"/>
      <c r="BJ21" s="291"/>
      <c r="BK21" s="291"/>
      <c r="BL21" s="292"/>
      <c r="BM21" s="292"/>
      <c r="BN21" s="292"/>
      <c r="BO21" s="292"/>
      <c r="BP21" s="292"/>
      <c r="BQ21" s="35"/>
      <c r="BR21" s="291"/>
      <c r="BS21" s="291"/>
      <c r="BT21" s="291"/>
      <c r="BU21" s="291"/>
      <c r="BV21" s="291"/>
      <c r="BW21" s="291"/>
      <c r="BX21" s="292"/>
      <c r="BY21" s="292"/>
      <c r="BZ21" s="292"/>
      <c r="CA21" s="292"/>
      <c r="CB21" s="292"/>
      <c r="CC21" s="35"/>
      <c r="CD21" s="291"/>
      <c r="CE21" s="291"/>
      <c r="CF21" s="291"/>
      <c r="CG21" s="291"/>
      <c r="CH21" s="291"/>
      <c r="CI21" s="291"/>
      <c r="CJ21" s="292"/>
      <c r="CK21" s="292"/>
      <c r="CL21" s="292"/>
      <c r="CM21" s="292"/>
      <c r="CN21" s="292"/>
      <c r="CO21" s="35"/>
      <c r="CP21" s="291"/>
      <c r="CQ21" s="291"/>
      <c r="CR21" s="291"/>
      <c r="CS21" s="291"/>
      <c r="CT21" s="291"/>
      <c r="CU21" s="291"/>
      <c r="CV21" s="292"/>
      <c r="CW21" s="292"/>
      <c r="CX21" s="292"/>
      <c r="CY21" s="292"/>
      <c r="CZ21" s="292"/>
      <c r="DA21" s="35"/>
      <c r="DB21" s="291"/>
      <c r="DC21" s="291"/>
      <c r="DD21" s="291"/>
      <c r="DE21" s="291"/>
      <c r="DF21" s="291"/>
      <c r="DG21" s="291"/>
      <c r="DH21" s="292"/>
      <c r="DI21" s="292"/>
      <c r="DJ21" s="292"/>
      <c r="DK21" s="292"/>
      <c r="DL21" s="292"/>
      <c r="DM21" s="35"/>
      <c r="DN21" s="291"/>
      <c r="DO21" s="291"/>
      <c r="DP21" s="291"/>
      <c r="DQ21" s="291"/>
      <c r="DR21" s="291"/>
      <c r="DS21" s="291"/>
      <c r="DT21" s="292"/>
      <c r="DU21" s="292"/>
      <c r="DV21" s="292"/>
      <c r="DW21" s="292"/>
      <c r="DX21" s="292"/>
      <c r="DY21" s="35"/>
      <c r="DZ21" s="291"/>
      <c r="EA21" s="291"/>
      <c r="EB21" s="291"/>
      <c r="EC21" s="291"/>
      <c r="ED21" s="291"/>
      <c r="EE21" s="291"/>
      <c r="EF21" s="292"/>
      <c r="EG21" s="292"/>
      <c r="EH21" s="292"/>
      <c r="EI21" s="292"/>
      <c r="EJ21" s="292"/>
      <c r="EK21" s="35"/>
      <c r="EL21" s="291"/>
      <c r="EM21" s="291"/>
      <c r="EN21" s="291"/>
      <c r="EO21" s="291"/>
      <c r="EP21" s="291"/>
      <c r="EQ21" s="291"/>
      <c r="ER21" s="292"/>
      <c r="ES21" s="292"/>
      <c r="ET21" s="292"/>
      <c r="EU21" s="292"/>
      <c r="EV21" s="292"/>
      <c r="EW21" s="35"/>
      <c r="EX21" s="291"/>
      <c r="EY21" s="291"/>
      <c r="EZ21" s="291"/>
      <c r="FA21" s="291"/>
      <c r="FB21" s="291"/>
      <c r="FC21" s="291"/>
      <c r="FD21" s="292"/>
      <c r="FE21" s="292"/>
      <c r="FF21" s="292"/>
      <c r="FG21" s="292"/>
      <c r="FH21" s="292"/>
      <c r="FI21" s="35"/>
      <c r="FJ21" s="291"/>
      <c r="FK21" s="291"/>
      <c r="FL21" s="291"/>
      <c r="FM21" s="291"/>
      <c r="FN21" s="291"/>
      <c r="FO21" s="291"/>
      <c r="FP21" s="292"/>
      <c r="FQ21" s="292"/>
      <c r="FR21" s="292"/>
      <c r="FS21" s="292"/>
      <c r="FT21" s="292"/>
      <c r="FU21" s="35"/>
      <c r="FV21" s="291"/>
      <c r="FW21" s="291"/>
      <c r="FX21" s="291"/>
      <c r="FY21" s="291"/>
      <c r="FZ21" s="291"/>
      <c r="GA21" s="291"/>
      <c r="GB21" s="292"/>
      <c r="GC21" s="292"/>
      <c r="GD21" s="292"/>
      <c r="GE21" s="292"/>
      <c r="GF21" s="292"/>
      <c r="GG21" s="35"/>
      <c r="GH21" s="291"/>
      <c r="GI21" s="291"/>
      <c r="GJ21" s="291"/>
      <c r="GK21" s="291"/>
      <c r="GL21" s="291"/>
      <c r="GM21" s="291"/>
      <c r="GN21" s="292"/>
      <c r="GO21" s="292"/>
      <c r="GP21" s="292"/>
      <c r="GQ21" s="292"/>
      <c r="GR21" s="292"/>
      <c r="GS21" s="35"/>
      <c r="GT21" s="291"/>
      <c r="GU21" s="291"/>
      <c r="GV21" s="291"/>
      <c r="GW21" s="291"/>
      <c r="GX21" s="291"/>
      <c r="GY21" s="291"/>
      <c r="GZ21" s="292"/>
      <c r="HA21" s="292"/>
      <c r="HB21" s="292"/>
      <c r="HC21" s="292"/>
      <c r="HD21" s="292"/>
      <c r="HE21" s="35"/>
      <c r="HF21" s="291"/>
      <c r="HG21" s="291"/>
      <c r="HH21" s="291"/>
      <c r="HI21" s="291"/>
      <c r="HJ21" s="291"/>
      <c r="HK21" s="291"/>
      <c r="HL21" s="292"/>
      <c r="HM21" s="292"/>
      <c r="HN21" s="292"/>
      <c r="HO21" s="292"/>
      <c r="HP21" s="292"/>
      <c r="HQ21" s="35"/>
      <c r="HR21" s="291"/>
      <c r="HS21" s="291"/>
      <c r="HT21" s="291"/>
      <c r="HU21" s="291"/>
      <c r="HV21" s="291"/>
      <c r="HW21" s="291"/>
      <c r="HX21" s="292"/>
      <c r="HY21" s="292"/>
      <c r="HZ21" s="292"/>
      <c r="IA21" s="292"/>
      <c r="IB21" s="292"/>
      <c r="IC21" s="35"/>
      <c r="ID21" s="291"/>
      <c r="IE21" s="291"/>
      <c r="IF21" s="291"/>
      <c r="IG21" s="291"/>
      <c r="IH21" s="291"/>
      <c r="II21" s="291"/>
      <c r="IJ21" s="292"/>
      <c r="IK21" s="292"/>
      <c r="IL21" s="292"/>
      <c r="IM21" s="292"/>
      <c r="IN21" s="292"/>
      <c r="IO21" s="35"/>
      <c r="IP21" s="291"/>
      <c r="IQ21" s="291"/>
      <c r="IR21" s="291"/>
    </row>
    <row r="22" spans="1:252" s="5" customFormat="1" ht="14.25">
      <c r="A22" s="35" t="s">
        <v>17</v>
      </c>
      <c r="B22" s="291">
        <v>9.1999999999999993</v>
      </c>
      <c r="C22" s="291">
        <v>8.6999999999999993</v>
      </c>
      <c r="D22" s="291">
        <v>10.7</v>
      </c>
      <c r="E22" s="291">
        <v>12</v>
      </c>
      <c r="F22" s="291">
        <v>12.9</v>
      </c>
      <c r="G22" s="397">
        <v>15.8</v>
      </c>
      <c r="H22" s="291">
        <v>16.399999999999999</v>
      </c>
      <c r="I22" s="291">
        <v>14.1</v>
      </c>
      <c r="J22" s="291">
        <v>13.4</v>
      </c>
      <c r="K22" s="291">
        <v>12.6</v>
      </c>
      <c r="L22" s="291"/>
      <c r="M22" s="291"/>
      <c r="N22" s="291"/>
      <c r="O22" s="291"/>
      <c r="P22" s="292"/>
      <c r="Q22" s="292"/>
      <c r="R22" s="292"/>
      <c r="S22" s="292"/>
      <c r="T22" s="292"/>
      <c r="U22" s="35"/>
      <c r="V22" s="291"/>
      <c r="W22" s="291"/>
      <c r="X22" s="291"/>
      <c r="Y22" s="291"/>
      <c r="Z22" s="291"/>
      <c r="AA22" s="291"/>
      <c r="AB22" s="292"/>
      <c r="AC22" s="292"/>
      <c r="AD22" s="292"/>
      <c r="AE22" s="292"/>
      <c r="AF22" s="292"/>
      <c r="AG22" s="35"/>
      <c r="AH22" s="291"/>
      <c r="AI22" s="291"/>
      <c r="AJ22" s="291"/>
      <c r="AK22" s="291"/>
      <c r="AL22" s="291"/>
      <c r="AM22" s="291"/>
      <c r="AN22" s="292"/>
      <c r="AO22" s="292"/>
      <c r="AP22" s="292"/>
      <c r="AQ22" s="292"/>
      <c r="AR22" s="292"/>
      <c r="AS22" s="35"/>
      <c r="AT22" s="291"/>
      <c r="AU22" s="291"/>
      <c r="AV22" s="291"/>
      <c r="AW22" s="291"/>
      <c r="AX22" s="291"/>
      <c r="AY22" s="291"/>
      <c r="AZ22" s="292"/>
      <c r="BA22" s="292"/>
      <c r="BB22" s="292"/>
      <c r="BC22" s="292"/>
      <c r="BD22" s="292"/>
      <c r="BE22" s="35"/>
      <c r="BF22" s="291"/>
      <c r="BG22" s="291"/>
      <c r="BH22" s="291"/>
      <c r="BI22" s="291"/>
      <c r="BJ22" s="291"/>
      <c r="BK22" s="291"/>
      <c r="BL22" s="292"/>
      <c r="BM22" s="292"/>
      <c r="BN22" s="292"/>
      <c r="BO22" s="292"/>
      <c r="BP22" s="292"/>
      <c r="BQ22" s="35"/>
      <c r="BR22" s="291"/>
      <c r="BS22" s="291"/>
      <c r="BT22" s="291"/>
      <c r="BU22" s="291"/>
      <c r="BV22" s="291"/>
      <c r="BW22" s="291"/>
      <c r="BX22" s="292"/>
      <c r="BY22" s="292"/>
      <c r="BZ22" s="292"/>
      <c r="CA22" s="292"/>
      <c r="CB22" s="292"/>
      <c r="CC22" s="35"/>
      <c r="CD22" s="291"/>
      <c r="CE22" s="291"/>
      <c r="CF22" s="291"/>
      <c r="CG22" s="291"/>
      <c r="CH22" s="291"/>
      <c r="CI22" s="291"/>
      <c r="CJ22" s="292"/>
      <c r="CK22" s="292"/>
      <c r="CL22" s="292"/>
      <c r="CM22" s="292"/>
      <c r="CN22" s="292"/>
      <c r="CO22" s="35"/>
      <c r="CP22" s="291"/>
      <c r="CQ22" s="291"/>
      <c r="CR22" s="291"/>
      <c r="CS22" s="291"/>
      <c r="CT22" s="291"/>
      <c r="CU22" s="291"/>
      <c r="CV22" s="292"/>
      <c r="CW22" s="292"/>
      <c r="CX22" s="292"/>
      <c r="CY22" s="292"/>
      <c r="CZ22" s="292"/>
      <c r="DA22" s="35"/>
      <c r="DB22" s="291"/>
      <c r="DC22" s="291"/>
      <c r="DD22" s="291"/>
      <c r="DE22" s="291"/>
      <c r="DF22" s="291"/>
      <c r="DG22" s="291"/>
      <c r="DH22" s="292"/>
      <c r="DI22" s="292"/>
      <c r="DJ22" s="292"/>
      <c r="DK22" s="292"/>
      <c r="DL22" s="292"/>
      <c r="DM22" s="35"/>
      <c r="DN22" s="291"/>
      <c r="DO22" s="291"/>
      <c r="DP22" s="291"/>
      <c r="DQ22" s="291"/>
      <c r="DR22" s="291"/>
      <c r="DS22" s="291"/>
      <c r="DT22" s="292"/>
      <c r="DU22" s="292"/>
      <c r="DV22" s="292"/>
      <c r="DW22" s="292"/>
      <c r="DX22" s="292"/>
      <c r="DY22" s="35"/>
      <c r="DZ22" s="291"/>
      <c r="EA22" s="291"/>
      <c r="EB22" s="291"/>
      <c r="EC22" s="291"/>
      <c r="ED22" s="291"/>
      <c r="EE22" s="291"/>
      <c r="EF22" s="292"/>
      <c r="EG22" s="292"/>
      <c r="EH22" s="292"/>
      <c r="EI22" s="292"/>
      <c r="EJ22" s="292"/>
      <c r="EK22" s="35"/>
      <c r="EL22" s="291"/>
      <c r="EM22" s="291"/>
      <c r="EN22" s="291"/>
      <c r="EO22" s="291"/>
      <c r="EP22" s="291"/>
      <c r="EQ22" s="291"/>
      <c r="ER22" s="292"/>
      <c r="ES22" s="292"/>
      <c r="ET22" s="292"/>
      <c r="EU22" s="292"/>
      <c r="EV22" s="292"/>
      <c r="EW22" s="35"/>
      <c r="EX22" s="291"/>
      <c r="EY22" s="291"/>
      <c r="EZ22" s="291"/>
      <c r="FA22" s="291"/>
      <c r="FB22" s="291"/>
      <c r="FC22" s="291"/>
      <c r="FD22" s="292"/>
      <c r="FE22" s="292"/>
      <c r="FF22" s="292"/>
      <c r="FG22" s="292"/>
      <c r="FH22" s="292"/>
      <c r="FI22" s="35"/>
      <c r="FJ22" s="291"/>
      <c r="FK22" s="291"/>
      <c r="FL22" s="291"/>
      <c r="FM22" s="291"/>
      <c r="FN22" s="291"/>
      <c r="FO22" s="291"/>
      <c r="FP22" s="292"/>
      <c r="FQ22" s="292"/>
      <c r="FR22" s="292"/>
      <c r="FS22" s="292"/>
      <c r="FT22" s="292"/>
      <c r="FU22" s="35"/>
      <c r="FV22" s="291"/>
      <c r="FW22" s="291"/>
      <c r="FX22" s="291"/>
      <c r="FY22" s="291"/>
      <c r="FZ22" s="291"/>
      <c r="GA22" s="291"/>
      <c r="GB22" s="292"/>
      <c r="GC22" s="292"/>
      <c r="GD22" s="292"/>
      <c r="GE22" s="292"/>
      <c r="GF22" s="292"/>
      <c r="GG22" s="35"/>
      <c r="GH22" s="291"/>
      <c r="GI22" s="291"/>
      <c r="GJ22" s="291"/>
      <c r="GK22" s="291"/>
      <c r="GL22" s="291"/>
      <c r="GM22" s="291"/>
      <c r="GN22" s="292"/>
      <c r="GO22" s="292"/>
      <c r="GP22" s="292"/>
      <c r="GQ22" s="292"/>
      <c r="GR22" s="292"/>
      <c r="GS22" s="35"/>
      <c r="GT22" s="291"/>
      <c r="GU22" s="291"/>
      <c r="GV22" s="291"/>
      <c r="GW22" s="291"/>
      <c r="GX22" s="291"/>
      <c r="GY22" s="291"/>
      <c r="GZ22" s="292"/>
      <c r="HA22" s="292"/>
      <c r="HB22" s="292"/>
      <c r="HC22" s="292"/>
      <c r="HD22" s="292"/>
      <c r="HE22" s="35"/>
      <c r="HF22" s="291"/>
      <c r="HG22" s="291"/>
      <c r="HH22" s="291"/>
      <c r="HI22" s="291"/>
      <c r="HJ22" s="291"/>
      <c r="HK22" s="291"/>
      <c r="HL22" s="292"/>
      <c r="HM22" s="292"/>
      <c r="HN22" s="292"/>
      <c r="HO22" s="292"/>
      <c r="HP22" s="292"/>
      <c r="HQ22" s="35"/>
      <c r="HR22" s="291"/>
      <c r="HS22" s="291"/>
      <c r="HT22" s="291"/>
      <c r="HU22" s="291"/>
      <c r="HV22" s="291"/>
      <c r="HW22" s="291"/>
      <c r="HX22" s="292"/>
      <c r="HY22" s="292"/>
      <c r="HZ22" s="292"/>
      <c r="IA22" s="292"/>
      <c r="IB22" s="292"/>
      <c r="IC22" s="35"/>
      <c r="ID22" s="291"/>
      <c r="IE22" s="291"/>
      <c r="IF22" s="291"/>
      <c r="IG22" s="291"/>
      <c r="IH22" s="291"/>
      <c r="II22" s="291"/>
      <c r="IJ22" s="292"/>
      <c r="IK22" s="292"/>
      <c r="IL22" s="292"/>
      <c r="IM22" s="292"/>
      <c r="IN22" s="292"/>
      <c r="IO22" s="35"/>
      <c r="IP22" s="291"/>
      <c r="IQ22" s="291"/>
      <c r="IR22" s="291"/>
    </row>
    <row r="23" spans="1:252" s="5" customFormat="1" ht="14.25">
      <c r="A23" s="35" t="s">
        <v>16</v>
      </c>
      <c r="B23" s="291">
        <v>4.9000000000000004</v>
      </c>
      <c r="C23" s="291">
        <v>4.4000000000000004</v>
      </c>
      <c r="D23" s="291">
        <v>5.9</v>
      </c>
      <c r="E23" s="291">
        <v>7.3</v>
      </c>
      <c r="F23" s="291">
        <v>8.1999999999999993</v>
      </c>
      <c r="G23" s="397">
        <v>8.9</v>
      </c>
      <c r="H23" s="291">
        <v>10.1</v>
      </c>
      <c r="I23" s="291">
        <v>9.6999999999999993</v>
      </c>
      <c r="J23" s="291">
        <v>9.4</v>
      </c>
      <c r="K23" s="291">
        <v>9.1999999999999993</v>
      </c>
      <c r="L23" s="291"/>
      <c r="M23" s="292"/>
      <c r="N23" s="291"/>
      <c r="O23" s="291"/>
      <c r="P23" s="292"/>
      <c r="Q23" s="292"/>
      <c r="R23" s="292"/>
      <c r="S23" s="292"/>
      <c r="T23" s="292"/>
      <c r="U23" s="35"/>
      <c r="V23" s="291"/>
      <c r="W23" s="291"/>
      <c r="X23" s="291"/>
      <c r="Y23" s="292"/>
      <c r="Z23" s="291"/>
      <c r="AA23" s="291"/>
      <c r="AB23" s="292"/>
      <c r="AC23" s="292"/>
      <c r="AD23" s="292"/>
      <c r="AE23" s="292"/>
      <c r="AF23" s="292"/>
      <c r="AG23" s="35"/>
      <c r="AH23" s="291"/>
      <c r="AI23" s="291"/>
      <c r="AJ23" s="291"/>
      <c r="AK23" s="292"/>
      <c r="AL23" s="291"/>
      <c r="AM23" s="291"/>
      <c r="AN23" s="292"/>
      <c r="AO23" s="292"/>
      <c r="AP23" s="292"/>
      <c r="AQ23" s="292"/>
      <c r="AR23" s="292"/>
      <c r="AS23" s="35"/>
      <c r="AT23" s="291"/>
      <c r="AU23" s="291"/>
      <c r="AV23" s="291"/>
      <c r="AW23" s="292"/>
      <c r="AX23" s="291"/>
      <c r="AY23" s="291"/>
      <c r="AZ23" s="292"/>
      <c r="BA23" s="292"/>
      <c r="BB23" s="292"/>
      <c r="BC23" s="292"/>
      <c r="BD23" s="292"/>
      <c r="BE23" s="35"/>
      <c r="BF23" s="291"/>
      <c r="BG23" s="291"/>
      <c r="BH23" s="291"/>
      <c r="BI23" s="292"/>
      <c r="BJ23" s="291"/>
      <c r="BK23" s="291"/>
      <c r="BL23" s="292"/>
      <c r="BM23" s="292"/>
      <c r="BN23" s="292"/>
      <c r="BO23" s="292"/>
      <c r="BP23" s="292"/>
      <c r="BQ23" s="35"/>
      <c r="BR23" s="291"/>
      <c r="BS23" s="291"/>
      <c r="BT23" s="291"/>
      <c r="BU23" s="292"/>
      <c r="BV23" s="291"/>
      <c r="BW23" s="291"/>
      <c r="BX23" s="292"/>
      <c r="BY23" s="292"/>
      <c r="BZ23" s="292"/>
      <c r="CA23" s="292"/>
      <c r="CB23" s="292"/>
      <c r="CC23" s="35"/>
      <c r="CD23" s="291"/>
      <c r="CE23" s="291"/>
      <c r="CF23" s="291"/>
      <c r="CG23" s="292"/>
      <c r="CH23" s="291"/>
      <c r="CI23" s="291"/>
      <c r="CJ23" s="292"/>
      <c r="CK23" s="292"/>
      <c r="CL23" s="292"/>
      <c r="CM23" s="292"/>
      <c r="CN23" s="292"/>
      <c r="CO23" s="35"/>
      <c r="CP23" s="291"/>
      <c r="CQ23" s="291"/>
      <c r="CR23" s="291"/>
      <c r="CS23" s="292"/>
      <c r="CT23" s="291"/>
      <c r="CU23" s="291"/>
      <c r="CV23" s="292"/>
      <c r="CW23" s="292"/>
      <c r="CX23" s="292"/>
      <c r="CY23" s="292"/>
      <c r="CZ23" s="292"/>
      <c r="DA23" s="35"/>
      <c r="DB23" s="291"/>
      <c r="DC23" s="291"/>
      <c r="DD23" s="291"/>
      <c r="DE23" s="292"/>
      <c r="DF23" s="291"/>
      <c r="DG23" s="291"/>
      <c r="DH23" s="292"/>
      <c r="DI23" s="292"/>
      <c r="DJ23" s="292"/>
      <c r="DK23" s="292"/>
      <c r="DL23" s="292"/>
      <c r="DM23" s="35"/>
      <c r="DN23" s="291"/>
      <c r="DO23" s="291"/>
      <c r="DP23" s="291"/>
      <c r="DQ23" s="292"/>
      <c r="DR23" s="291"/>
      <c r="DS23" s="291"/>
      <c r="DT23" s="292"/>
      <c r="DU23" s="292"/>
      <c r="DV23" s="292"/>
      <c r="DW23" s="292"/>
      <c r="DX23" s="292"/>
      <c r="DY23" s="35"/>
      <c r="DZ23" s="291"/>
      <c r="EA23" s="291"/>
      <c r="EB23" s="291"/>
      <c r="EC23" s="292"/>
      <c r="ED23" s="291"/>
      <c r="EE23" s="291"/>
      <c r="EF23" s="292"/>
      <c r="EG23" s="292"/>
      <c r="EH23" s="292"/>
      <c r="EI23" s="292"/>
      <c r="EJ23" s="292"/>
      <c r="EK23" s="35"/>
      <c r="EL23" s="291"/>
      <c r="EM23" s="291"/>
      <c r="EN23" s="291"/>
      <c r="EO23" s="292"/>
      <c r="EP23" s="291"/>
      <c r="EQ23" s="291"/>
      <c r="ER23" s="292"/>
      <c r="ES23" s="292"/>
      <c r="ET23" s="292"/>
      <c r="EU23" s="292"/>
      <c r="EV23" s="292"/>
      <c r="EW23" s="35"/>
      <c r="EX23" s="291"/>
      <c r="EY23" s="291"/>
      <c r="EZ23" s="291"/>
      <c r="FA23" s="292"/>
      <c r="FB23" s="291"/>
      <c r="FC23" s="291"/>
      <c r="FD23" s="292"/>
      <c r="FE23" s="292"/>
      <c r="FF23" s="292"/>
      <c r="FG23" s="292"/>
      <c r="FH23" s="292"/>
      <c r="FI23" s="35"/>
      <c r="FJ23" s="291"/>
      <c r="FK23" s="291"/>
      <c r="FL23" s="291"/>
      <c r="FM23" s="292"/>
      <c r="FN23" s="291"/>
      <c r="FO23" s="291"/>
      <c r="FP23" s="292"/>
      <c r="FQ23" s="292"/>
      <c r="FR23" s="292"/>
      <c r="FS23" s="292"/>
      <c r="FT23" s="292"/>
      <c r="FU23" s="35"/>
      <c r="FV23" s="291"/>
      <c r="FW23" s="291"/>
      <c r="FX23" s="291"/>
      <c r="FY23" s="292"/>
      <c r="FZ23" s="291"/>
      <c r="GA23" s="291"/>
      <c r="GB23" s="292"/>
      <c r="GC23" s="292"/>
      <c r="GD23" s="292"/>
      <c r="GE23" s="292"/>
      <c r="GF23" s="292"/>
      <c r="GG23" s="35"/>
      <c r="GH23" s="291"/>
      <c r="GI23" s="291"/>
      <c r="GJ23" s="291"/>
      <c r="GK23" s="292"/>
      <c r="GL23" s="291"/>
      <c r="GM23" s="291"/>
      <c r="GN23" s="292"/>
      <c r="GO23" s="292"/>
      <c r="GP23" s="292"/>
      <c r="GQ23" s="292"/>
      <c r="GR23" s="292"/>
      <c r="GS23" s="35"/>
      <c r="GT23" s="291"/>
      <c r="GU23" s="291"/>
      <c r="GV23" s="291"/>
      <c r="GW23" s="292"/>
      <c r="GX23" s="291"/>
      <c r="GY23" s="291"/>
      <c r="GZ23" s="292"/>
      <c r="HA23" s="292"/>
      <c r="HB23" s="292"/>
      <c r="HC23" s="292"/>
      <c r="HD23" s="292"/>
      <c r="HE23" s="35"/>
      <c r="HF23" s="291"/>
      <c r="HG23" s="291"/>
      <c r="HH23" s="291"/>
      <c r="HI23" s="292"/>
      <c r="HJ23" s="291"/>
      <c r="HK23" s="291"/>
      <c r="HL23" s="292"/>
      <c r="HM23" s="292"/>
      <c r="HN23" s="292"/>
      <c r="HO23" s="292"/>
      <c r="HP23" s="292"/>
      <c r="HQ23" s="35"/>
      <c r="HR23" s="291"/>
      <c r="HS23" s="291"/>
      <c r="HT23" s="291"/>
      <c r="HU23" s="292"/>
      <c r="HV23" s="291"/>
      <c r="HW23" s="291"/>
      <c r="HX23" s="292"/>
      <c r="HY23" s="292"/>
      <c r="HZ23" s="292"/>
      <c r="IA23" s="292"/>
      <c r="IB23" s="292"/>
      <c r="IC23" s="35"/>
      <c r="ID23" s="291"/>
      <c r="IE23" s="291"/>
      <c r="IF23" s="291"/>
      <c r="IG23" s="292"/>
      <c r="IH23" s="291"/>
      <c r="II23" s="291"/>
      <c r="IJ23" s="292"/>
      <c r="IK23" s="292"/>
      <c r="IL23" s="292"/>
      <c r="IM23" s="292"/>
      <c r="IN23" s="292"/>
      <c r="IO23" s="35"/>
      <c r="IP23" s="291"/>
      <c r="IQ23" s="291"/>
      <c r="IR23" s="291"/>
    </row>
    <row r="24" spans="1:252" s="38" customFormat="1" ht="14.25">
      <c r="A24" s="35" t="s">
        <v>15</v>
      </c>
      <c r="B24" s="291">
        <v>11.2</v>
      </c>
      <c r="C24" s="291">
        <v>9.6</v>
      </c>
      <c r="D24" s="291">
        <v>12.1</v>
      </c>
      <c r="E24" s="291">
        <v>14.5</v>
      </c>
      <c r="F24" s="291">
        <v>13.7</v>
      </c>
      <c r="G24" s="397">
        <v>14</v>
      </c>
      <c r="H24" s="291">
        <v>14.2</v>
      </c>
      <c r="I24" s="291">
        <v>13.2</v>
      </c>
      <c r="J24" s="291">
        <v>12.1</v>
      </c>
      <c r="K24" s="291">
        <v>10.8</v>
      </c>
      <c r="L24" s="295"/>
      <c r="M24" s="295"/>
      <c r="N24" s="295"/>
      <c r="O24" s="295"/>
      <c r="P24" s="295"/>
      <c r="Q24" s="295"/>
      <c r="R24" s="295"/>
      <c r="S24" s="295"/>
      <c r="T24" s="295"/>
      <c r="U24" s="39"/>
      <c r="V24" s="295"/>
      <c r="W24" s="295"/>
      <c r="X24" s="295"/>
      <c r="Y24" s="295"/>
      <c r="Z24" s="295"/>
      <c r="AA24" s="295"/>
      <c r="AB24" s="295"/>
      <c r="AC24" s="295"/>
      <c r="AD24" s="295"/>
      <c r="AE24" s="295"/>
      <c r="AF24" s="295"/>
      <c r="AG24" s="39"/>
      <c r="AH24" s="295"/>
      <c r="AI24" s="295"/>
      <c r="AJ24" s="295"/>
      <c r="AK24" s="295"/>
      <c r="AL24" s="295"/>
      <c r="AM24" s="295"/>
      <c r="AN24" s="295"/>
      <c r="AO24" s="295"/>
      <c r="AP24" s="295"/>
      <c r="AQ24" s="295"/>
      <c r="AR24" s="295"/>
      <c r="AS24" s="39"/>
      <c r="AT24" s="295"/>
      <c r="AU24" s="295"/>
      <c r="AV24" s="295"/>
      <c r="AW24" s="295"/>
      <c r="AX24" s="295"/>
      <c r="AY24" s="295"/>
      <c r="AZ24" s="295"/>
      <c r="BA24" s="295"/>
      <c r="BB24" s="295"/>
      <c r="BC24" s="295"/>
      <c r="BD24" s="295"/>
      <c r="BE24" s="39"/>
      <c r="BF24" s="295"/>
      <c r="BG24" s="295"/>
      <c r="BH24" s="295"/>
      <c r="BI24" s="295"/>
      <c r="BJ24" s="295"/>
      <c r="BK24" s="295"/>
      <c r="BL24" s="295"/>
      <c r="BM24" s="295"/>
      <c r="BN24" s="295"/>
      <c r="BO24" s="295"/>
      <c r="BP24" s="295"/>
      <c r="BQ24" s="39"/>
      <c r="BR24" s="295"/>
      <c r="BS24" s="295"/>
      <c r="BT24" s="295"/>
      <c r="BU24" s="295"/>
      <c r="BV24" s="295"/>
      <c r="BW24" s="295"/>
      <c r="BX24" s="295"/>
      <c r="BY24" s="295"/>
      <c r="BZ24" s="295"/>
      <c r="CA24" s="295"/>
      <c r="CB24" s="295"/>
      <c r="CC24" s="39"/>
      <c r="CD24" s="295"/>
      <c r="CE24" s="295"/>
      <c r="CF24" s="295"/>
      <c r="CG24" s="295"/>
      <c r="CH24" s="295"/>
      <c r="CI24" s="295"/>
      <c r="CJ24" s="295"/>
      <c r="CK24" s="295"/>
      <c r="CL24" s="295"/>
      <c r="CM24" s="295"/>
      <c r="CN24" s="295"/>
      <c r="CO24" s="39"/>
      <c r="CP24" s="295"/>
      <c r="CQ24" s="295"/>
      <c r="CR24" s="295"/>
      <c r="CS24" s="295"/>
      <c r="CT24" s="295"/>
      <c r="CU24" s="295"/>
      <c r="CV24" s="295"/>
      <c r="CW24" s="295"/>
      <c r="CX24" s="295"/>
      <c r="CY24" s="295"/>
      <c r="CZ24" s="295"/>
      <c r="DA24" s="39"/>
      <c r="DB24" s="295"/>
      <c r="DC24" s="295"/>
      <c r="DD24" s="295"/>
      <c r="DE24" s="295"/>
      <c r="DF24" s="295"/>
      <c r="DG24" s="295"/>
      <c r="DH24" s="295"/>
      <c r="DI24" s="295"/>
      <c r="DJ24" s="295"/>
      <c r="DK24" s="295"/>
      <c r="DL24" s="295"/>
      <c r="DM24" s="39"/>
      <c r="DN24" s="295"/>
      <c r="DO24" s="295"/>
      <c r="DP24" s="295"/>
      <c r="DQ24" s="295"/>
      <c r="DR24" s="295"/>
      <c r="DS24" s="295"/>
      <c r="DT24" s="295"/>
      <c r="DU24" s="295"/>
      <c r="DV24" s="295"/>
      <c r="DW24" s="295"/>
      <c r="DX24" s="295"/>
      <c r="DY24" s="39"/>
      <c r="DZ24" s="295"/>
      <c r="EA24" s="295"/>
      <c r="EB24" s="295"/>
      <c r="EC24" s="295"/>
      <c r="ED24" s="295"/>
      <c r="EE24" s="295"/>
      <c r="EF24" s="295"/>
      <c r="EG24" s="295"/>
      <c r="EH24" s="295"/>
      <c r="EI24" s="295"/>
      <c r="EJ24" s="295"/>
      <c r="EK24" s="39"/>
      <c r="EL24" s="295"/>
      <c r="EM24" s="295"/>
      <c r="EN24" s="295"/>
      <c r="EO24" s="295"/>
      <c r="EP24" s="295"/>
      <c r="EQ24" s="295"/>
      <c r="ER24" s="295"/>
      <c r="ES24" s="295"/>
      <c r="ET24" s="295"/>
      <c r="EU24" s="295"/>
      <c r="EV24" s="295"/>
      <c r="EW24" s="39"/>
      <c r="EX24" s="295"/>
      <c r="EY24" s="295"/>
      <c r="EZ24" s="295"/>
      <c r="FA24" s="295"/>
      <c r="FB24" s="295"/>
      <c r="FC24" s="295"/>
      <c r="FD24" s="295"/>
      <c r="FE24" s="295"/>
      <c r="FF24" s="295"/>
      <c r="FG24" s="295"/>
      <c r="FH24" s="295"/>
      <c r="FI24" s="39"/>
      <c r="FJ24" s="295"/>
      <c r="FK24" s="295"/>
      <c r="FL24" s="295"/>
      <c r="FM24" s="295"/>
      <c r="FN24" s="295"/>
      <c r="FO24" s="295"/>
      <c r="FP24" s="295"/>
      <c r="FQ24" s="295"/>
      <c r="FR24" s="295"/>
      <c r="FS24" s="295"/>
      <c r="FT24" s="295"/>
      <c r="FU24" s="39"/>
      <c r="FV24" s="295"/>
      <c r="FW24" s="295"/>
      <c r="FX24" s="295"/>
      <c r="FY24" s="295"/>
      <c r="FZ24" s="295"/>
      <c r="GA24" s="295"/>
      <c r="GB24" s="295"/>
      <c r="GC24" s="295"/>
      <c r="GD24" s="295"/>
      <c r="GE24" s="295"/>
      <c r="GF24" s="295"/>
      <c r="GG24" s="39"/>
      <c r="GH24" s="295"/>
      <c r="GI24" s="295"/>
      <c r="GJ24" s="295"/>
      <c r="GK24" s="295"/>
      <c r="GL24" s="295"/>
      <c r="GM24" s="295"/>
      <c r="GN24" s="295"/>
      <c r="GO24" s="295"/>
      <c r="GP24" s="295"/>
      <c r="GQ24" s="295"/>
      <c r="GR24" s="295"/>
      <c r="GS24" s="39"/>
      <c r="GT24" s="295"/>
      <c r="GU24" s="295"/>
      <c r="GV24" s="295"/>
      <c r="GW24" s="295"/>
      <c r="GX24" s="295"/>
      <c r="GY24" s="295"/>
      <c r="GZ24" s="295"/>
      <c r="HA24" s="295"/>
      <c r="HB24" s="295"/>
      <c r="HC24" s="295"/>
      <c r="HD24" s="295"/>
      <c r="HE24" s="39"/>
      <c r="HF24" s="295"/>
      <c r="HG24" s="295"/>
      <c r="HH24" s="295"/>
      <c r="HI24" s="295"/>
      <c r="HJ24" s="295"/>
      <c r="HK24" s="295"/>
      <c r="HL24" s="295"/>
      <c r="HM24" s="295"/>
      <c r="HN24" s="295"/>
      <c r="HO24" s="295"/>
      <c r="HP24" s="295"/>
      <c r="HQ24" s="39"/>
      <c r="HR24" s="295"/>
      <c r="HS24" s="295"/>
      <c r="HT24" s="295"/>
      <c r="HU24" s="295"/>
      <c r="HV24" s="295"/>
      <c r="HW24" s="295"/>
      <c r="HX24" s="295"/>
      <c r="HY24" s="295"/>
      <c r="HZ24" s="295"/>
      <c r="IA24" s="295"/>
      <c r="IB24" s="295"/>
      <c r="IC24" s="39"/>
      <c r="ID24" s="295"/>
      <c r="IE24" s="295"/>
      <c r="IF24" s="295"/>
      <c r="IG24" s="295"/>
      <c r="IH24" s="295"/>
      <c r="II24" s="295"/>
      <c r="IJ24" s="295"/>
      <c r="IK24" s="295"/>
      <c r="IL24" s="295"/>
      <c r="IM24" s="295"/>
      <c r="IN24" s="295"/>
      <c r="IO24" s="39"/>
      <c r="IP24" s="295"/>
      <c r="IQ24" s="295"/>
      <c r="IR24" s="295"/>
    </row>
    <row r="25" spans="1:252" s="5" customFormat="1" ht="14.25">
      <c r="A25" s="35" t="s">
        <v>14</v>
      </c>
      <c r="B25" s="291">
        <v>6.9</v>
      </c>
      <c r="C25" s="291">
        <v>6.4</v>
      </c>
      <c r="D25" s="291">
        <v>8.1999999999999993</v>
      </c>
      <c r="E25" s="291">
        <v>8.4</v>
      </c>
      <c r="F25" s="291">
        <v>7.8</v>
      </c>
      <c r="G25" s="397">
        <v>7.7</v>
      </c>
      <c r="H25" s="291">
        <v>8.1999999999999993</v>
      </c>
      <c r="I25" s="291">
        <v>8.6999999999999993</v>
      </c>
      <c r="J25" s="291">
        <v>9.1</v>
      </c>
      <c r="K25" s="291">
        <v>9</v>
      </c>
      <c r="L25" s="291"/>
      <c r="M25" s="291"/>
      <c r="N25" s="291"/>
      <c r="O25" s="291"/>
      <c r="P25" s="291"/>
      <c r="Q25" s="291"/>
      <c r="R25" s="291"/>
      <c r="S25" s="291"/>
      <c r="T25" s="291"/>
      <c r="U25" s="35"/>
      <c r="V25" s="291"/>
      <c r="W25" s="291"/>
      <c r="X25" s="291"/>
      <c r="Y25" s="291"/>
      <c r="Z25" s="291"/>
      <c r="AA25" s="291"/>
      <c r="AB25" s="291"/>
      <c r="AC25" s="291"/>
      <c r="AD25" s="291"/>
      <c r="AE25" s="291"/>
      <c r="AF25" s="291"/>
      <c r="AG25" s="35"/>
      <c r="AH25" s="291"/>
      <c r="AI25" s="291"/>
      <c r="AJ25" s="291"/>
      <c r="AK25" s="291"/>
      <c r="AL25" s="291"/>
      <c r="AM25" s="291"/>
      <c r="AN25" s="291"/>
      <c r="AO25" s="291"/>
      <c r="AP25" s="291"/>
      <c r="AQ25" s="291"/>
      <c r="AR25" s="291"/>
      <c r="AS25" s="35"/>
      <c r="AT25" s="291"/>
      <c r="AU25" s="291"/>
      <c r="AV25" s="291"/>
      <c r="AW25" s="291"/>
      <c r="AX25" s="291"/>
      <c r="AY25" s="291"/>
      <c r="AZ25" s="291"/>
      <c r="BA25" s="291"/>
      <c r="BB25" s="291"/>
      <c r="BC25" s="291"/>
      <c r="BD25" s="291"/>
      <c r="BE25" s="35"/>
      <c r="BF25" s="291"/>
      <c r="BG25" s="291"/>
      <c r="BH25" s="291"/>
      <c r="BI25" s="291"/>
      <c r="BJ25" s="291"/>
      <c r="BK25" s="291"/>
      <c r="BL25" s="291"/>
      <c r="BM25" s="291"/>
      <c r="BN25" s="291"/>
      <c r="BO25" s="291"/>
      <c r="BP25" s="291"/>
      <c r="BQ25" s="35"/>
      <c r="BR25" s="291"/>
      <c r="BS25" s="291"/>
      <c r="BT25" s="291"/>
      <c r="BU25" s="291"/>
      <c r="BV25" s="291"/>
      <c r="BW25" s="291"/>
      <c r="BX25" s="291"/>
      <c r="BY25" s="291"/>
      <c r="BZ25" s="291"/>
      <c r="CA25" s="291"/>
      <c r="CB25" s="291"/>
      <c r="CC25" s="35"/>
      <c r="CD25" s="291"/>
      <c r="CE25" s="291"/>
      <c r="CF25" s="291"/>
      <c r="CG25" s="291"/>
      <c r="CH25" s="291"/>
      <c r="CI25" s="291"/>
      <c r="CJ25" s="291"/>
      <c r="CK25" s="291"/>
      <c r="CL25" s="291"/>
      <c r="CM25" s="291"/>
      <c r="CN25" s="291"/>
      <c r="CO25" s="35"/>
      <c r="CP25" s="291"/>
      <c r="CQ25" s="291"/>
      <c r="CR25" s="291"/>
      <c r="CS25" s="291"/>
      <c r="CT25" s="291"/>
      <c r="CU25" s="291"/>
      <c r="CV25" s="291"/>
      <c r="CW25" s="291"/>
      <c r="CX25" s="291"/>
      <c r="CY25" s="291"/>
      <c r="CZ25" s="291"/>
      <c r="DA25" s="35"/>
      <c r="DB25" s="291"/>
      <c r="DC25" s="291"/>
      <c r="DD25" s="291"/>
      <c r="DE25" s="291"/>
      <c r="DF25" s="291"/>
      <c r="DG25" s="291"/>
      <c r="DH25" s="291"/>
      <c r="DI25" s="291"/>
      <c r="DJ25" s="291"/>
      <c r="DK25" s="291"/>
      <c r="DL25" s="291"/>
      <c r="DM25" s="35"/>
      <c r="DN25" s="291"/>
      <c r="DO25" s="291"/>
      <c r="DP25" s="291"/>
      <c r="DQ25" s="291"/>
      <c r="DR25" s="291"/>
      <c r="DS25" s="291"/>
      <c r="DT25" s="291"/>
      <c r="DU25" s="291"/>
      <c r="DV25" s="291"/>
      <c r="DW25" s="291"/>
      <c r="DX25" s="291"/>
      <c r="DY25" s="35"/>
      <c r="DZ25" s="291"/>
      <c r="EA25" s="291"/>
      <c r="EB25" s="291"/>
      <c r="EC25" s="291"/>
      <c r="ED25" s="291"/>
      <c r="EE25" s="291"/>
      <c r="EF25" s="291"/>
      <c r="EG25" s="291"/>
      <c r="EH25" s="291"/>
      <c r="EI25" s="291"/>
      <c r="EJ25" s="291"/>
      <c r="EK25" s="35"/>
      <c r="EL25" s="291"/>
      <c r="EM25" s="291"/>
      <c r="EN25" s="291"/>
      <c r="EO25" s="291"/>
      <c r="EP25" s="291"/>
      <c r="EQ25" s="291"/>
      <c r="ER25" s="291"/>
      <c r="ES25" s="291"/>
      <c r="ET25" s="291"/>
      <c r="EU25" s="291"/>
      <c r="EV25" s="291"/>
      <c r="EW25" s="35"/>
      <c r="EX25" s="291"/>
      <c r="EY25" s="291"/>
      <c r="EZ25" s="291"/>
      <c r="FA25" s="291"/>
      <c r="FB25" s="291"/>
      <c r="FC25" s="291"/>
      <c r="FD25" s="291"/>
      <c r="FE25" s="291"/>
      <c r="FF25" s="291"/>
      <c r="FG25" s="291"/>
      <c r="FH25" s="291"/>
      <c r="FI25" s="35"/>
      <c r="FJ25" s="291"/>
      <c r="FK25" s="291"/>
      <c r="FL25" s="291"/>
      <c r="FM25" s="291"/>
      <c r="FN25" s="291"/>
      <c r="FO25" s="291"/>
      <c r="FP25" s="291"/>
      <c r="FQ25" s="291"/>
      <c r="FR25" s="291"/>
      <c r="FS25" s="291"/>
      <c r="FT25" s="291"/>
      <c r="FU25" s="35"/>
      <c r="FV25" s="291"/>
      <c r="FW25" s="291"/>
      <c r="FX25" s="291"/>
      <c r="FY25" s="291"/>
      <c r="FZ25" s="291"/>
      <c r="GA25" s="291"/>
      <c r="GB25" s="291"/>
      <c r="GC25" s="291"/>
      <c r="GD25" s="291"/>
      <c r="GE25" s="291"/>
      <c r="GF25" s="291"/>
      <c r="GG25" s="35"/>
      <c r="GH25" s="291"/>
      <c r="GI25" s="291"/>
      <c r="GJ25" s="291"/>
      <c r="GK25" s="291"/>
      <c r="GL25" s="291"/>
      <c r="GM25" s="291"/>
      <c r="GN25" s="291"/>
      <c r="GO25" s="291"/>
      <c r="GP25" s="291"/>
      <c r="GQ25" s="291"/>
      <c r="GR25" s="291"/>
      <c r="GS25" s="35"/>
      <c r="GT25" s="291"/>
      <c r="GU25" s="291"/>
      <c r="GV25" s="291"/>
      <c r="GW25" s="291"/>
      <c r="GX25" s="291"/>
      <c r="GY25" s="291"/>
      <c r="GZ25" s="291"/>
      <c r="HA25" s="291"/>
      <c r="HB25" s="291"/>
      <c r="HC25" s="291"/>
      <c r="HD25" s="291"/>
      <c r="HE25" s="35"/>
      <c r="HF25" s="291"/>
      <c r="HG25" s="291"/>
      <c r="HH25" s="291"/>
      <c r="HI25" s="291"/>
      <c r="HJ25" s="291"/>
      <c r="HK25" s="291"/>
      <c r="HL25" s="291"/>
      <c r="HM25" s="291"/>
      <c r="HN25" s="291"/>
      <c r="HO25" s="291"/>
      <c r="HP25" s="291"/>
      <c r="HQ25" s="35"/>
      <c r="HR25" s="291"/>
      <c r="HS25" s="291"/>
      <c r="HT25" s="291"/>
      <c r="HU25" s="291"/>
      <c r="HV25" s="291"/>
      <c r="HW25" s="291"/>
      <c r="HX25" s="291"/>
      <c r="HY25" s="291"/>
      <c r="HZ25" s="291"/>
      <c r="IA25" s="291"/>
      <c r="IB25" s="291"/>
      <c r="IC25" s="35"/>
      <c r="ID25" s="291"/>
      <c r="IE25" s="291"/>
      <c r="IF25" s="291"/>
      <c r="IG25" s="291"/>
      <c r="IH25" s="291"/>
      <c r="II25" s="291"/>
      <c r="IJ25" s="291"/>
      <c r="IK25" s="291"/>
      <c r="IL25" s="291"/>
      <c r="IM25" s="291"/>
      <c r="IN25" s="291"/>
      <c r="IO25" s="35"/>
      <c r="IP25" s="291"/>
      <c r="IQ25" s="291"/>
      <c r="IR25" s="291"/>
    </row>
    <row r="26" spans="1:252" s="5" customFormat="1" ht="14.25">
      <c r="A26" s="34" t="s">
        <v>12</v>
      </c>
      <c r="B26" s="295">
        <v>7.5</v>
      </c>
      <c r="C26" s="295">
        <v>7.6</v>
      </c>
      <c r="D26" s="295">
        <v>9.6</v>
      </c>
      <c r="E26" s="295">
        <v>10.199999999999999</v>
      </c>
      <c r="F26" s="295">
        <v>10.199999999999999</v>
      </c>
      <c r="G26" s="296">
        <v>11.4</v>
      </c>
      <c r="H26" s="295">
        <v>12</v>
      </c>
      <c r="I26" s="295">
        <v>11.6</v>
      </c>
      <c r="J26" s="295">
        <v>11</v>
      </c>
      <c r="K26" s="295">
        <v>10.5</v>
      </c>
      <c r="L26" s="291"/>
      <c r="M26" s="291"/>
      <c r="N26" s="291"/>
      <c r="O26" s="291"/>
      <c r="P26" s="292"/>
      <c r="Q26" s="292"/>
      <c r="R26" s="292"/>
      <c r="S26" s="292"/>
      <c r="T26" s="292"/>
      <c r="U26" s="35"/>
      <c r="V26" s="291"/>
      <c r="W26" s="291"/>
      <c r="X26" s="291"/>
      <c r="Y26" s="291"/>
      <c r="Z26" s="291"/>
      <c r="AA26" s="291"/>
      <c r="AB26" s="292"/>
      <c r="AC26" s="292"/>
      <c r="AD26" s="292"/>
      <c r="AE26" s="292"/>
      <c r="AF26" s="292"/>
      <c r="AG26" s="35"/>
      <c r="AH26" s="291"/>
      <c r="AI26" s="291"/>
      <c r="AJ26" s="291"/>
      <c r="AK26" s="291"/>
      <c r="AL26" s="291"/>
      <c r="AM26" s="291"/>
      <c r="AN26" s="292"/>
      <c r="AO26" s="292"/>
      <c r="AP26" s="292"/>
      <c r="AQ26" s="292"/>
      <c r="AR26" s="292"/>
      <c r="AS26" s="35"/>
      <c r="AT26" s="291"/>
      <c r="AU26" s="291"/>
      <c r="AV26" s="291"/>
      <c r="AW26" s="291"/>
      <c r="AX26" s="291"/>
      <c r="AY26" s="291"/>
      <c r="AZ26" s="292"/>
      <c r="BA26" s="292"/>
      <c r="BB26" s="292"/>
      <c r="BC26" s="292"/>
      <c r="BD26" s="292"/>
      <c r="BE26" s="35"/>
      <c r="BF26" s="291"/>
      <c r="BG26" s="291"/>
      <c r="BH26" s="291"/>
      <c r="BI26" s="291"/>
      <c r="BJ26" s="291"/>
      <c r="BK26" s="291"/>
      <c r="BL26" s="292"/>
      <c r="BM26" s="292"/>
      <c r="BN26" s="292"/>
      <c r="BO26" s="292"/>
      <c r="BP26" s="292"/>
      <c r="BQ26" s="35"/>
      <c r="BR26" s="291"/>
      <c r="BS26" s="291"/>
      <c r="BT26" s="291"/>
      <c r="BU26" s="291"/>
      <c r="BV26" s="291"/>
      <c r="BW26" s="291"/>
      <c r="BX26" s="292"/>
      <c r="BY26" s="292"/>
      <c r="BZ26" s="292"/>
      <c r="CA26" s="292"/>
      <c r="CB26" s="292"/>
      <c r="CC26" s="35"/>
      <c r="CD26" s="291"/>
      <c r="CE26" s="291"/>
      <c r="CF26" s="291"/>
      <c r="CG26" s="291"/>
      <c r="CH26" s="291"/>
      <c r="CI26" s="291"/>
      <c r="CJ26" s="292"/>
      <c r="CK26" s="292"/>
      <c r="CL26" s="292"/>
      <c r="CM26" s="292"/>
      <c r="CN26" s="292"/>
      <c r="CO26" s="35"/>
      <c r="CP26" s="291"/>
      <c r="CQ26" s="291"/>
      <c r="CR26" s="291"/>
      <c r="CS26" s="291"/>
      <c r="CT26" s="291"/>
      <c r="CU26" s="291"/>
      <c r="CV26" s="292"/>
      <c r="CW26" s="292"/>
      <c r="CX26" s="292"/>
      <c r="CY26" s="292"/>
      <c r="CZ26" s="292"/>
      <c r="DA26" s="35"/>
      <c r="DB26" s="291"/>
      <c r="DC26" s="291"/>
      <c r="DD26" s="291"/>
      <c r="DE26" s="291"/>
      <c r="DF26" s="291"/>
      <c r="DG26" s="291"/>
      <c r="DH26" s="292"/>
      <c r="DI26" s="292"/>
      <c r="DJ26" s="292"/>
      <c r="DK26" s="292"/>
      <c r="DL26" s="292"/>
      <c r="DM26" s="35"/>
      <c r="DN26" s="291"/>
      <c r="DO26" s="291"/>
      <c r="DP26" s="291"/>
      <c r="DQ26" s="291"/>
      <c r="DR26" s="291"/>
      <c r="DS26" s="291"/>
      <c r="DT26" s="292"/>
      <c r="DU26" s="292"/>
      <c r="DV26" s="292"/>
      <c r="DW26" s="292"/>
      <c r="DX26" s="292"/>
      <c r="DY26" s="35"/>
      <c r="DZ26" s="291"/>
      <c r="EA26" s="291"/>
      <c r="EB26" s="291"/>
      <c r="EC26" s="291"/>
      <c r="ED26" s="291"/>
      <c r="EE26" s="291"/>
      <c r="EF26" s="292"/>
      <c r="EG26" s="292"/>
      <c r="EH26" s="292"/>
      <c r="EI26" s="292"/>
      <c r="EJ26" s="292"/>
      <c r="EK26" s="35"/>
      <c r="EL26" s="291"/>
      <c r="EM26" s="291"/>
      <c r="EN26" s="291"/>
      <c r="EO26" s="291"/>
      <c r="EP26" s="291"/>
      <c r="EQ26" s="291"/>
      <c r="ER26" s="292"/>
      <c r="ES26" s="292"/>
      <c r="ET26" s="292"/>
      <c r="EU26" s="292"/>
      <c r="EV26" s="292"/>
      <c r="EW26" s="35"/>
      <c r="EX26" s="291"/>
      <c r="EY26" s="291"/>
      <c r="EZ26" s="291"/>
      <c r="FA26" s="291"/>
      <c r="FB26" s="291"/>
      <c r="FC26" s="291"/>
      <c r="FD26" s="292"/>
      <c r="FE26" s="292"/>
      <c r="FF26" s="292"/>
      <c r="FG26" s="292"/>
      <c r="FH26" s="292"/>
      <c r="FI26" s="35"/>
      <c r="FJ26" s="291"/>
      <c r="FK26" s="291"/>
      <c r="FL26" s="291"/>
      <c r="FM26" s="291"/>
      <c r="FN26" s="291"/>
      <c r="FO26" s="291"/>
      <c r="FP26" s="292"/>
      <c r="FQ26" s="292"/>
      <c r="FR26" s="292"/>
      <c r="FS26" s="292"/>
      <c r="FT26" s="292"/>
      <c r="FU26" s="35"/>
      <c r="FV26" s="291"/>
      <c r="FW26" s="291"/>
      <c r="FX26" s="291"/>
      <c r="FY26" s="291"/>
      <c r="FZ26" s="291"/>
      <c r="GA26" s="291"/>
      <c r="GB26" s="292"/>
      <c r="GC26" s="292"/>
      <c r="GD26" s="292"/>
      <c r="GE26" s="292"/>
      <c r="GF26" s="292"/>
      <c r="GG26" s="35"/>
      <c r="GH26" s="291"/>
      <c r="GI26" s="291"/>
      <c r="GJ26" s="291"/>
      <c r="GK26" s="291"/>
      <c r="GL26" s="291"/>
      <c r="GM26" s="291"/>
      <c r="GN26" s="292"/>
      <c r="GO26" s="292"/>
      <c r="GP26" s="292"/>
      <c r="GQ26" s="292"/>
      <c r="GR26" s="292"/>
      <c r="GS26" s="35"/>
      <c r="GT26" s="291"/>
      <c r="GU26" s="291"/>
      <c r="GV26" s="291"/>
      <c r="GW26" s="291"/>
      <c r="GX26" s="291"/>
      <c r="GY26" s="291"/>
      <c r="GZ26" s="292"/>
      <c r="HA26" s="292"/>
      <c r="HB26" s="292"/>
      <c r="HC26" s="292"/>
      <c r="HD26" s="292"/>
      <c r="HE26" s="35"/>
      <c r="HF26" s="291"/>
      <c r="HG26" s="291"/>
      <c r="HH26" s="291"/>
      <c r="HI26" s="291"/>
      <c r="HJ26" s="291"/>
      <c r="HK26" s="291"/>
      <c r="HL26" s="292"/>
      <c r="HM26" s="292"/>
      <c r="HN26" s="292"/>
      <c r="HO26" s="292"/>
      <c r="HP26" s="292"/>
      <c r="HQ26" s="35"/>
      <c r="HR26" s="291"/>
      <c r="HS26" s="291"/>
      <c r="HT26" s="291"/>
      <c r="HU26" s="291"/>
      <c r="HV26" s="291"/>
      <c r="HW26" s="291"/>
      <c r="HX26" s="292"/>
      <c r="HY26" s="292"/>
      <c r="HZ26" s="292"/>
      <c r="IA26" s="292"/>
      <c r="IB26" s="292"/>
      <c r="IC26" s="35"/>
      <c r="ID26" s="291"/>
      <c r="IE26" s="291"/>
      <c r="IF26" s="291"/>
      <c r="IG26" s="291"/>
      <c r="IH26" s="291"/>
      <c r="II26" s="291"/>
      <c r="IJ26" s="292"/>
      <c r="IK26" s="292"/>
      <c r="IL26" s="292"/>
      <c r="IM26" s="292"/>
      <c r="IN26" s="292"/>
      <c r="IO26" s="35"/>
      <c r="IP26" s="291"/>
      <c r="IQ26" s="291"/>
      <c r="IR26" s="291"/>
    </row>
    <row r="27" spans="1:252" s="5" customFormat="1" ht="14.25">
      <c r="A27" s="35" t="s">
        <v>11</v>
      </c>
      <c r="B27" s="291">
        <v>6.9</v>
      </c>
      <c r="C27" s="291">
        <v>5.6</v>
      </c>
      <c r="D27" s="291">
        <v>6.8</v>
      </c>
      <c r="E27" s="291">
        <v>10.3</v>
      </c>
      <c r="F27" s="291">
        <v>11.3</v>
      </c>
      <c r="G27" s="397">
        <v>12.3</v>
      </c>
      <c r="H27" s="291">
        <v>13</v>
      </c>
      <c r="I27" s="291">
        <v>11.4</v>
      </c>
      <c r="J27" s="291">
        <v>10.4</v>
      </c>
      <c r="K27" s="291">
        <v>9.8000000000000007</v>
      </c>
      <c r="L27" s="291"/>
      <c r="M27" s="291"/>
      <c r="N27" s="291"/>
      <c r="O27" s="291"/>
      <c r="P27" s="292"/>
      <c r="Q27" s="292"/>
      <c r="R27" s="292"/>
      <c r="S27" s="292"/>
      <c r="T27" s="292"/>
      <c r="U27" s="35"/>
      <c r="V27" s="291"/>
      <c r="W27" s="291"/>
      <c r="X27" s="291"/>
      <c r="Y27" s="291"/>
      <c r="Z27" s="291"/>
      <c r="AA27" s="291"/>
      <c r="AB27" s="292"/>
      <c r="AC27" s="292"/>
      <c r="AD27" s="292"/>
      <c r="AE27" s="292"/>
      <c r="AF27" s="292"/>
      <c r="AG27" s="35"/>
      <c r="AH27" s="291"/>
      <c r="AI27" s="291"/>
      <c r="AJ27" s="291"/>
      <c r="AK27" s="291"/>
      <c r="AL27" s="291"/>
      <c r="AM27" s="291"/>
      <c r="AN27" s="292"/>
      <c r="AO27" s="292"/>
      <c r="AP27" s="292"/>
      <c r="AQ27" s="292"/>
      <c r="AR27" s="292"/>
      <c r="AS27" s="35"/>
      <c r="AT27" s="291"/>
      <c r="AU27" s="291"/>
      <c r="AV27" s="291"/>
      <c r="AW27" s="291"/>
      <c r="AX27" s="291"/>
      <c r="AY27" s="291"/>
      <c r="AZ27" s="292"/>
      <c r="BA27" s="292"/>
      <c r="BB27" s="292"/>
      <c r="BC27" s="292"/>
      <c r="BD27" s="292"/>
      <c r="BE27" s="35"/>
      <c r="BF27" s="291"/>
      <c r="BG27" s="291"/>
      <c r="BH27" s="291"/>
      <c r="BI27" s="291"/>
      <c r="BJ27" s="291"/>
      <c r="BK27" s="291"/>
      <c r="BL27" s="292"/>
      <c r="BM27" s="292"/>
      <c r="BN27" s="292"/>
      <c r="BO27" s="292"/>
      <c r="BP27" s="292"/>
      <c r="BQ27" s="35"/>
      <c r="BR27" s="291"/>
      <c r="BS27" s="291"/>
      <c r="BT27" s="291"/>
      <c r="BU27" s="291"/>
      <c r="BV27" s="291"/>
      <c r="BW27" s="291"/>
      <c r="BX27" s="292"/>
      <c r="BY27" s="292"/>
      <c r="BZ27" s="292"/>
      <c r="CA27" s="292"/>
      <c r="CB27" s="292"/>
      <c r="CC27" s="35"/>
      <c r="CD27" s="291"/>
      <c r="CE27" s="291"/>
      <c r="CF27" s="291"/>
      <c r="CG27" s="291"/>
      <c r="CH27" s="291"/>
      <c r="CI27" s="291"/>
      <c r="CJ27" s="292"/>
      <c r="CK27" s="292"/>
      <c r="CL27" s="292"/>
      <c r="CM27" s="292"/>
      <c r="CN27" s="292"/>
      <c r="CO27" s="35"/>
      <c r="CP27" s="291"/>
      <c r="CQ27" s="291"/>
      <c r="CR27" s="291"/>
      <c r="CS27" s="291"/>
      <c r="CT27" s="291"/>
      <c r="CU27" s="291"/>
      <c r="CV27" s="292"/>
      <c r="CW27" s="292"/>
      <c r="CX27" s="292"/>
      <c r="CY27" s="292"/>
      <c r="CZ27" s="292"/>
      <c r="DA27" s="35"/>
      <c r="DB27" s="291"/>
      <c r="DC27" s="291"/>
      <c r="DD27" s="291"/>
      <c r="DE27" s="291"/>
      <c r="DF27" s="291"/>
      <c r="DG27" s="291"/>
      <c r="DH27" s="292"/>
      <c r="DI27" s="292"/>
      <c r="DJ27" s="292"/>
      <c r="DK27" s="292"/>
      <c r="DL27" s="292"/>
      <c r="DM27" s="35"/>
      <c r="DN27" s="291"/>
      <c r="DO27" s="291"/>
      <c r="DP27" s="291"/>
      <c r="DQ27" s="291"/>
      <c r="DR27" s="291"/>
      <c r="DS27" s="291"/>
      <c r="DT27" s="292"/>
      <c r="DU27" s="292"/>
      <c r="DV27" s="292"/>
      <c r="DW27" s="292"/>
      <c r="DX27" s="292"/>
      <c r="DY27" s="35"/>
      <c r="DZ27" s="291"/>
      <c r="EA27" s="291"/>
      <c r="EB27" s="291"/>
      <c r="EC27" s="291"/>
      <c r="ED27" s="291"/>
      <c r="EE27" s="291"/>
      <c r="EF27" s="292"/>
      <c r="EG27" s="292"/>
      <c r="EH27" s="292"/>
      <c r="EI27" s="292"/>
      <c r="EJ27" s="292"/>
      <c r="EK27" s="35"/>
      <c r="EL27" s="291"/>
      <c r="EM27" s="291"/>
      <c r="EN27" s="291"/>
      <c r="EO27" s="291"/>
      <c r="EP27" s="291"/>
      <c r="EQ27" s="291"/>
      <c r="ER27" s="292"/>
      <c r="ES27" s="292"/>
      <c r="ET27" s="292"/>
      <c r="EU27" s="292"/>
      <c r="EV27" s="292"/>
      <c r="EW27" s="35"/>
      <c r="EX27" s="291"/>
      <c r="EY27" s="291"/>
      <c r="EZ27" s="291"/>
      <c r="FA27" s="291"/>
      <c r="FB27" s="291"/>
      <c r="FC27" s="291"/>
      <c r="FD27" s="292"/>
      <c r="FE27" s="292"/>
      <c r="FF27" s="292"/>
      <c r="FG27" s="292"/>
      <c r="FH27" s="292"/>
      <c r="FI27" s="35"/>
      <c r="FJ27" s="291"/>
      <c r="FK27" s="291"/>
      <c r="FL27" s="291"/>
      <c r="FM27" s="291"/>
      <c r="FN27" s="291"/>
      <c r="FO27" s="291"/>
      <c r="FP27" s="292"/>
      <c r="FQ27" s="292"/>
      <c r="FR27" s="292"/>
      <c r="FS27" s="292"/>
      <c r="FT27" s="292"/>
      <c r="FU27" s="35"/>
      <c r="FV27" s="291"/>
      <c r="FW27" s="291"/>
      <c r="FX27" s="291"/>
      <c r="FY27" s="291"/>
      <c r="FZ27" s="291"/>
      <c r="GA27" s="291"/>
      <c r="GB27" s="292"/>
      <c r="GC27" s="292"/>
      <c r="GD27" s="292"/>
      <c r="GE27" s="292"/>
      <c r="GF27" s="292"/>
      <c r="GG27" s="35"/>
      <c r="GH27" s="291"/>
      <c r="GI27" s="291"/>
      <c r="GJ27" s="291"/>
      <c r="GK27" s="291"/>
      <c r="GL27" s="291"/>
      <c r="GM27" s="291"/>
      <c r="GN27" s="292"/>
      <c r="GO27" s="292"/>
      <c r="GP27" s="292"/>
      <c r="GQ27" s="292"/>
      <c r="GR27" s="292"/>
      <c r="GS27" s="35"/>
      <c r="GT27" s="291"/>
      <c r="GU27" s="291"/>
      <c r="GV27" s="291"/>
      <c r="GW27" s="291"/>
      <c r="GX27" s="291"/>
      <c r="GY27" s="291"/>
      <c r="GZ27" s="292"/>
      <c r="HA27" s="292"/>
      <c r="HB27" s="292"/>
      <c r="HC27" s="292"/>
      <c r="HD27" s="292"/>
      <c r="HE27" s="35"/>
      <c r="HF27" s="291"/>
      <c r="HG27" s="291"/>
      <c r="HH27" s="291"/>
      <c r="HI27" s="291"/>
      <c r="HJ27" s="291"/>
      <c r="HK27" s="291"/>
      <c r="HL27" s="292"/>
      <c r="HM27" s="292"/>
      <c r="HN27" s="292"/>
      <c r="HO27" s="292"/>
      <c r="HP27" s="292"/>
      <c r="HQ27" s="35"/>
      <c r="HR27" s="291"/>
      <c r="HS27" s="291"/>
      <c r="HT27" s="291"/>
      <c r="HU27" s="291"/>
      <c r="HV27" s="291"/>
      <c r="HW27" s="291"/>
      <c r="HX27" s="292"/>
      <c r="HY27" s="292"/>
      <c r="HZ27" s="292"/>
      <c r="IA27" s="292"/>
      <c r="IB27" s="292"/>
      <c r="IC27" s="35"/>
      <c r="ID27" s="291"/>
      <c r="IE27" s="291"/>
      <c r="IF27" s="291"/>
      <c r="IG27" s="291"/>
      <c r="IH27" s="291"/>
      <c r="II27" s="291"/>
      <c r="IJ27" s="292"/>
      <c r="IK27" s="292"/>
      <c r="IL27" s="292"/>
      <c r="IM27" s="292"/>
      <c r="IN27" s="292"/>
      <c r="IO27" s="35"/>
      <c r="IP27" s="291"/>
      <c r="IQ27" s="291"/>
      <c r="IR27" s="291"/>
    </row>
    <row r="28" spans="1:252" s="5" customFormat="1" ht="14.25">
      <c r="A28" s="35" t="s">
        <v>33</v>
      </c>
      <c r="B28" s="291">
        <v>5.3</v>
      </c>
      <c r="C28" s="291">
        <v>4.4000000000000004</v>
      </c>
      <c r="D28" s="291">
        <v>6.7</v>
      </c>
      <c r="E28" s="291">
        <v>7.3</v>
      </c>
      <c r="F28" s="291">
        <v>6.7</v>
      </c>
      <c r="G28" s="397">
        <v>7</v>
      </c>
      <c r="H28" s="291">
        <v>7</v>
      </c>
      <c r="I28" s="291">
        <v>6.1</v>
      </c>
      <c r="J28" s="291">
        <v>5.6</v>
      </c>
      <c r="K28" s="291">
        <v>5.5</v>
      </c>
      <c r="L28" s="291"/>
      <c r="M28" s="292"/>
      <c r="N28" s="291"/>
      <c r="O28" s="291"/>
      <c r="P28" s="292"/>
      <c r="Q28" s="292"/>
      <c r="R28" s="292"/>
      <c r="S28" s="292"/>
      <c r="T28" s="292"/>
      <c r="U28" s="35"/>
      <c r="V28" s="291"/>
      <c r="W28" s="291"/>
      <c r="X28" s="291"/>
      <c r="Y28" s="292"/>
      <c r="Z28" s="291"/>
      <c r="AA28" s="291"/>
      <c r="AB28" s="292"/>
      <c r="AC28" s="292"/>
      <c r="AD28" s="292"/>
      <c r="AE28" s="292"/>
      <c r="AF28" s="292"/>
      <c r="AG28" s="35"/>
      <c r="AH28" s="291"/>
      <c r="AI28" s="291"/>
      <c r="AJ28" s="291"/>
      <c r="AK28" s="292"/>
      <c r="AL28" s="291"/>
      <c r="AM28" s="291"/>
      <c r="AN28" s="292"/>
      <c r="AO28" s="292"/>
      <c r="AP28" s="292"/>
      <c r="AQ28" s="292"/>
      <c r="AR28" s="292"/>
      <c r="AS28" s="35"/>
      <c r="AT28" s="291"/>
      <c r="AU28" s="291"/>
      <c r="AV28" s="291"/>
      <c r="AW28" s="292"/>
      <c r="AX28" s="291"/>
      <c r="AY28" s="291"/>
      <c r="AZ28" s="292"/>
      <c r="BA28" s="292"/>
      <c r="BB28" s="292"/>
      <c r="BC28" s="292"/>
      <c r="BD28" s="292"/>
      <c r="BE28" s="35"/>
      <c r="BF28" s="291"/>
      <c r="BG28" s="291"/>
      <c r="BH28" s="291"/>
      <c r="BI28" s="292"/>
      <c r="BJ28" s="291"/>
      <c r="BK28" s="291"/>
      <c r="BL28" s="292"/>
      <c r="BM28" s="292"/>
      <c r="BN28" s="292"/>
      <c r="BO28" s="292"/>
      <c r="BP28" s="292"/>
      <c r="BQ28" s="35"/>
      <c r="BR28" s="291"/>
      <c r="BS28" s="291"/>
      <c r="BT28" s="291"/>
      <c r="BU28" s="292"/>
      <c r="BV28" s="291"/>
      <c r="BW28" s="291"/>
      <c r="BX28" s="292"/>
      <c r="BY28" s="292"/>
      <c r="BZ28" s="292"/>
      <c r="CA28" s="292"/>
      <c r="CB28" s="292"/>
      <c r="CC28" s="35"/>
      <c r="CD28" s="291"/>
      <c r="CE28" s="291"/>
      <c r="CF28" s="291"/>
      <c r="CG28" s="292"/>
      <c r="CH28" s="291"/>
      <c r="CI28" s="291"/>
      <c r="CJ28" s="292"/>
      <c r="CK28" s="292"/>
      <c r="CL28" s="292"/>
      <c r="CM28" s="292"/>
      <c r="CN28" s="292"/>
      <c r="CO28" s="35"/>
      <c r="CP28" s="291"/>
      <c r="CQ28" s="291"/>
      <c r="CR28" s="291"/>
      <c r="CS28" s="292"/>
      <c r="CT28" s="291"/>
      <c r="CU28" s="291"/>
      <c r="CV28" s="292"/>
      <c r="CW28" s="292"/>
      <c r="CX28" s="292"/>
      <c r="CY28" s="292"/>
      <c r="CZ28" s="292"/>
      <c r="DA28" s="35"/>
      <c r="DB28" s="291"/>
      <c r="DC28" s="291"/>
      <c r="DD28" s="291"/>
      <c r="DE28" s="292"/>
      <c r="DF28" s="291"/>
      <c r="DG28" s="291"/>
      <c r="DH28" s="292"/>
      <c r="DI28" s="292"/>
      <c r="DJ28" s="292"/>
      <c r="DK28" s="292"/>
      <c r="DL28" s="292"/>
      <c r="DM28" s="35"/>
      <c r="DN28" s="291"/>
      <c r="DO28" s="291"/>
      <c r="DP28" s="291"/>
      <c r="DQ28" s="292"/>
      <c r="DR28" s="291"/>
      <c r="DS28" s="291"/>
      <c r="DT28" s="292"/>
      <c r="DU28" s="292"/>
      <c r="DV28" s="292"/>
      <c r="DW28" s="292"/>
      <c r="DX28" s="292"/>
      <c r="DY28" s="35"/>
      <c r="DZ28" s="291"/>
      <c r="EA28" s="291"/>
      <c r="EB28" s="291"/>
      <c r="EC28" s="292"/>
      <c r="ED28" s="291"/>
      <c r="EE28" s="291"/>
      <c r="EF28" s="292"/>
      <c r="EG28" s="292"/>
      <c r="EH28" s="292"/>
      <c r="EI28" s="292"/>
      <c r="EJ28" s="292"/>
      <c r="EK28" s="35"/>
      <c r="EL28" s="291"/>
      <c r="EM28" s="291"/>
      <c r="EN28" s="291"/>
      <c r="EO28" s="292"/>
      <c r="EP28" s="291"/>
      <c r="EQ28" s="291"/>
      <c r="ER28" s="292"/>
      <c r="ES28" s="292"/>
      <c r="ET28" s="292"/>
      <c r="EU28" s="292"/>
      <c r="EV28" s="292"/>
      <c r="EW28" s="35"/>
      <c r="EX28" s="291"/>
      <c r="EY28" s="291"/>
      <c r="EZ28" s="291"/>
      <c r="FA28" s="292"/>
      <c r="FB28" s="291"/>
      <c r="FC28" s="291"/>
      <c r="FD28" s="292"/>
      <c r="FE28" s="292"/>
      <c r="FF28" s="292"/>
      <c r="FG28" s="292"/>
      <c r="FH28" s="292"/>
      <c r="FI28" s="35"/>
      <c r="FJ28" s="291"/>
      <c r="FK28" s="291"/>
      <c r="FL28" s="291"/>
      <c r="FM28" s="292"/>
      <c r="FN28" s="291"/>
      <c r="FO28" s="291"/>
      <c r="FP28" s="292"/>
      <c r="FQ28" s="292"/>
      <c r="FR28" s="292"/>
      <c r="FS28" s="292"/>
      <c r="FT28" s="292"/>
      <c r="FU28" s="35"/>
      <c r="FV28" s="291"/>
      <c r="FW28" s="291"/>
      <c r="FX28" s="291"/>
      <c r="FY28" s="292"/>
      <c r="FZ28" s="291"/>
      <c r="GA28" s="291"/>
      <c r="GB28" s="292"/>
      <c r="GC28" s="292"/>
      <c r="GD28" s="292"/>
      <c r="GE28" s="292"/>
      <c r="GF28" s="292"/>
      <c r="GG28" s="35"/>
      <c r="GH28" s="291"/>
      <c r="GI28" s="291"/>
      <c r="GJ28" s="291"/>
      <c r="GK28" s="292"/>
      <c r="GL28" s="291"/>
      <c r="GM28" s="291"/>
      <c r="GN28" s="292"/>
      <c r="GO28" s="292"/>
      <c r="GP28" s="292"/>
      <c r="GQ28" s="292"/>
      <c r="GR28" s="292"/>
      <c r="GS28" s="35"/>
      <c r="GT28" s="291"/>
      <c r="GU28" s="291"/>
      <c r="GV28" s="291"/>
      <c r="GW28" s="292"/>
      <c r="GX28" s="291"/>
      <c r="GY28" s="291"/>
      <c r="GZ28" s="292"/>
      <c r="HA28" s="292"/>
      <c r="HB28" s="292"/>
      <c r="HC28" s="292"/>
      <c r="HD28" s="292"/>
      <c r="HE28" s="35"/>
      <c r="HF28" s="291"/>
      <c r="HG28" s="291"/>
      <c r="HH28" s="291"/>
      <c r="HI28" s="292"/>
      <c r="HJ28" s="291"/>
      <c r="HK28" s="291"/>
      <c r="HL28" s="292"/>
      <c r="HM28" s="292"/>
      <c r="HN28" s="292"/>
      <c r="HO28" s="292"/>
      <c r="HP28" s="292"/>
      <c r="HQ28" s="35"/>
      <c r="HR28" s="291"/>
      <c r="HS28" s="291"/>
      <c r="HT28" s="291"/>
      <c r="HU28" s="292"/>
      <c r="HV28" s="291"/>
      <c r="HW28" s="291"/>
      <c r="HX28" s="292"/>
      <c r="HY28" s="292"/>
      <c r="HZ28" s="292"/>
      <c r="IA28" s="292"/>
      <c r="IB28" s="292"/>
      <c r="IC28" s="35"/>
      <c r="ID28" s="291"/>
      <c r="IE28" s="291"/>
      <c r="IF28" s="291"/>
      <c r="IG28" s="292"/>
      <c r="IH28" s="291"/>
      <c r="II28" s="291"/>
      <c r="IJ28" s="292"/>
      <c r="IK28" s="292"/>
      <c r="IL28" s="292"/>
      <c r="IM28" s="292"/>
      <c r="IN28" s="292"/>
      <c r="IO28" s="35"/>
      <c r="IP28" s="291"/>
      <c r="IQ28" s="291"/>
      <c r="IR28" s="291"/>
    </row>
    <row r="29" spans="1:252" s="5" customFormat="1" ht="14.25">
      <c r="A29" s="35" t="s">
        <v>10</v>
      </c>
      <c r="B29" s="291">
        <v>3.8</v>
      </c>
      <c r="C29" s="291">
        <v>3.4</v>
      </c>
      <c r="D29" s="291">
        <v>6</v>
      </c>
      <c r="E29" s="291">
        <v>7.5</v>
      </c>
      <c r="F29" s="291">
        <v>7.6</v>
      </c>
      <c r="G29" s="397">
        <v>7.5</v>
      </c>
      <c r="H29" s="291">
        <v>7</v>
      </c>
      <c r="I29" s="291">
        <v>6.6</v>
      </c>
      <c r="J29" s="291">
        <v>6.2</v>
      </c>
      <c r="K29" s="291">
        <v>5.9</v>
      </c>
      <c r="L29" s="291"/>
      <c r="M29" s="291"/>
      <c r="N29" s="291"/>
      <c r="O29" s="291"/>
      <c r="P29" s="291"/>
      <c r="Q29" s="291"/>
      <c r="R29" s="291"/>
      <c r="S29" s="291"/>
      <c r="T29" s="291"/>
      <c r="U29" s="36"/>
      <c r="V29" s="291"/>
      <c r="W29" s="291"/>
      <c r="X29" s="291"/>
      <c r="Y29" s="291"/>
      <c r="Z29" s="291"/>
      <c r="AA29" s="291"/>
      <c r="AB29" s="291"/>
      <c r="AC29" s="291"/>
      <c r="AD29" s="291"/>
      <c r="AE29" s="291"/>
      <c r="AF29" s="291"/>
      <c r="AG29" s="36"/>
      <c r="AH29" s="291"/>
      <c r="AI29" s="291"/>
      <c r="AJ29" s="291"/>
      <c r="AK29" s="291"/>
      <c r="AL29" s="291"/>
      <c r="AM29" s="291"/>
      <c r="AN29" s="291"/>
      <c r="AO29" s="291"/>
      <c r="AP29" s="291"/>
      <c r="AQ29" s="291"/>
      <c r="AR29" s="291"/>
      <c r="AS29" s="36"/>
      <c r="AT29" s="291"/>
      <c r="AU29" s="291"/>
      <c r="AV29" s="291"/>
      <c r="AW29" s="291"/>
      <c r="AX29" s="291"/>
      <c r="AY29" s="291"/>
      <c r="AZ29" s="291"/>
      <c r="BA29" s="291"/>
      <c r="BB29" s="291"/>
      <c r="BC29" s="291"/>
      <c r="BD29" s="291"/>
      <c r="BE29" s="36"/>
      <c r="BF29" s="291"/>
      <c r="BG29" s="291"/>
      <c r="BH29" s="291"/>
      <c r="BI29" s="291"/>
      <c r="BJ29" s="291"/>
      <c r="BK29" s="291"/>
      <c r="BL29" s="291"/>
      <c r="BM29" s="291"/>
      <c r="BN29" s="291"/>
      <c r="BO29" s="291"/>
      <c r="BP29" s="291"/>
      <c r="BQ29" s="36"/>
      <c r="BR29" s="291"/>
      <c r="BS29" s="291"/>
      <c r="BT29" s="291"/>
      <c r="BU29" s="291"/>
      <c r="BV29" s="291"/>
      <c r="BW29" s="291"/>
      <c r="BX29" s="291"/>
      <c r="BY29" s="291"/>
      <c r="BZ29" s="291"/>
      <c r="CA29" s="291"/>
      <c r="CB29" s="291"/>
      <c r="CC29" s="36"/>
      <c r="CD29" s="291"/>
      <c r="CE29" s="291"/>
      <c r="CF29" s="291"/>
      <c r="CG29" s="291"/>
      <c r="CH29" s="291"/>
      <c r="CI29" s="291"/>
      <c r="CJ29" s="291"/>
      <c r="CK29" s="291"/>
      <c r="CL29" s="291"/>
      <c r="CM29" s="291"/>
      <c r="CN29" s="291"/>
      <c r="CO29" s="36"/>
      <c r="CP29" s="291"/>
      <c r="CQ29" s="291"/>
      <c r="CR29" s="291"/>
      <c r="CS29" s="291"/>
      <c r="CT29" s="291"/>
      <c r="CU29" s="291"/>
      <c r="CV29" s="291"/>
      <c r="CW29" s="291"/>
      <c r="CX29" s="291"/>
      <c r="CY29" s="291"/>
      <c r="CZ29" s="291"/>
      <c r="DA29" s="36"/>
      <c r="DB29" s="291"/>
      <c r="DC29" s="291"/>
      <c r="DD29" s="291"/>
      <c r="DE29" s="291"/>
      <c r="DF29" s="291"/>
      <c r="DG29" s="291"/>
      <c r="DH29" s="291"/>
      <c r="DI29" s="291"/>
      <c r="DJ29" s="291"/>
      <c r="DK29" s="291"/>
      <c r="DL29" s="291"/>
      <c r="DM29" s="36"/>
      <c r="DN29" s="291"/>
      <c r="DO29" s="291"/>
      <c r="DP29" s="291"/>
      <c r="DQ29" s="291"/>
      <c r="DR29" s="291"/>
      <c r="DS29" s="291"/>
      <c r="DT29" s="291"/>
      <c r="DU29" s="291"/>
      <c r="DV29" s="291"/>
      <c r="DW29" s="291"/>
      <c r="DX29" s="291"/>
      <c r="DY29" s="36"/>
      <c r="DZ29" s="291"/>
      <c r="EA29" s="291"/>
      <c r="EB29" s="291"/>
      <c r="EC29" s="291"/>
      <c r="ED29" s="291"/>
      <c r="EE29" s="291"/>
      <c r="EF29" s="291"/>
      <c r="EG29" s="291"/>
      <c r="EH29" s="291"/>
      <c r="EI29" s="291"/>
      <c r="EJ29" s="291"/>
      <c r="EK29" s="36"/>
      <c r="EL29" s="291"/>
      <c r="EM29" s="291"/>
      <c r="EN29" s="291"/>
      <c r="EO29" s="291"/>
      <c r="EP29" s="291"/>
      <c r="EQ29" s="291"/>
      <c r="ER29" s="291"/>
      <c r="ES29" s="291"/>
      <c r="ET29" s="291"/>
      <c r="EU29" s="291"/>
      <c r="EV29" s="291"/>
      <c r="EW29" s="36"/>
      <c r="EX29" s="291"/>
      <c r="EY29" s="291"/>
      <c r="EZ29" s="291"/>
      <c r="FA29" s="291"/>
      <c r="FB29" s="291"/>
      <c r="FC29" s="291"/>
      <c r="FD29" s="291"/>
      <c r="FE29" s="291"/>
      <c r="FF29" s="291"/>
      <c r="FG29" s="291"/>
      <c r="FH29" s="291"/>
      <c r="FI29" s="36"/>
      <c r="FJ29" s="291"/>
      <c r="FK29" s="291"/>
      <c r="FL29" s="291"/>
      <c r="FM29" s="291"/>
      <c r="FN29" s="291"/>
      <c r="FO29" s="291"/>
      <c r="FP29" s="291"/>
      <c r="FQ29" s="291"/>
      <c r="FR29" s="291"/>
      <c r="FS29" s="291"/>
      <c r="FT29" s="291"/>
      <c r="FU29" s="36"/>
      <c r="FV29" s="291"/>
      <c r="FW29" s="291"/>
      <c r="FX29" s="291"/>
      <c r="FY29" s="291"/>
      <c r="FZ29" s="291"/>
      <c r="GA29" s="291"/>
      <c r="GB29" s="291"/>
      <c r="GC29" s="291"/>
      <c r="GD29" s="291"/>
      <c r="GE29" s="291"/>
      <c r="GF29" s="291"/>
      <c r="GG29" s="36"/>
      <c r="GH29" s="291"/>
      <c r="GI29" s="291"/>
      <c r="GJ29" s="291"/>
      <c r="GK29" s="291"/>
      <c r="GL29" s="291"/>
      <c r="GM29" s="291"/>
      <c r="GN29" s="291"/>
      <c r="GO29" s="291"/>
      <c r="GP29" s="291"/>
      <c r="GQ29" s="291"/>
      <c r="GR29" s="291"/>
      <c r="GS29" s="36"/>
      <c r="GT29" s="291"/>
      <c r="GU29" s="291"/>
      <c r="GV29" s="291"/>
      <c r="GW29" s="291"/>
      <c r="GX29" s="291"/>
      <c r="GY29" s="291"/>
      <c r="GZ29" s="291"/>
      <c r="HA29" s="291"/>
      <c r="HB29" s="291"/>
      <c r="HC29" s="291"/>
      <c r="HD29" s="291"/>
      <c r="HE29" s="36"/>
      <c r="HF29" s="291"/>
      <c r="HG29" s="291"/>
      <c r="HH29" s="291"/>
      <c r="HI29" s="291"/>
      <c r="HJ29" s="291"/>
      <c r="HK29" s="291"/>
      <c r="HL29" s="291"/>
      <c r="HM29" s="291"/>
      <c r="HN29" s="291"/>
      <c r="HO29" s="291"/>
      <c r="HP29" s="291"/>
      <c r="HQ29" s="36"/>
      <c r="HR29" s="291"/>
      <c r="HS29" s="291"/>
      <c r="HT29" s="291"/>
      <c r="HU29" s="291"/>
      <c r="HV29" s="291"/>
      <c r="HW29" s="291"/>
      <c r="HX29" s="291"/>
      <c r="HY29" s="291"/>
      <c r="HZ29" s="291"/>
      <c r="IA29" s="291"/>
      <c r="IB29" s="291"/>
      <c r="IC29" s="36"/>
      <c r="ID29" s="291"/>
      <c r="IE29" s="291"/>
      <c r="IF29" s="291"/>
      <c r="IG29" s="291"/>
      <c r="IH29" s="291"/>
      <c r="II29" s="291"/>
      <c r="IJ29" s="291"/>
      <c r="IK29" s="291"/>
      <c r="IL29" s="291"/>
      <c r="IM29" s="291"/>
      <c r="IN29" s="291"/>
      <c r="IO29" s="36"/>
      <c r="IP29" s="291"/>
      <c r="IQ29" s="291"/>
      <c r="IR29" s="291"/>
    </row>
    <row r="30" spans="1:252" s="5" customFormat="1" ht="14.25">
      <c r="A30" s="35" t="s">
        <v>816</v>
      </c>
      <c r="B30" s="291">
        <v>9.9</v>
      </c>
      <c r="C30" s="291">
        <v>8.6</v>
      </c>
      <c r="D30" s="291">
        <v>9.1999999999999993</v>
      </c>
      <c r="E30" s="291">
        <v>11.7</v>
      </c>
      <c r="F30" s="291">
        <v>13.7</v>
      </c>
      <c r="G30" s="397">
        <v>16</v>
      </c>
      <c r="H30" s="291">
        <v>17.3</v>
      </c>
      <c r="I30" s="291">
        <v>17.3</v>
      </c>
      <c r="J30" s="291">
        <v>17</v>
      </c>
      <c r="K30" s="291">
        <v>16.600000000000001</v>
      </c>
      <c r="L30" s="291"/>
      <c r="M30" s="291"/>
      <c r="N30" s="291"/>
      <c r="O30" s="291"/>
      <c r="P30" s="291"/>
      <c r="Q30" s="291"/>
      <c r="R30" s="291"/>
      <c r="S30" s="291"/>
      <c r="T30" s="291"/>
      <c r="U30" s="35"/>
      <c r="V30" s="291"/>
      <c r="W30" s="291"/>
      <c r="X30" s="291"/>
      <c r="Y30" s="291"/>
      <c r="Z30" s="291"/>
      <c r="AA30" s="291"/>
      <c r="AB30" s="291"/>
      <c r="AC30" s="291"/>
      <c r="AD30" s="291"/>
      <c r="AE30" s="291"/>
      <c r="AF30" s="291"/>
      <c r="AG30" s="35"/>
      <c r="AH30" s="291"/>
      <c r="AI30" s="291"/>
      <c r="AJ30" s="291"/>
      <c r="AK30" s="291"/>
      <c r="AL30" s="291"/>
      <c r="AM30" s="291"/>
      <c r="AN30" s="291"/>
      <c r="AO30" s="291"/>
      <c r="AP30" s="291"/>
      <c r="AQ30" s="291"/>
      <c r="AR30" s="291"/>
      <c r="AS30" s="35"/>
      <c r="AT30" s="291"/>
      <c r="AU30" s="291"/>
      <c r="AV30" s="291"/>
      <c r="AW30" s="291"/>
      <c r="AX30" s="291"/>
      <c r="AY30" s="291"/>
      <c r="AZ30" s="291"/>
      <c r="BA30" s="291"/>
      <c r="BB30" s="291"/>
      <c r="BC30" s="291"/>
      <c r="BD30" s="291"/>
      <c r="BE30" s="35"/>
      <c r="BF30" s="291"/>
      <c r="BG30" s="291"/>
      <c r="BH30" s="291"/>
      <c r="BI30" s="291"/>
      <c r="BJ30" s="291"/>
      <c r="BK30" s="291"/>
      <c r="BL30" s="291"/>
      <c r="BM30" s="291"/>
      <c r="BN30" s="291"/>
      <c r="BO30" s="291"/>
      <c r="BP30" s="291"/>
      <c r="BQ30" s="35"/>
      <c r="BR30" s="291"/>
      <c r="BS30" s="291"/>
      <c r="BT30" s="291"/>
      <c r="BU30" s="291"/>
      <c r="BV30" s="291"/>
      <c r="BW30" s="291"/>
      <c r="BX30" s="291"/>
      <c r="BY30" s="291"/>
      <c r="BZ30" s="291"/>
      <c r="CA30" s="291"/>
      <c r="CB30" s="291"/>
      <c r="CC30" s="35"/>
      <c r="CD30" s="291"/>
      <c r="CE30" s="291"/>
      <c r="CF30" s="291"/>
      <c r="CG30" s="291"/>
      <c r="CH30" s="291"/>
      <c r="CI30" s="291"/>
      <c r="CJ30" s="291"/>
      <c r="CK30" s="291"/>
      <c r="CL30" s="291"/>
      <c r="CM30" s="291"/>
      <c r="CN30" s="291"/>
      <c r="CO30" s="35"/>
      <c r="CP30" s="291"/>
      <c r="CQ30" s="291"/>
      <c r="CR30" s="291"/>
      <c r="CS30" s="291"/>
      <c r="CT30" s="291"/>
      <c r="CU30" s="291"/>
      <c r="CV30" s="291"/>
      <c r="CW30" s="291"/>
      <c r="CX30" s="291"/>
      <c r="CY30" s="291"/>
      <c r="CZ30" s="291"/>
      <c r="DA30" s="35"/>
      <c r="DB30" s="291"/>
      <c r="DC30" s="291"/>
      <c r="DD30" s="291"/>
      <c r="DE30" s="291"/>
      <c r="DF30" s="291"/>
      <c r="DG30" s="291"/>
      <c r="DH30" s="291"/>
      <c r="DI30" s="291"/>
      <c r="DJ30" s="291"/>
      <c r="DK30" s="291"/>
      <c r="DL30" s="291"/>
      <c r="DM30" s="35"/>
      <c r="DN30" s="291"/>
      <c r="DO30" s="291"/>
      <c r="DP30" s="291"/>
      <c r="DQ30" s="291"/>
      <c r="DR30" s="291"/>
      <c r="DS30" s="291"/>
      <c r="DT30" s="291"/>
      <c r="DU30" s="291"/>
      <c r="DV30" s="291"/>
      <c r="DW30" s="291"/>
      <c r="DX30" s="291"/>
      <c r="DY30" s="35"/>
      <c r="DZ30" s="291"/>
      <c r="EA30" s="291"/>
      <c r="EB30" s="291"/>
      <c r="EC30" s="291"/>
      <c r="ED30" s="291"/>
      <c r="EE30" s="291"/>
      <c r="EF30" s="291"/>
      <c r="EG30" s="291"/>
      <c r="EH30" s="291"/>
      <c r="EI30" s="291"/>
      <c r="EJ30" s="291"/>
      <c r="EK30" s="35"/>
      <c r="EL30" s="291"/>
      <c r="EM30" s="291"/>
      <c r="EN30" s="291"/>
      <c r="EO30" s="291"/>
      <c r="EP30" s="291"/>
      <c r="EQ30" s="291"/>
      <c r="ER30" s="291"/>
      <c r="ES30" s="291"/>
      <c r="ET30" s="291"/>
      <c r="EU30" s="291"/>
      <c r="EV30" s="291"/>
      <c r="EW30" s="35"/>
      <c r="EX30" s="291"/>
      <c r="EY30" s="291"/>
      <c r="EZ30" s="291"/>
      <c r="FA30" s="291"/>
      <c r="FB30" s="291"/>
      <c r="FC30" s="291"/>
      <c r="FD30" s="291"/>
      <c r="FE30" s="291"/>
      <c r="FF30" s="291"/>
      <c r="FG30" s="291"/>
      <c r="FH30" s="291"/>
      <c r="FI30" s="35"/>
      <c r="FJ30" s="291"/>
      <c r="FK30" s="291"/>
      <c r="FL30" s="291"/>
      <c r="FM30" s="291"/>
      <c r="FN30" s="291"/>
      <c r="FO30" s="291"/>
      <c r="FP30" s="291"/>
      <c r="FQ30" s="291"/>
      <c r="FR30" s="291"/>
      <c r="FS30" s="291"/>
      <c r="FT30" s="291"/>
      <c r="FU30" s="35"/>
      <c r="FV30" s="291"/>
      <c r="FW30" s="291"/>
      <c r="FX30" s="291"/>
      <c r="FY30" s="291"/>
      <c r="FZ30" s="291"/>
      <c r="GA30" s="291"/>
      <c r="GB30" s="291"/>
      <c r="GC30" s="291"/>
      <c r="GD30" s="291"/>
      <c r="GE30" s="291"/>
      <c r="GF30" s="291"/>
      <c r="GG30" s="35"/>
      <c r="GH30" s="291"/>
      <c r="GI30" s="291"/>
      <c r="GJ30" s="291"/>
      <c r="GK30" s="291"/>
      <c r="GL30" s="291"/>
      <c r="GM30" s="291"/>
      <c r="GN30" s="291"/>
      <c r="GO30" s="291"/>
      <c r="GP30" s="291"/>
      <c r="GQ30" s="291"/>
      <c r="GR30" s="291"/>
      <c r="GS30" s="35"/>
      <c r="GT30" s="291"/>
      <c r="GU30" s="291"/>
      <c r="GV30" s="291"/>
      <c r="GW30" s="291"/>
      <c r="GX30" s="291"/>
      <c r="GY30" s="291"/>
      <c r="GZ30" s="291"/>
      <c r="HA30" s="291"/>
      <c r="HB30" s="291"/>
      <c r="HC30" s="291"/>
      <c r="HD30" s="291"/>
      <c r="HE30" s="35"/>
      <c r="HF30" s="291"/>
      <c r="HG30" s="291"/>
      <c r="HH30" s="291"/>
      <c r="HI30" s="291"/>
      <c r="HJ30" s="291"/>
      <c r="HK30" s="291"/>
      <c r="HL30" s="291"/>
      <c r="HM30" s="291"/>
      <c r="HN30" s="291"/>
      <c r="HO30" s="291"/>
      <c r="HP30" s="291"/>
      <c r="HQ30" s="35"/>
      <c r="HR30" s="291"/>
      <c r="HS30" s="291"/>
      <c r="HT30" s="291"/>
      <c r="HU30" s="291"/>
      <c r="HV30" s="291"/>
      <c r="HW30" s="291"/>
      <c r="HX30" s="291"/>
      <c r="HY30" s="291"/>
      <c r="HZ30" s="291"/>
      <c r="IA30" s="291"/>
      <c r="IB30" s="291"/>
      <c r="IC30" s="35"/>
      <c r="ID30" s="291"/>
      <c r="IE30" s="291"/>
      <c r="IF30" s="291"/>
      <c r="IG30" s="291"/>
      <c r="IH30" s="291"/>
      <c r="II30" s="291"/>
      <c r="IJ30" s="291"/>
      <c r="IK30" s="291"/>
      <c r="IL30" s="291"/>
      <c r="IM30" s="291"/>
      <c r="IN30" s="291"/>
      <c r="IO30" s="35"/>
      <c r="IP30" s="291"/>
      <c r="IQ30" s="291"/>
      <c r="IR30" s="291"/>
    </row>
    <row r="31" spans="1:252" s="5" customFormat="1" ht="14.25">
      <c r="A31" s="35" t="s">
        <v>7</v>
      </c>
      <c r="B31" s="291">
        <v>7.4</v>
      </c>
      <c r="C31" s="291">
        <v>7.8</v>
      </c>
      <c r="D31" s="291">
        <v>10</v>
      </c>
      <c r="E31" s="291">
        <v>11.2</v>
      </c>
      <c r="F31" s="291">
        <v>11</v>
      </c>
      <c r="G31" s="397">
        <v>11</v>
      </c>
      <c r="H31" s="291">
        <v>10.199999999999999</v>
      </c>
      <c r="I31" s="291">
        <v>7.7</v>
      </c>
      <c r="J31" s="291">
        <v>6.8</v>
      </c>
      <c r="K31" s="291">
        <v>6</v>
      </c>
      <c r="L31" s="291"/>
      <c r="M31" s="291"/>
      <c r="N31" s="291"/>
      <c r="O31" s="291"/>
      <c r="P31" s="292"/>
      <c r="Q31" s="292"/>
      <c r="R31" s="292"/>
      <c r="S31" s="292"/>
      <c r="T31" s="292"/>
      <c r="U31" s="35"/>
      <c r="V31" s="291"/>
      <c r="W31" s="291"/>
      <c r="X31" s="291"/>
      <c r="Y31" s="291"/>
      <c r="Z31" s="291"/>
      <c r="AA31" s="291"/>
      <c r="AB31" s="292"/>
      <c r="AC31" s="292"/>
      <c r="AD31" s="292"/>
      <c r="AE31" s="292"/>
      <c r="AF31" s="292"/>
      <c r="AG31" s="35"/>
      <c r="AH31" s="291"/>
      <c r="AI31" s="291"/>
      <c r="AJ31" s="291"/>
      <c r="AK31" s="291"/>
      <c r="AL31" s="291"/>
      <c r="AM31" s="291"/>
      <c r="AN31" s="292"/>
      <c r="AO31" s="292"/>
      <c r="AP31" s="292"/>
      <c r="AQ31" s="292"/>
      <c r="AR31" s="292"/>
      <c r="AS31" s="35"/>
      <c r="AT31" s="291"/>
      <c r="AU31" s="291"/>
      <c r="AV31" s="291"/>
      <c r="AW31" s="291"/>
      <c r="AX31" s="291"/>
      <c r="AY31" s="291"/>
      <c r="AZ31" s="292"/>
      <c r="BA31" s="292"/>
      <c r="BB31" s="292"/>
      <c r="BC31" s="292"/>
      <c r="BD31" s="292"/>
      <c r="BE31" s="35"/>
      <c r="BF31" s="291"/>
      <c r="BG31" s="291"/>
      <c r="BH31" s="291"/>
      <c r="BI31" s="291"/>
      <c r="BJ31" s="291"/>
      <c r="BK31" s="291"/>
      <c r="BL31" s="292"/>
      <c r="BM31" s="292"/>
      <c r="BN31" s="292"/>
      <c r="BO31" s="292"/>
      <c r="BP31" s="292"/>
      <c r="BQ31" s="35"/>
      <c r="BR31" s="291"/>
      <c r="BS31" s="291"/>
      <c r="BT31" s="291"/>
      <c r="BU31" s="291"/>
      <c r="BV31" s="291"/>
      <c r="BW31" s="291"/>
      <c r="BX31" s="292"/>
      <c r="BY31" s="292"/>
      <c r="BZ31" s="292"/>
      <c r="CA31" s="292"/>
      <c r="CB31" s="292"/>
      <c r="CC31" s="35"/>
      <c r="CD31" s="291"/>
      <c r="CE31" s="291"/>
      <c r="CF31" s="291"/>
      <c r="CG31" s="291"/>
      <c r="CH31" s="291"/>
      <c r="CI31" s="291"/>
      <c r="CJ31" s="292"/>
      <c r="CK31" s="292"/>
      <c r="CL31" s="292"/>
      <c r="CM31" s="292"/>
      <c r="CN31" s="292"/>
      <c r="CO31" s="35"/>
      <c r="CP31" s="291"/>
      <c r="CQ31" s="291"/>
      <c r="CR31" s="291"/>
      <c r="CS31" s="291"/>
      <c r="CT31" s="291"/>
      <c r="CU31" s="291"/>
      <c r="CV31" s="292"/>
      <c r="CW31" s="292"/>
      <c r="CX31" s="292"/>
      <c r="CY31" s="292"/>
      <c r="CZ31" s="292"/>
      <c r="DA31" s="35"/>
      <c r="DB31" s="291"/>
      <c r="DC31" s="291"/>
      <c r="DD31" s="291"/>
      <c r="DE31" s="291"/>
      <c r="DF31" s="291"/>
      <c r="DG31" s="291"/>
      <c r="DH31" s="292"/>
      <c r="DI31" s="292"/>
      <c r="DJ31" s="292"/>
      <c r="DK31" s="292"/>
      <c r="DL31" s="292"/>
      <c r="DM31" s="35"/>
      <c r="DN31" s="291"/>
      <c r="DO31" s="291"/>
      <c r="DP31" s="291"/>
      <c r="DQ31" s="291"/>
      <c r="DR31" s="291"/>
      <c r="DS31" s="291"/>
      <c r="DT31" s="292"/>
      <c r="DU31" s="292"/>
      <c r="DV31" s="292"/>
      <c r="DW31" s="292"/>
      <c r="DX31" s="292"/>
      <c r="DY31" s="35"/>
      <c r="DZ31" s="291"/>
      <c r="EA31" s="291"/>
      <c r="EB31" s="291"/>
      <c r="EC31" s="291"/>
      <c r="ED31" s="291"/>
      <c r="EE31" s="291"/>
      <c r="EF31" s="292"/>
      <c r="EG31" s="292"/>
      <c r="EH31" s="292"/>
      <c r="EI31" s="292"/>
      <c r="EJ31" s="292"/>
      <c r="EK31" s="35"/>
      <c r="EL31" s="291"/>
      <c r="EM31" s="291"/>
      <c r="EN31" s="291"/>
      <c r="EO31" s="291"/>
      <c r="EP31" s="291"/>
      <c r="EQ31" s="291"/>
      <c r="ER31" s="292"/>
      <c r="ES31" s="292"/>
      <c r="ET31" s="292"/>
      <c r="EU31" s="292"/>
      <c r="EV31" s="292"/>
      <c r="EW31" s="35"/>
      <c r="EX31" s="291"/>
      <c r="EY31" s="291"/>
      <c r="EZ31" s="291"/>
      <c r="FA31" s="291"/>
      <c r="FB31" s="291"/>
      <c r="FC31" s="291"/>
      <c r="FD31" s="292"/>
      <c r="FE31" s="292"/>
      <c r="FF31" s="292"/>
      <c r="FG31" s="292"/>
      <c r="FH31" s="292"/>
      <c r="FI31" s="35"/>
      <c r="FJ31" s="291"/>
      <c r="FK31" s="291"/>
      <c r="FL31" s="291"/>
      <c r="FM31" s="291"/>
      <c r="FN31" s="291"/>
      <c r="FO31" s="291"/>
      <c r="FP31" s="292"/>
      <c r="FQ31" s="292"/>
      <c r="FR31" s="292"/>
      <c r="FS31" s="292"/>
      <c r="FT31" s="292"/>
      <c r="FU31" s="35"/>
      <c r="FV31" s="291"/>
      <c r="FW31" s="291"/>
      <c r="FX31" s="291"/>
      <c r="FY31" s="291"/>
      <c r="FZ31" s="291"/>
      <c r="GA31" s="291"/>
      <c r="GB31" s="292"/>
      <c r="GC31" s="292"/>
      <c r="GD31" s="292"/>
      <c r="GE31" s="292"/>
      <c r="GF31" s="292"/>
      <c r="GG31" s="35"/>
      <c r="GH31" s="291"/>
      <c r="GI31" s="291"/>
      <c r="GJ31" s="291"/>
      <c r="GK31" s="291"/>
      <c r="GL31" s="291"/>
      <c r="GM31" s="291"/>
      <c r="GN31" s="292"/>
      <c r="GO31" s="292"/>
      <c r="GP31" s="292"/>
      <c r="GQ31" s="292"/>
      <c r="GR31" s="292"/>
      <c r="GS31" s="35"/>
      <c r="GT31" s="291"/>
      <c r="GU31" s="291"/>
      <c r="GV31" s="291"/>
      <c r="GW31" s="291"/>
      <c r="GX31" s="291"/>
      <c r="GY31" s="291"/>
      <c r="GZ31" s="292"/>
      <c r="HA31" s="292"/>
      <c r="HB31" s="292"/>
      <c r="HC31" s="292"/>
      <c r="HD31" s="292"/>
      <c r="HE31" s="35"/>
      <c r="HF31" s="291"/>
      <c r="HG31" s="291"/>
      <c r="HH31" s="291"/>
      <c r="HI31" s="291"/>
      <c r="HJ31" s="291"/>
      <c r="HK31" s="291"/>
      <c r="HL31" s="292"/>
      <c r="HM31" s="292"/>
      <c r="HN31" s="292"/>
      <c r="HO31" s="292"/>
      <c r="HP31" s="292"/>
      <c r="HQ31" s="35"/>
      <c r="HR31" s="291"/>
      <c r="HS31" s="291"/>
      <c r="HT31" s="291"/>
      <c r="HU31" s="291"/>
      <c r="HV31" s="291"/>
      <c r="HW31" s="291"/>
      <c r="HX31" s="292"/>
      <c r="HY31" s="292"/>
      <c r="HZ31" s="292"/>
      <c r="IA31" s="292"/>
      <c r="IB31" s="292"/>
      <c r="IC31" s="35"/>
      <c r="ID31" s="291"/>
      <c r="IE31" s="291"/>
      <c r="IF31" s="291"/>
      <c r="IG31" s="291"/>
      <c r="IH31" s="291"/>
      <c r="II31" s="291"/>
      <c r="IJ31" s="292"/>
      <c r="IK31" s="292"/>
      <c r="IL31" s="292"/>
      <c r="IM31" s="292"/>
      <c r="IN31" s="292"/>
      <c r="IO31" s="35"/>
      <c r="IP31" s="291"/>
      <c r="IQ31" s="291"/>
      <c r="IR31" s="291"/>
    </row>
    <row r="32" spans="1:252" s="5" customFormat="1" ht="14.25">
      <c r="A32" s="35" t="s">
        <v>6</v>
      </c>
      <c r="B32" s="291">
        <v>9.6</v>
      </c>
      <c r="C32" s="291">
        <v>7.1</v>
      </c>
      <c r="D32" s="291">
        <v>8.1</v>
      </c>
      <c r="E32" s="291">
        <v>9.6999999999999993</v>
      </c>
      <c r="F32" s="291">
        <v>9.6999999999999993</v>
      </c>
      <c r="G32" s="397">
        <v>10.1</v>
      </c>
      <c r="H32" s="291">
        <v>10.3</v>
      </c>
      <c r="I32" s="291">
        <v>9</v>
      </c>
      <c r="J32" s="291">
        <v>8.4</v>
      </c>
      <c r="K32" s="291">
        <v>7.9</v>
      </c>
      <c r="L32" s="291"/>
      <c r="M32" s="291"/>
      <c r="N32" s="291"/>
      <c r="O32" s="291"/>
      <c r="P32" s="292"/>
      <c r="Q32" s="292"/>
      <c r="R32" s="292"/>
      <c r="S32" s="292"/>
      <c r="T32" s="292"/>
      <c r="U32" s="35"/>
      <c r="V32" s="291"/>
      <c r="W32" s="291"/>
      <c r="X32" s="291"/>
      <c r="Y32" s="291"/>
      <c r="Z32" s="291"/>
      <c r="AA32" s="291"/>
      <c r="AB32" s="292"/>
      <c r="AC32" s="292"/>
      <c r="AD32" s="292"/>
      <c r="AE32" s="292"/>
      <c r="AF32" s="292"/>
      <c r="AG32" s="35"/>
      <c r="AH32" s="291"/>
      <c r="AI32" s="291"/>
      <c r="AJ32" s="291"/>
      <c r="AK32" s="291"/>
      <c r="AL32" s="291"/>
      <c r="AM32" s="291"/>
      <c r="AN32" s="292"/>
      <c r="AO32" s="292"/>
      <c r="AP32" s="292"/>
      <c r="AQ32" s="292"/>
      <c r="AR32" s="292"/>
      <c r="AS32" s="35"/>
      <c r="AT32" s="291"/>
      <c r="AU32" s="291"/>
      <c r="AV32" s="291"/>
      <c r="AW32" s="291"/>
      <c r="AX32" s="291"/>
      <c r="AY32" s="291"/>
      <c r="AZ32" s="292"/>
      <c r="BA32" s="292"/>
      <c r="BB32" s="292"/>
      <c r="BC32" s="292"/>
      <c r="BD32" s="292"/>
      <c r="BE32" s="35"/>
      <c r="BF32" s="291"/>
      <c r="BG32" s="291"/>
      <c r="BH32" s="291"/>
      <c r="BI32" s="291"/>
      <c r="BJ32" s="291"/>
      <c r="BK32" s="291"/>
      <c r="BL32" s="292"/>
      <c r="BM32" s="292"/>
      <c r="BN32" s="292"/>
      <c r="BO32" s="292"/>
      <c r="BP32" s="292"/>
      <c r="BQ32" s="35"/>
      <c r="BR32" s="291"/>
      <c r="BS32" s="291"/>
      <c r="BT32" s="291"/>
      <c r="BU32" s="291"/>
      <c r="BV32" s="291"/>
      <c r="BW32" s="291"/>
      <c r="BX32" s="292"/>
      <c r="BY32" s="292"/>
      <c r="BZ32" s="292"/>
      <c r="CA32" s="292"/>
      <c r="CB32" s="292"/>
      <c r="CC32" s="35"/>
      <c r="CD32" s="291"/>
      <c r="CE32" s="291"/>
      <c r="CF32" s="291"/>
      <c r="CG32" s="291"/>
      <c r="CH32" s="291"/>
      <c r="CI32" s="291"/>
      <c r="CJ32" s="292"/>
      <c r="CK32" s="292"/>
      <c r="CL32" s="292"/>
      <c r="CM32" s="292"/>
      <c r="CN32" s="292"/>
      <c r="CO32" s="35"/>
      <c r="CP32" s="291"/>
      <c r="CQ32" s="291"/>
      <c r="CR32" s="291"/>
      <c r="CS32" s="291"/>
      <c r="CT32" s="291"/>
      <c r="CU32" s="291"/>
      <c r="CV32" s="292"/>
      <c r="CW32" s="292"/>
      <c r="CX32" s="292"/>
      <c r="CY32" s="292"/>
      <c r="CZ32" s="292"/>
      <c r="DA32" s="35"/>
      <c r="DB32" s="291"/>
      <c r="DC32" s="291"/>
      <c r="DD32" s="291"/>
      <c r="DE32" s="291"/>
      <c r="DF32" s="291"/>
      <c r="DG32" s="291"/>
      <c r="DH32" s="292"/>
      <c r="DI32" s="292"/>
      <c r="DJ32" s="292"/>
      <c r="DK32" s="292"/>
      <c r="DL32" s="292"/>
      <c r="DM32" s="35"/>
      <c r="DN32" s="291"/>
      <c r="DO32" s="291"/>
      <c r="DP32" s="291"/>
      <c r="DQ32" s="291"/>
      <c r="DR32" s="291"/>
      <c r="DS32" s="291"/>
      <c r="DT32" s="292"/>
      <c r="DU32" s="292"/>
      <c r="DV32" s="292"/>
      <c r="DW32" s="292"/>
      <c r="DX32" s="292"/>
      <c r="DY32" s="35"/>
      <c r="DZ32" s="291"/>
      <c r="EA32" s="291"/>
      <c r="EB32" s="291"/>
      <c r="EC32" s="291"/>
      <c r="ED32" s="291"/>
      <c r="EE32" s="291"/>
      <c r="EF32" s="292"/>
      <c r="EG32" s="292"/>
      <c r="EH32" s="292"/>
      <c r="EI32" s="292"/>
      <c r="EJ32" s="292"/>
      <c r="EK32" s="35"/>
      <c r="EL32" s="291"/>
      <c r="EM32" s="291"/>
      <c r="EN32" s="291"/>
      <c r="EO32" s="291"/>
      <c r="EP32" s="291"/>
      <c r="EQ32" s="291"/>
      <c r="ER32" s="292"/>
      <c r="ES32" s="292"/>
      <c r="ET32" s="292"/>
      <c r="EU32" s="292"/>
      <c r="EV32" s="292"/>
      <c r="EW32" s="35"/>
      <c r="EX32" s="291"/>
      <c r="EY32" s="291"/>
      <c r="EZ32" s="291"/>
      <c r="FA32" s="291"/>
      <c r="FB32" s="291"/>
      <c r="FC32" s="291"/>
      <c r="FD32" s="292"/>
      <c r="FE32" s="292"/>
      <c r="FF32" s="292"/>
      <c r="FG32" s="292"/>
      <c r="FH32" s="292"/>
      <c r="FI32" s="35"/>
      <c r="FJ32" s="291"/>
      <c r="FK32" s="291"/>
      <c r="FL32" s="291"/>
      <c r="FM32" s="291"/>
      <c r="FN32" s="291"/>
      <c r="FO32" s="291"/>
      <c r="FP32" s="292"/>
      <c r="FQ32" s="292"/>
      <c r="FR32" s="292"/>
      <c r="FS32" s="292"/>
      <c r="FT32" s="292"/>
      <c r="FU32" s="35"/>
      <c r="FV32" s="291"/>
      <c r="FW32" s="291"/>
      <c r="FX32" s="291"/>
      <c r="FY32" s="291"/>
      <c r="FZ32" s="291"/>
      <c r="GA32" s="291"/>
      <c r="GB32" s="292"/>
      <c r="GC32" s="292"/>
      <c r="GD32" s="292"/>
      <c r="GE32" s="292"/>
      <c r="GF32" s="292"/>
      <c r="GG32" s="35"/>
      <c r="GH32" s="291"/>
      <c r="GI32" s="291"/>
      <c r="GJ32" s="291"/>
      <c r="GK32" s="291"/>
      <c r="GL32" s="291"/>
      <c r="GM32" s="291"/>
      <c r="GN32" s="292"/>
      <c r="GO32" s="292"/>
      <c r="GP32" s="292"/>
      <c r="GQ32" s="292"/>
      <c r="GR32" s="292"/>
      <c r="GS32" s="35"/>
      <c r="GT32" s="291"/>
      <c r="GU32" s="291"/>
      <c r="GV32" s="291"/>
      <c r="GW32" s="291"/>
      <c r="GX32" s="291"/>
      <c r="GY32" s="291"/>
      <c r="GZ32" s="292"/>
      <c r="HA32" s="292"/>
      <c r="HB32" s="292"/>
      <c r="HC32" s="292"/>
      <c r="HD32" s="292"/>
      <c r="HE32" s="35"/>
      <c r="HF32" s="291"/>
      <c r="HG32" s="291"/>
      <c r="HH32" s="291"/>
      <c r="HI32" s="291"/>
      <c r="HJ32" s="291"/>
      <c r="HK32" s="291"/>
      <c r="HL32" s="292"/>
      <c r="HM32" s="292"/>
      <c r="HN32" s="292"/>
      <c r="HO32" s="292"/>
      <c r="HP32" s="292"/>
      <c r="HQ32" s="35"/>
      <c r="HR32" s="291"/>
      <c r="HS32" s="291"/>
      <c r="HT32" s="291"/>
      <c r="HU32" s="291"/>
      <c r="HV32" s="291"/>
      <c r="HW32" s="291"/>
      <c r="HX32" s="292"/>
      <c r="HY32" s="292"/>
      <c r="HZ32" s="292"/>
      <c r="IA32" s="292"/>
      <c r="IB32" s="292"/>
      <c r="IC32" s="35"/>
      <c r="ID32" s="291"/>
      <c r="IE32" s="291"/>
      <c r="IF32" s="291"/>
      <c r="IG32" s="291"/>
      <c r="IH32" s="291"/>
      <c r="II32" s="291"/>
      <c r="IJ32" s="292"/>
      <c r="IK32" s="292"/>
      <c r="IL32" s="292"/>
      <c r="IM32" s="292"/>
      <c r="IN32" s="292"/>
      <c r="IO32" s="35"/>
      <c r="IP32" s="291"/>
      <c r="IQ32" s="291"/>
      <c r="IR32" s="291"/>
    </row>
    <row r="33" spans="1:252" s="5" customFormat="1" ht="14.25">
      <c r="A33" s="35" t="s">
        <v>5</v>
      </c>
      <c r="B33" s="291">
        <v>6.4</v>
      </c>
      <c r="C33" s="291">
        <v>5.6</v>
      </c>
      <c r="D33" s="291">
        <v>6.5</v>
      </c>
      <c r="E33" s="291">
        <v>7</v>
      </c>
      <c r="F33" s="291">
        <v>7.2</v>
      </c>
      <c r="G33" s="397">
        <v>6.8</v>
      </c>
      <c r="H33" s="291">
        <v>7.1</v>
      </c>
      <c r="I33" s="291">
        <v>6.8</v>
      </c>
      <c r="J33" s="291">
        <v>6.6</v>
      </c>
      <c r="K33" s="291">
        <v>6.4</v>
      </c>
      <c r="L33" s="291"/>
      <c r="M33" s="292"/>
      <c r="N33" s="291"/>
      <c r="O33" s="291"/>
      <c r="P33" s="292"/>
      <c r="Q33" s="292"/>
      <c r="R33" s="292"/>
      <c r="S33" s="292"/>
      <c r="T33" s="292"/>
      <c r="U33" s="35"/>
      <c r="V33" s="291"/>
      <c r="W33" s="291"/>
      <c r="X33" s="291"/>
      <c r="Y33" s="292"/>
      <c r="Z33" s="291"/>
      <c r="AA33" s="291"/>
      <c r="AB33" s="292"/>
      <c r="AC33" s="292"/>
      <c r="AD33" s="292"/>
      <c r="AE33" s="292"/>
      <c r="AF33" s="292"/>
      <c r="AG33" s="35"/>
      <c r="AH33" s="291"/>
      <c r="AI33" s="291"/>
      <c r="AJ33" s="291"/>
      <c r="AK33" s="292"/>
      <c r="AL33" s="291"/>
      <c r="AM33" s="291"/>
      <c r="AN33" s="292"/>
      <c r="AO33" s="292"/>
      <c r="AP33" s="292"/>
      <c r="AQ33" s="292"/>
      <c r="AR33" s="292"/>
      <c r="AS33" s="35"/>
      <c r="AT33" s="291"/>
      <c r="AU33" s="291"/>
      <c r="AV33" s="291"/>
      <c r="AW33" s="292"/>
      <c r="AX33" s="291"/>
      <c r="AY33" s="291"/>
      <c r="AZ33" s="292"/>
      <c r="BA33" s="292"/>
      <c r="BB33" s="292"/>
      <c r="BC33" s="292"/>
      <c r="BD33" s="292"/>
      <c r="BE33" s="35"/>
      <c r="BF33" s="291"/>
      <c r="BG33" s="291"/>
      <c r="BH33" s="291"/>
      <c r="BI33" s="292"/>
      <c r="BJ33" s="291"/>
      <c r="BK33" s="291"/>
      <c r="BL33" s="292"/>
      <c r="BM33" s="292"/>
      <c r="BN33" s="292"/>
      <c r="BO33" s="292"/>
      <c r="BP33" s="292"/>
      <c r="BQ33" s="35"/>
      <c r="BR33" s="291"/>
      <c r="BS33" s="291"/>
      <c r="BT33" s="291"/>
      <c r="BU33" s="292"/>
      <c r="BV33" s="291"/>
      <c r="BW33" s="291"/>
      <c r="BX33" s="292"/>
      <c r="BY33" s="292"/>
      <c r="BZ33" s="292"/>
      <c r="CA33" s="292"/>
      <c r="CB33" s="292"/>
      <c r="CC33" s="35"/>
      <c r="CD33" s="291"/>
      <c r="CE33" s="291"/>
      <c r="CF33" s="291"/>
      <c r="CG33" s="292"/>
      <c r="CH33" s="291"/>
      <c r="CI33" s="291"/>
      <c r="CJ33" s="292"/>
      <c r="CK33" s="292"/>
      <c r="CL33" s="292"/>
      <c r="CM33" s="292"/>
      <c r="CN33" s="292"/>
      <c r="CO33" s="35"/>
      <c r="CP33" s="291"/>
      <c r="CQ33" s="291"/>
      <c r="CR33" s="291"/>
      <c r="CS33" s="292"/>
      <c r="CT33" s="291"/>
      <c r="CU33" s="291"/>
      <c r="CV33" s="292"/>
      <c r="CW33" s="292"/>
      <c r="CX33" s="292"/>
      <c r="CY33" s="292"/>
      <c r="CZ33" s="292"/>
      <c r="DA33" s="35"/>
      <c r="DB33" s="291"/>
      <c r="DC33" s="291"/>
      <c r="DD33" s="291"/>
      <c r="DE33" s="292"/>
      <c r="DF33" s="291"/>
      <c r="DG33" s="291"/>
      <c r="DH33" s="292"/>
      <c r="DI33" s="292"/>
      <c r="DJ33" s="292"/>
      <c r="DK33" s="292"/>
      <c r="DL33" s="292"/>
      <c r="DM33" s="35"/>
      <c r="DN33" s="291"/>
      <c r="DO33" s="291"/>
      <c r="DP33" s="291"/>
      <c r="DQ33" s="292"/>
      <c r="DR33" s="291"/>
      <c r="DS33" s="291"/>
      <c r="DT33" s="292"/>
      <c r="DU33" s="292"/>
      <c r="DV33" s="292"/>
      <c r="DW33" s="292"/>
      <c r="DX33" s="292"/>
      <c r="DY33" s="35"/>
      <c r="DZ33" s="291"/>
      <c r="EA33" s="291"/>
      <c r="EB33" s="291"/>
      <c r="EC33" s="292"/>
      <c r="ED33" s="291"/>
      <c r="EE33" s="291"/>
      <c r="EF33" s="292"/>
      <c r="EG33" s="292"/>
      <c r="EH33" s="292"/>
      <c r="EI33" s="292"/>
      <c r="EJ33" s="292"/>
      <c r="EK33" s="35"/>
      <c r="EL33" s="291"/>
      <c r="EM33" s="291"/>
      <c r="EN33" s="291"/>
      <c r="EO33" s="292"/>
      <c r="EP33" s="291"/>
      <c r="EQ33" s="291"/>
      <c r="ER33" s="292"/>
      <c r="ES33" s="292"/>
      <c r="ET33" s="292"/>
      <c r="EU33" s="292"/>
      <c r="EV33" s="292"/>
      <c r="EW33" s="35"/>
      <c r="EX33" s="291"/>
      <c r="EY33" s="291"/>
      <c r="EZ33" s="291"/>
      <c r="FA33" s="292"/>
      <c r="FB33" s="291"/>
      <c r="FC33" s="291"/>
      <c r="FD33" s="292"/>
      <c r="FE33" s="292"/>
      <c r="FF33" s="292"/>
      <c r="FG33" s="292"/>
      <c r="FH33" s="292"/>
      <c r="FI33" s="35"/>
      <c r="FJ33" s="291"/>
      <c r="FK33" s="291"/>
      <c r="FL33" s="291"/>
      <c r="FM33" s="292"/>
      <c r="FN33" s="291"/>
      <c r="FO33" s="291"/>
      <c r="FP33" s="292"/>
      <c r="FQ33" s="292"/>
      <c r="FR33" s="292"/>
      <c r="FS33" s="292"/>
      <c r="FT33" s="292"/>
      <c r="FU33" s="35"/>
      <c r="FV33" s="291"/>
      <c r="FW33" s="291"/>
      <c r="FX33" s="291"/>
      <c r="FY33" s="292"/>
      <c r="FZ33" s="291"/>
      <c r="GA33" s="291"/>
      <c r="GB33" s="292"/>
      <c r="GC33" s="292"/>
      <c r="GD33" s="292"/>
      <c r="GE33" s="292"/>
      <c r="GF33" s="292"/>
      <c r="GG33" s="35"/>
      <c r="GH33" s="291"/>
      <c r="GI33" s="291"/>
      <c r="GJ33" s="291"/>
      <c r="GK33" s="292"/>
      <c r="GL33" s="291"/>
      <c r="GM33" s="291"/>
      <c r="GN33" s="292"/>
      <c r="GO33" s="292"/>
      <c r="GP33" s="292"/>
      <c r="GQ33" s="292"/>
      <c r="GR33" s="292"/>
      <c r="GS33" s="35"/>
      <c r="GT33" s="291"/>
      <c r="GU33" s="291"/>
      <c r="GV33" s="291"/>
      <c r="GW33" s="292"/>
      <c r="GX33" s="291"/>
      <c r="GY33" s="291"/>
      <c r="GZ33" s="292"/>
      <c r="HA33" s="292"/>
      <c r="HB33" s="292"/>
      <c r="HC33" s="292"/>
      <c r="HD33" s="292"/>
      <c r="HE33" s="35"/>
      <c r="HF33" s="291"/>
      <c r="HG33" s="291"/>
      <c r="HH33" s="291"/>
      <c r="HI33" s="292"/>
      <c r="HJ33" s="291"/>
      <c r="HK33" s="291"/>
      <c r="HL33" s="292"/>
      <c r="HM33" s="292"/>
      <c r="HN33" s="292"/>
      <c r="HO33" s="292"/>
      <c r="HP33" s="292"/>
      <c r="HQ33" s="35"/>
      <c r="HR33" s="291"/>
      <c r="HS33" s="291"/>
      <c r="HT33" s="291"/>
      <c r="HU33" s="292"/>
      <c r="HV33" s="291"/>
      <c r="HW33" s="291"/>
      <c r="HX33" s="292"/>
      <c r="HY33" s="292"/>
      <c r="HZ33" s="292"/>
      <c r="IA33" s="292"/>
      <c r="IB33" s="292"/>
      <c r="IC33" s="35"/>
      <c r="ID33" s="291"/>
      <c r="IE33" s="291"/>
      <c r="IF33" s="291"/>
      <c r="IG33" s="292"/>
      <c r="IH33" s="291"/>
      <c r="II33" s="291"/>
      <c r="IJ33" s="292"/>
      <c r="IK33" s="292"/>
      <c r="IL33" s="292"/>
      <c r="IM33" s="292"/>
      <c r="IN33" s="292"/>
      <c r="IO33" s="35"/>
      <c r="IP33" s="291"/>
      <c r="IQ33" s="291"/>
      <c r="IR33" s="291"/>
    </row>
    <row r="34" spans="1:252" s="5" customFormat="1" ht="14.25">
      <c r="A34" s="36" t="s">
        <v>4</v>
      </c>
      <c r="B34" s="291">
        <v>6.1</v>
      </c>
      <c r="C34" s="291">
        <v>6.2</v>
      </c>
      <c r="D34" s="291">
        <v>8.3000000000000007</v>
      </c>
      <c r="E34" s="291">
        <v>8.6</v>
      </c>
      <c r="F34" s="291">
        <v>7.8</v>
      </c>
      <c r="G34" s="291">
        <v>8</v>
      </c>
      <c r="H34" s="291">
        <v>8</v>
      </c>
      <c r="I34" s="291">
        <v>7.9</v>
      </c>
      <c r="J34" s="291">
        <v>7.7</v>
      </c>
      <c r="K34" s="291">
        <v>7.6</v>
      </c>
      <c r="L34" s="291"/>
      <c r="M34" s="291"/>
      <c r="N34" s="291"/>
      <c r="O34" s="291"/>
      <c r="P34" s="291"/>
      <c r="Q34" s="291"/>
      <c r="R34" s="291"/>
      <c r="S34" s="291"/>
      <c r="T34" s="291"/>
      <c r="U34" s="36"/>
      <c r="V34" s="291"/>
      <c r="W34" s="291"/>
      <c r="X34" s="291"/>
      <c r="Y34" s="291"/>
      <c r="Z34" s="291"/>
      <c r="AA34" s="291"/>
      <c r="AB34" s="291"/>
      <c r="AC34" s="291"/>
      <c r="AD34" s="291"/>
      <c r="AE34" s="291"/>
      <c r="AF34" s="291"/>
      <c r="AG34" s="36"/>
      <c r="AH34" s="291"/>
      <c r="AI34" s="291"/>
      <c r="AJ34" s="291"/>
      <c r="AK34" s="291"/>
      <c r="AL34" s="291"/>
      <c r="AM34" s="291"/>
      <c r="AN34" s="291"/>
      <c r="AO34" s="291"/>
      <c r="AP34" s="291"/>
      <c r="AQ34" s="291"/>
      <c r="AR34" s="291"/>
      <c r="AS34" s="36"/>
      <c r="AT34" s="291"/>
      <c r="AU34" s="291"/>
      <c r="AV34" s="291"/>
      <c r="AW34" s="291"/>
      <c r="AX34" s="291"/>
      <c r="AY34" s="291"/>
      <c r="AZ34" s="291"/>
      <c r="BA34" s="291"/>
      <c r="BB34" s="291"/>
      <c r="BC34" s="291"/>
      <c r="BD34" s="291"/>
      <c r="BE34" s="36"/>
      <c r="BF34" s="291"/>
      <c r="BG34" s="291"/>
      <c r="BH34" s="291"/>
      <c r="BI34" s="291"/>
      <c r="BJ34" s="291"/>
      <c r="BK34" s="291"/>
      <c r="BL34" s="291"/>
      <c r="BM34" s="291"/>
      <c r="BN34" s="291"/>
      <c r="BO34" s="291"/>
      <c r="BP34" s="291"/>
      <c r="BQ34" s="36"/>
      <c r="BR34" s="291"/>
      <c r="BS34" s="291"/>
      <c r="BT34" s="291"/>
      <c r="BU34" s="291"/>
      <c r="BV34" s="291"/>
      <c r="BW34" s="291"/>
      <c r="BX34" s="291"/>
      <c r="BY34" s="291"/>
      <c r="BZ34" s="291"/>
      <c r="CA34" s="291"/>
      <c r="CB34" s="291"/>
      <c r="CC34" s="36"/>
      <c r="CD34" s="291"/>
      <c r="CE34" s="291"/>
      <c r="CF34" s="291"/>
      <c r="CG34" s="291"/>
      <c r="CH34" s="291"/>
      <c r="CI34" s="291"/>
      <c r="CJ34" s="291"/>
      <c r="CK34" s="291"/>
      <c r="CL34" s="291"/>
      <c r="CM34" s="291"/>
      <c r="CN34" s="291"/>
      <c r="CO34" s="36"/>
      <c r="CP34" s="291"/>
      <c r="CQ34" s="291"/>
      <c r="CR34" s="291"/>
      <c r="CS34" s="291"/>
      <c r="CT34" s="291"/>
      <c r="CU34" s="291"/>
      <c r="CV34" s="291"/>
      <c r="CW34" s="291"/>
      <c r="CX34" s="291"/>
      <c r="CY34" s="291"/>
      <c r="CZ34" s="291"/>
      <c r="DA34" s="36"/>
      <c r="DB34" s="291"/>
      <c r="DC34" s="291"/>
      <c r="DD34" s="291"/>
      <c r="DE34" s="291"/>
      <c r="DF34" s="291"/>
      <c r="DG34" s="291"/>
      <c r="DH34" s="291"/>
      <c r="DI34" s="291"/>
      <c r="DJ34" s="291"/>
      <c r="DK34" s="291"/>
      <c r="DL34" s="291"/>
      <c r="DM34" s="36"/>
      <c r="DN34" s="291"/>
      <c r="DO34" s="291"/>
      <c r="DP34" s="291"/>
      <c r="DQ34" s="291"/>
      <c r="DR34" s="291"/>
      <c r="DS34" s="291"/>
      <c r="DT34" s="291"/>
      <c r="DU34" s="291"/>
      <c r="DV34" s="291"/>
      <c r="DW34" s="291"/>
      <c r="DX34" s="291"/>
      <c r="DY34" s="36"/>
      <c r="DZ34" s="291"/>
      <c r="EA34" s="291"/>
      <c r="EB34" s="291"/>
      <c r="EC34" s="291"/>
      <c r="ED34" s="291"/>
      <c r="EE34" s="291"/>
      <c r="EF34" s="291"/>
      <c r="EG34" s="291"/>
      <c r="EH34" s="291"/>
      <c r="EI34" s="291"/>
      <c r="EJ34" s="291"/>
      <c r="EK34" s="36"/>
      <c r="EL34" s="291"/>
      <c r="EM34" s="291"/>
      <c r="EN34" s="291"/>
      <c r="EO34" s="291"/>
      <c r="EP34" s="291"/>
      <c r="EQ34" s="291"/>
      <c r="ER34" s="291"/>
      <c r="ES34" s="291"/>
      <c r="ET34" s="291"/>
      <c r="EU34" s="291"/>
      <c r="EV34" s="291"/>
      <c r="EW34" s="36"/>
      <c r="EX34" s="291"/>
      <c r="EY34" s="291"/>
      <c r="EZ34" s="291"/>
      <c r="FA34" s="291"/>
      <c r="FB34" s="291"/>
      <c r="FC34" s="291"/>
      <c r="FD34" s="291"/>
      <c r="FE34" s="291"/>
      <c r="FF34" s="291"/>
      <c r="FG34" s="291"/>
      <c r="FH34" s="291"/>
      <c r="FI34" s="36"/>
      <c r="FJ34" s="291"/>
      <c r="FK34" s="291"/>
      <c r="FL34" s="291"/>
      <c r="FM34" s="291"/>
      <c r="FN34" s="291"/>
      <c r="FO34" s="291"/>
      <c r="FP34" s="291"/>
      <c r="FQ34" s="291"/>
      <c r="FR34" s="291"/>
      <c r="FS34" s="291"/>
      <c r="FT34" s="291"/>
      <c r="FU34" s="36"/>
      <c r="FV34" s="291"/>
      <c r="FW34" s="291"/>
      <c r="FX34" s="291"/>
      <c r="FY34" s="291"/>
      <c r="FZ34" s="291"/>
      <c r="GA34" s="291"/>
      <c r="GB34" s="291"/>
      <c r="GC34" s="291"/>
      <c r="GD34" s="291"/>
      <c r="GE34" s="291"/>
      <c r="GF34" s="291"/>
      <c r="GG34" s="36"/>
      <c r="GH34" s="291"/>
      <c r="GI34" s="291"/>
      <c r="GJ34" s="291"/>
      <c r="GK34" s="291"/>
      <c r="GL34" s="291"/>
      <c r="GM34" s="291"/>
      <c r="GN34" s="291"/>
      <c r="GO34" s="291"/>
      <c r="GP34" s="291"/>
      <c r="GQ34" s="291"/>
      <c r="GR34" s="291"/>
      <c r="GS34" s="36"/>
      <c r="GT34" s="291"/>
      <c r="GU34" s="291"/>
      <c r="GV34" s="291"/>
      <c r="GW34" s="291"/>
      <c r="GX34" s="291"/>
      <c r="GY34" s="291"/>
      <c r="GZ34" s="291"/>
      <c r="HA34" s="291"/>
      <c r="HB34" s="291"/>
      <c r="HC34" s="291"/>
      <c r="HD34" s="291"/>
      <c r="HE34" s="36"/>
      <c r="HF34" s="291"/>
      <c r="HG34" s="291"/>
      <c r="HH34" s="291"/>
      <c r="HI34" s="291"/>
      <c r="HJ34" s="291"/>
      <c r="HK34" s="291"/>
      <c r="HL34" s="291"/>
      <c r="HM34" s="291"/>
      <c r="HN34" s="291"/>
      <c r="HO34" s="291"/>
      <c r="HP34" s="291"/>
      <c r="HQ34" s="36"/>
      <c r="HR34" s="291"/>
      <c r="HS34" s="291"/>
      <c r="HT34" s="291"/>
      <c r="HU34" s="291"/>
      <c r="HV34" s="291"/>
      <c r="HW34" s="291"/>
      <c r="HX34" s="291"/>
      <c r="HY34" s="291"/>
      <c r="HZ34" s="291"/>
      <c r="IA34" s="291"/>
      <c r="IB34" s="291"/>
      <c r="IC34" s="36"/>
      <c r="ID34" s="291"/>
      <c r="IE34" s="291"/>
      <c r="IF34" s="291"/>
      <c r="IG34" s="291"/>
      <c r="IH34" s="291"/>
      <c r="II34" s="291"/>
      <c r="IJ34" s="291"/>
      <c r="IK34" s="291"/>
      <c r="IL34" s="291"/>
      <c r="IM34" s="291"/>
      <c r="IN34" s="291"/>
      <c r="IO34" s="36"/>
      <c r="IP34" s="291"/>
      <c r="IQ34" s="291"/>
      <c r="IR34" s="291"/>
    </row>
    <row r="35" spans="1:252" s="38" customFormat="1" ht="14.25">
      <c r="A35" s="35" t="s">
        <v>1022</v>
      </c>
      <c r="B35" s="291">
        <v>5.3</v>
      </c>
      <c r="C35" s="291">
        <v>5.6</v>
      </c>
      <c r="D35" s="291">
        <v>7.6</v>
      </c>
      <c r="E35" s="291">
        <v>7.8</v>
      </c>
      <c r="F35" s="291">
        <v>8.1</v>
      </c>
      <c r="G35" s="291">
        <v>7.9</v>
      </c>
      <c r="H35" s="291">
        <v>7.6</v>
      </c>
      <c r="I35" s="291">
        <v>6.1</v>
      </c>
      <c r="J35" s="291">
        <v>5.4</v>
      </c>
      <c r="K35" s="291">
        <v>5.3</v>
      </c>
      <c r="L35" s="295"/>
      <c r="M35" s="295"/>
      <c r="N35" s="295"/>
      <c r="O35" s="295"/>
      <c r="P35" s="295"/>
      <c r="Q35" s="295"/>
      <c r="R35" s="295"/>
      <c r="S35" s="295"/>
      <c r="T35" s="295"/>
      <c r="U35" s="34"/>
      <c r="V35" s="295"/>
      <c r="W35" s="295"/>
      <c r="X35" s="295"/>
      <c r="Y35" s="295"/>
      <c r="Z35" s="295"/>
      <c r="AA35" s="295"/>
      <c r="AB35" s="295"/>
      <c r="AC35" s="295"/>
      <c r="AD35" s="295"/>
      <c r="AE35" s="295"/>
      <c r="AF35" s="295"/>
      <c r="AG35" s="34"/>
      <c r="AH35" s="295"/>
      <c r="AI35" s="295"/>
      <c r="AJ35" s="295"/>
      <c r="AK35" s="295"/>
      <c r="AL35" s="295"/>
      <c r="AM35" s="295"/>
      <c r="AN35" s="295"/>
      <c r="AO35" s="295"/>
      <c r="AP35" s="295"/>
      <c r="AQ35" s="295"/>
      <c r="AR35" s="295"/>
      <c r="AS35" s="34"/>
      <c r="AT35" s="295"/>
      <c r="AU35" s="295"/>
      <c r="AV35" s="295"/>
      <c r="AW35" s="295"/>
      <c r="AX35" s="295"/>
      <c r="AY35" s="295"/>
      <c r="AZ35" s="295"/>
      <c r="BA35" s="295"/>
      <c r="BB35" s="295"/>
      <c r="BC35" s="295"/>
      <c r="BD35" s="295"/>
      <c r="BE35" s="34"/>
      <c r="BF35" s="295"/>
      <c r="BG35" s="295"/>
      <c r="BH35" s="295"/>
      <c r="BI35" s="295"/>
      <c r="BJ35" s="295"/>
      <c r="BK35" s="295"/>
      <c r="BL35" s="295"/>
      <c r="BM35" s="295"/>
      <c r="BN35" s="295"/>
      <c r="BO35" s="295"/>
      <c r="BP35" s="295"/>
      <c r="BQ35" s="34"/>
      <c r="BR35" s="295"/>
      <c r="BS35" s="295"/>
      <c r="BT35" s="295"/>
      <c r="BU35" s="295"/>
      <c r="BV35" s="295"/>
      <c r="BW35" s="295"/>
      <c r="BX35" s="295"/>
      <c r="BY35" s="295"/>
      <c r="BZ35" s="295"/>
      <c r="CA35" s="295"/>
      <c r="CB35" s="295"/>
      <c r="CC35" s="34"/>
      <c r="CD35" s="295"/>
      <c r="CE35" s="295"/>
      <c r="CF35" s="295"/>
      <c r="CG35" s="295"/>
      <c r="CH35" s="295"/>
      <c r="CI35" s="295"/>
      <c r="CJ35" s="295"/>
      <c r="CK35" s="295"/>
      <c r="CL35" s="295"/>
      <c r="CM35" s="295"/>
      <c r="CN35" s="295"/>
      <c r="CO35" s="34"/>
      <c r="CP35" s="295"/>
      <c r="CQ35" s="295"/>
      <c r="CR35" s="295"/>
      <c r="CS35" s="295"/>
      <c r="CT35" s="295"/>
      <c r="CU35" s="295"/>
      <c r="CV35" s="295"/>
      <c r="CW35" s="295"/>
      <c r="CX35" s="295"/>
      <c r="CY35" s="295"/>
      <c r="CZ35" s="295"/>
      <c r="DA35" s="34"/>
      <c r="DB35" s="295"/>
      <c r="DC35" s="295"/>
      <c r="DD35" s="295"/>
      <c r="DE35" s="295"/>
      <c r="DF35" s="295"/>
      <c r="DG35" s="295"/>
      <c r="DH35" s="295"/>
      <c r="DI35" s="295"/>
      <c r="DJ35" s="295"/>
      <c r="DK35" s="295"/>
      <c r="DL35" s="295"/>
      <c r="DM35" s="34"/>
      <c r="DN35" s="295"/>
      <c r="DO35" s="295"/>
      <c r="DP35" s="295"/>
      <c r="DQ35" s="295"/>
      <c r="DR35" s="295"/>
      <c r="DS35" s="295"/>
      <c r="DT35" s="295"/>
      <c r="DU35" s="295"/>
      <c r="DV35" s="295"/>
      <c r="DW35" s="295"/>
      <c r="DX35" s="295"/>
      <c r="DY35" s="34"/>
      <c r="DZ35" s="295"/>
      <c r="EA35" s="295"/>
      <c r="EB35" s="295"/>
      <c r="EC35" s="295"/>
      <c r="ED35" s="295"/>
      <c r="EE35" s="295"/>
      <c r="EF35" s="295"/>
      <c r="EG35" s="295"/>
      <c r="EH35" s="295"/>
      <c r="EI35" s="295"/>
      <c r="EJ35" s="295"/>
      <c r="EK35" s="34"/>
      <c r="EL35" s="295"/>
      <c r="EM35" s="295"/>
      <c r="EN35" s="295"/>
      <c r="EO35" s="295"/>
      <c r="EP35" s="295"/>
      <c r="EQ35" s="295"/>
      <c r="ER35" s="295"/>
      <c r="ES35" s="295"/>
      <c r="ET35" s="295"/>
      <c r="EU35" s="295"/>
      <c r="EV35" s="295"/>
      <c r="EW35" s="34"/>
      <c r="EX35" s="295"/>
      <c r="EY35" s="295"/>
      <c r="EZ35" s="295"/>
      <c r="FA35" s="295"/>
      <c r="FB35" s="295"/>
      <c r="FC35" s="295"/>
      <c r="FD35" s="295"/>
      <c r="FE35" s="295"/>
      <c r="FF35" s="295"/>
      <c r="FG35" s="295"/>
      <c r="FH35" s="295"/>
      <c r="FI35" s="34"/>
      <c r="FJ35" s="295"/>
      <c r="FK35" s="295"/>
      <c r="FL35" s="295"/>
      <c r="FM35" s="295"/>
      <c r="FN35" s="295"/>
      <c r="FO35" s="295"/>
      <c r="FP35" s="295"/>
      <c r="FQ35" s="295"/>
      <c r="FR35" s="295"/>
      <c r="FS35" s="295"/>
      <c r="FT35" s="295"/>
      <c r="FU35" s="34"/>
      <c r="FV35" s="295"/>
      <c r="FW35" s="295"/>
      <c r="FX35" s="295"/>
      <c r="FY35" s="295"/>
      <c r="FZ35" s="295"/>
      <c r="GA35" s="295"/>
      <c r="GB35" s="295"/>
      <c r="GC35" s="295"/>
      <c r="GD35" s="295"/>
      <c r="GE35" s="295"/>
      <c r="GF35" s="295"/>
      <c r="GG35" s="34"/>
      <c r="GH35" s="295"/>
      <c r="GI35" s="295"/>
      <c r="GJ35" s="295"/>
      <c r="GK35" s="295"/>
      <c r="GL35" s="295"/>
      <c r="GM35" s="295"/>
      <c r="GN35" s="295"/>
      <c r="GO35" s="295"/>
      <c r="GP35" s="295"/>
      <c r="GQ35" s="295"/>
      <c r="GR35" s="295"/>
      <c r="GS35" s="34"/>
      <c r="GT35" s="295"/>
      <c r="GU35" s="295"/>
      <c r="GV35" s="295"/>
      <c r="GW35" s="295"/>
      <c r="GX35" s="295"/>
      <c r="GY35" s="295"/>
      <c r="GZ35" s="295"/>
      <c r="HA35" s="295"/>
      <c r="HB35" s="295"/>
      <c r="HC35" s="295"/>
      <c r="HD35" s="295"/>
      <c r="HE35" s="34"/>
      <c r="HF35" s="295"/>
      <c r="HG35" s="295"/>
      <c r="HH35" s="295"/>
      <c r="HI35" s="295"/>
      <c r="HJ35" s="295"/>
      <c r="HK35" s="295"/>
      <c r="HL35" s="295"/>
      <c r="HM35" s="295"/>
      <c r="HN35" s="295"/>
      <c r="HO35" s="295"/>
      <c r="HP35" s="295"/>
      <c r="HQ35" s="34"/>
      <c r="HR35" s="295"/>
      <c r="HS35" s="295"/>
      <c r="HT35" s="295"/>
      <c r="HU35" s="295"/>
      <c r="HV35" s="295"/>
      <c r="HW35" s="295"/>
      <c r="HX35" s="295"/>
      <c r="HY35" s="295"/>
      <c r="HZ35" s="295"/>
      <c r="IA35" s="295"/>
      <c r="IB35" s="295"/>
      <c r="IC35" s="34"/>
      <c r="ID35" s="295"/>
      <c r="IE35" s="295"/>
      <c r="IF35" s="295"/>
      <c r="IG35" s="295"/>
      <c r="IH35" s="295"/>
      <c r="II35" s="295"/>
      <c r="IJ35" s="295"/>
      <c r="IK35" s="295"/>
      <c r="IL35" s="295"/>
      <c r="IM35" s="295"/>
      <c r="IN35" s="295"/>
      <c r="IO35" s="34"/>
      <c r="IP35" s="295"/>
      <c r="IQ35" s="295"/>
      <c r="IR35" s="295"/>
    </row>
    <row r="36" spans="1:252" s="5" customFormat="1" ht="14.25">
      <c r="A36" s="34" t="s">
        <v>817</v>
      </c>
      <c r="B36" s="295">
        <v>7.2</v>
      </c>
      <c r="C36" s="295">
        <v>7</v>
      </c>
      <c r="D36" s="295">
        <v>9</v>
      </c>
      <c r="E36" s="295">
        <v>9.6</v>
      </c>
      <c r="F36" s="295">
        <v>9.6999999999999993</v>
      </c>
      <c r="G36" s="296">
        <v>10.5</v>
      </c>
      <c r="H36" s="295">
        <v>10.9</v>
      </c>
      <c r="I36" s="295">
        <v>10.199999999999999</v>
      </c>
      <c r="J36" s="295">
        <v>9.6</v>
      </c>
      <c r="K36" s="295">
        <v>9.1</v>
      </c>
      <c r="L36" s="291"/>
      <c r="M36" s="291"/>
      <c r="N36" s="291"/>
      <c r="O36" s="291"/>
      <c r="P36" s="292"/>
      <c r="Q36" s="292"/>
      <c r="R36" s="292"/>
      <c r="S36" s="292"/>
      <c r="T36" s="292"/>
      <c r="U36" s="35"/>
      <c r="V36" s="291"/>
      <c r="W36" s="291"/>
      <c r="X36" s="291"/>
      <c r="Y36" s="291"/>
      <c r="Z36" s="291"/>
      <c r="AA36" s="291"/>
      <c r="AB36" s="292"/>
      <c r="AC36" s="292"/>
      <c r="AD36" s="292"/>
      <c r="AE36" s="292"/>
      <c r="AF36" s="292"/>
      <c r="AG36" s="35"/>
      <c r="AH36" s="291"/>
      <c r="AI36" s="291"/>
      <c r="AJ36" s="291"/>
      <c r="AK36" s="291"/>
      <c r="AL36" s="291"/>
      <c r="AM36" s="291"/>
      <c r="AN36" s="292"/>
      <c r="AO36" s="292"/>
      <c r="AP36" s="292"/>
      <c r="AQ36" s="292"/>
      <c r="AR36" s="292"/>
      <c r="AS36" s="35"/>
      <c r="AT36" s="291"/>
      <c r="AU36" s="291"/>
      <c r="AV36" s="291"/>
      <c r="AW36" s="291"/>
      <c r="AX36" s="291"/>
      <c r="AY36" s="291"/>
      <c r="AZ36" s="292"/>
      <c r="BA36" s="292"/>
      <c r="BB36" s="292"/>
      <c r="BC36" s="292"/>
      <c r="BD36" s="292"/>
      <c r="BE36" s="35"/>
      <c r="BF36" s="291"/>
      <c r="BG36" s="291"/>
      <c r="BH36" s="291"/>
      <c r="BI36" s="291"/>
      <c r="BJ36" s="291"/>
      <c r="BK36" s="291"/>
      <c r="BL36" s="292"/>
      <c r="BM36" s="292"/>
      <c r="BN36" s="292"/>
      <c r="BO36" s="292"/>
      <c r="BP36" s="292"/>
      <c r="BQ36" s="35"/>
      <c r="BR36" s="291"/>
      <c r="BS36" s="291"/>
      <c r="BT36" s="291"/>
      <c r="BU36" s="291"/>
      <c r="BV36" s="291"/>
      <c r="BW36" s="291"/>
      <c r="BX36" s="292"/>
      <c r="BY36" s="292"/>
      <c r="BZ36" s="292"/>
      <c r="CA36" s="292"/>
      <c r="CB36" s="292"/>
      <c r="CC36" s="35"/>
      <c r="CD36" s="291"/>
      <c r="CE36" s="291"/>
      <c r="CF36" s="291"/>
      <c r="CG36" s="291"/>
      <c r="CH36" s="291"/>
      <c r="CI36" s="291"/>
      <c r="CJ36" s="292"/>
      <c r="CK36" s="292"/>
      <c r="CL36" s="292"/>
      <c r="CM36" s="292"/>
      <c r="CN36" s="292"/>
      <c r="CO36" s="35"/>
      <c r="CP36" s="291"/>
      <c r="CQ36" s="291"/>
      <c r="CR36" s="291"/>
      <c r="CS36" s="291"/>
      <c r="CT36" s="291"/>
      <c r="CU36" s="291"/>
      <c r="CV36" s="292"/>
      <c r="CW36" s="292"/>
      <c r="CX36" s="292"/>
      <c r="CY36" s="292"/>
      <c r="CZ36" s="292"/>
      <c r="DA36" s="35"/>
      <c r="DB36" s="291"/>
      <c r="DC36" s="291"/>
      <c r="DD36" s="291"/>
      <c r="DE36" s="291"/>
      <c r="DF36" s="291"/>
      <c r="DG36" s="291"/>
      <c r="DH36" s="292"/>
      <c r="DI36" s="292"/>
      <c r="DJ36" s="292"/>
      <c r="DK36" s="292"/>
      <c r="DL36" s="292"/>
      <c r="DM36" s="35"/>
      <c r="DN36" s="291"/>
      <c r="DO36" s="291"/>
      <c r="DP36" s="291"/>
      <c r="DQ36" s="291"/>
      <c r="DR36" s="291"/>
      <c r="DS36" s="291"/>
      <c r="DT36" s="292"/>
      <c r="DU36" s="292"/>
      <c r="DV36" s="292"/>
      <c r="DW36" s="292"/>
      <c r="DX36" s="292"/>
      <c r="DY36" s="35"/>
      <c r="DZ36" s="291"/>
      <c r="EA36" s="291"/>
      <c r="EB36" s="291"/>
      <c r="EC36" s="291"/>
      <c r="ED36" s="291"/>
      <c r="EE36" s="291"/>
      <c r="EF36" s="292"/>
      <c r="EG36" s="292"/>
      <c r="EH36" s="292"/>
      <c r="EI36" s="292"/>
      <c r="EJ36" s="292"/>
      <c r="EK36" s="35"/>
      <c r="EL36" s="291"/>
      <c r="EM36" s="291"/>
      <c r="EN36" s="291"/>
      <c r="EO36" s="291"/>
      <c r="EP36" s="291"/>
      <c r="EQ36" s="291"/>
      <c r="ER36" s="292"/>
      <c r="ES36" s="292"/>
      <c r="ET36" s="292"/>
      <c r="EU36" s="292"/>
      <c r="EV36" s="292"/>
      <c r="EW36" s="35"/>
      <c r="EX36" s="291"/>
      <c r="EY36" s="291"/>
      <c r="EZ36" s="291"/>
      <c r="FA36" s="291"/>
      <c r="FB36" s="291"/>
      <c r="FC36" s="291"/>
      <c r="FD36" s="292"/>
      <c r="FE36" s="292"/>
      <c r="FF36" s="292"/>
      <c r="FG36" s="292"/>
      <c r="FH36" s="292"/>
      <c r="FI36" s="35"/>
      <c r="FJ36" s="291"/>
      <c r="FK36" s="291"/>
      <c r="FL36" s="291"/>
      <c r="FM36" s="291"/>
      <c r="FN36" s="291"/>
      <c r="FO36" s="291"/>
      <c r="FP36" s="292"/>
      <c r="FQ36" s="292"/>
      <c r="FR36" s="292"/>
      <c r="FS36" s="292"/>
      <c r="FT36" s="292"/>
      <c r="FU36" s="35"/>
      <c r="FV36" s="291"/>
      <c r="FW36" s="291"/>
      <c r="FX36" s="291"/>
      <c r="FY36" s="291"/>
      <c r="FZ36" s="291"/>
      <c r="GA36" s="291"/>
      <c r="GB36" s="292"/>
      <c r="GC36" s="292"/>
      <c r="GD36" s="292"/>
      <c r="GE36" s="292"/>
      <c r="GF36" s="292"/>
      <c r="GG36" s="35"/>
      <c r="GH36" s="291"/>
      <c r="GI36" s="291"/>
      <c r="GJ36" s="291"/>
      <c r="GK36" s="291"/>
      <c r="GL36" s="291"/>
      <c r="GM36" s="291"/>
      <c r="GN36" s="292"/>
      <c r="GO36" s="292"/>
      <c r="GP36" s="292"/>
      <c r="GQ36" s="292"/>
      <c r="GR36" s="292"/>
      <c r="GS36" s="35"/>
      <c r="GT36" s="291"/>
      <c r="GU36" s="291"/>
      <c r="GV36" s="291"/>
      <c r="GW36" s="291"/>
      <c r="GX36" s="291"/>
      <c r="GY36" s="291"/>
      <c r="GZ36" s="292"/>
      <c r="HA36" s="292"/>
      <c r="HB36" s="292"/>
      <c r="HC36" s="292"/>
      <c r="HD36" s="292"/>
      <c r="HE36" s="35"/>
      <c r="HF36" s="291"/>
      <c r="HG36" s="291"/>
      <c r="HH36" s="291"/>
      <c r="HI36" s="291"/>
      <c r="HJ36" s="291"/>
      <c r="HK36" s="291"/>
      <c r="HL36" s="292"/>
      <c r="HM36" s="292"/>
      <c r="HN36" s="292"/>
      <c r="HO36" s="292"/>
      <c r="HP36" s="292"/>
      <c r="HQ36" s="35"/>
      <c r="HR36" s="291"/>
      <c r="HS36" s="291"/>
      <c r="HT36" s="291"/>
      <c r="HU36" s="291"/>
      <c r="HV36" s="291"/>
      <c r="HW36" s="291"/>
      <c r="HX36" s="292"/>
      <c r="HY36" s="292"/>
      <c r="HZ36" s="292"/>
      <c r="IA36" s="292"/>
      <c r="IB36" s="292"/>
      <c r="IC36" s="35"/>
      <c r="ID36" s="291"/>
      <c r="IE36" s="291"/>
      <c r="IF36" s="291"/>
      <c r="IG36" s="291"/>
      <c r="IH36" s="291"/>
      <c r="II36" s="291"/>
      <c r="IJ36" s="292"/>
      <c r="IK36" s="292"/>
      <c r="IL36" s="292"/>
      <c r="IM36" s="292"/>
      <c r="IN36" s="292"/>
      <c r="IO36" s="35"/>
      <c r="IP36" s="291"/>
      <c r="IQ36" s="291"/>
      <c r="IR36" s="291"/>
    </row>
    <row r="37" spans="1:252" s="5" customFormat="1" ht="14.25">
      <c r="A37" s="35" t="s">
        <v>2</v>
      </c>
      <c r="B37" s="291">
        <v>4.5999999999999996</v>
      </c>
      <c r="C37" s="397">
        <v>5.8</v>
      </c>
      <c r="D37" s="397">
        <v>9.3000000000000007</v>
      </c>
      <c r="E37" s="397">
        <v>9.6</v>
      </c>
      <c r="F37" s="397">
        <v>8.9</v>
      </c>
      <c r="G37" s="397">
        <v>8.1</v>
      </c>
      <c r="H37" s="291">
        <v>7.4</v>
      </c>
      <c r="I37" s="291">
        <v>6.2</v>
      </c>
      <c r="J37" s="291">
        <v>5.4</v>
      </c>
      <c r="K37" s="291">
        <v>5</v>
      </c>
      <c r="L37" s="291"/>
      <c r="M37" s="291"/>
      <c r="N37" s="291"/>
      <c r="O37" s="291"/>
      <c r="P37" s="292"/>
      <c r="Q37" s="292"/>
      <c r="R37" s="292"/>
      <c r="S37" s="292"/>
      <c r="T37" s="292"/>
      <c r="U37" s="35"/>
      <c r="V37" s="291"/>
      <c r="W37" s="291"/>
      <c r="X37" s="291"/>
      <c r="Y37" s="291"/>
      <c r="Z37" s="291"/>
      <c r="AA37" s="291"/>
      <c r="AB37" s="292"/>
      <c r="AC37" s="292"/>
      <c r="AD37" s="292"/>
      <c r="AE37" s="292"/>
      <c r="AF37" s="292"/>
      <c r="AG37" s="35"/>
      <c r="AH37" s="291"/>
      <c r="AI37" s="291"/>
      <c r="AJ37" s="291"/>
      <c r="AK37" s="291"/>
      <c r="AL37" s="291"/>
      <c r="AM37" s="291"/>
      <c r="AN37" s="292"/>
      <c r="AO37" s="292"/>
      <c r="AP37" s="292"/>
      <c r="AQ37" s="292"/>
      <c r="AR37" s="292"/>
      <c r="AS37" s="35"/>
      <c r="AT37" s="291"/>
      <c r="AU37" s="291"/>
      <c r="AV37" s="291"/>
      <c r="AW37" s="291"/>
      <c r="AX37" s="291"/>
      <c r="AY37" s="291"/>
      <c r="AZ37" s="292"/>
      <c r="BA37" s="292"/>
      <c r="BB37" s="292"/>
      <c r="BC37" s="292"/>
      <c r="BD37" s="292"/>
      <c r="BE37" s="35"/>
      <c r="BF37" s="291"/>
      <c r="BG37" s="291"/>
      <c r="BH37" s="291"/>
      <c r="BI37" s="291"/>
      <c r="BJ37" s="291"/>
      <c r="BK37" s="291"/>
      <c r="BL37" s="292"/>
      <c r="BM37" s="292"/>
      <c r="BN37" s="292"/>
      <c r="BO37" s="292"/>
      <c r="BP37" s="292"/>
      <c r="BQ37" s="35"/>
      <c r="BR37" s="291"/>
      <c r="BS37" s="291"/>
      <c r="BT37" s="291"/>
      <c r="BU37" s="291"/>
      <c r="BV37" s="291"/>
      <c r="BW37" s="291"/>
      <c r="BX37" s="292"/>
      <c r="BY37" s="292"/>
      <c r="BZ37" s="292"/>
      <c r="CA37" s="292"/>
      <c r="CB37" s="292"/>
      <c r="CC37" s="35"/>
      <c r="CD37" s="291"/>
      <c r="CE37" s="291"/>
      <c r="CF37" s="291"/>
      <c r="CG37" s="291"/>
      <c r="CH37" s="291"/>
      <c r="CI37" s="291"/>
      <c r="CJ37" s="292"/>
      <c r="CK37" s="292"/>
      <c r="CL37" s="292"/>
      <c r="CM37" s="292"/>
      <c r="CN37" s="292"/>
      <c r="CO37" s="35"/>
      <c r="CP37" s="291"/>
      <c r="CQ37" s="291"/>
      <c r="CR37" s="291"/>
      <c r="CS37" s="291"/>
      <c r="CT37" s="291"/>
      <c r="CU37" s="291"/>
      <c r="CV37" s="292"/>
      <c r="CW37" s="292"/>
      <c r="CX37" s="292"/>
      <c r="CY37" s="292"/>
      <c r="CZ37" s="292"/>
      <c r="DA37" s="35"/>
      <c r="DB37" s="291"/>
      <c r="DC37" s="291"/>
      <c r="DD37" s="291"/>
      <c r="DE37" s="291"/>
      <c r="DF37" s="291"/>
      <c r="DG37" s="291"/>
      <c r="DH37" s="292"/>
      <c r="DI37" s="292"/>
      <c r="DJ37" s="292"/>
      <c r="DK37" s="292"/>
      <c r="DL37" s="292"/>
      <c r="DM37" s="35"/>
      <c r="DN37" s="291"/>
      <c r="DO37" s="291"/>
      <c r="DP37" s="291"/>
      <c r="DQ37" s="291"/>
      <c r="DR37" s="291"/>
      <c r="DS37" s="291"/>
      <c r="DT37" s="292"/>
      <c r="DU37" s="292"/>
      <c r="DV37" s="292"/>
      <c r="DW37" s="292"/>
      <c r="DX37" s="292"/>
      <c r="DY37" s="35"/>
      <c r="DZ37" s="291"/>
      <c r="EA37" s="291"/>
      <c r="EB37" s="291"/>
      <c r="EC37" s="291"/>
      <c r="ED37" s="291"/>
      <c r="EE37" s="291"/>
      <c r="EF37" s="292"/>
      <c r="EG37" s="292"/>
      <c r="EH37" s="292"/>
      <c r="EI37" s="292"/>
      <c r="EJ37" s="292"/>
      <c r="EK37" s="35"/>
      <c r="EL37" s="291"/>
      <c r="EM37" s="291"/>
      <c r="EN37" s="291"/>
      <c r="EO37" s="291"/>
      <c r="EP37" s="291"/>
      <c r="EQ37" s="291"/>
      <c r="ER37" s="292"/>
      <c r="ES37" s="292"/>
      <c r="ET37" s="292"/>
      <c r="EU37" s="292"/>
      <c r="EV37" s="292"/>
      <c r="EW37" s="35"/>
      <c r="EX37" s="291"/>
      <c r="EY37" s="291"/>
      <c r="EZ37" s="291"/>
      <c r="FA37" s="291"/>
      <c r="FB37" s="291"/>
      <c r="FC37" s="291"/>
      <c r="FD37" s="292"/>
      <c r="FE37" s="292"/>
      <c r="FF37" s="292"/>
      <c r="FG37" s="292"/>
      <c r="FH37" s="292"/>
      <c r="FI37" s="35"/>
      <c r="FJ37" s="291"/>
      <c r="FK37" s="291"/>
      <c r="FL37" s="291"/>
      <c r="FM37" s="291"/>
      <c r="FN37" s="291"/>
      <c r="FO37" s="291"/>
      <c r="FP37" s="292"/>
      <c r="FQ37" s="292"/>
      <c r="FR37" s="292"/>
      <c r="FS37" s="292"/>
      <c r="FT37" s="292"/>
      <c r="FU37" s="35"/>
      <c r="FV37" s="291"/>
      <c r="FW37" s="291"/>
      <c r="FX37" s="291"/>
      <c r="FY37" s="291"/>
      <c r="FZ37" s="291"/>
      <c r="GA37" s="291"/>
      <c r="GB37" s="292"/>
      <c r="GC37" s="292"/>
      <c r="GD37" s="292"/>
      <c r="GE37" s="292"/>
      <c r="GF37" s="292"/>
      <c r="GG37" s="35"/>
      <c r="GH37" s="291"/>
      <c r="GI37" s="291"/>
      <c r="GJ37" s="291"/>
      <c r="GK37" s="291"/>
      <c r="GL37" s="291"/>
      <c r="GM37" s="291"/>
      <c r="GN37" s="292"/>
      <c r="GO37" s="292"/>
      <c r="GP37" s="292"/>
      <c r="GQ37" s="292"/>
      <c r="GR37" s="292"/>
      <c r="GS37" s="35"/>
      <c r="GT37" s="291"/>
      <c r="GU37" s="291"/>
      <c r="GV37" s="291"/>
      <c r="GW37" s="291"/>
      <c r="GX37" s="291"/>
      <c r="GY37" s="291"/>
      <c r="GZ37" s="292"/>
      <c r="HA37" s="292"/>
      <c r="HB37" s="292"/>
      <c r="HC37" s="292"/>
      <c r="HD37" s="292"/>
      <c r="HE37" s="35"/>
      <c r="HF37" s="291"/>
      <c r="HG37" s="291"/>
      <c r="HH37" s="291"/>
      <c r="HI37" s="291"/>
      <c r="HJ37" s="291"/>
      <c r="HK37" s="291"/>
      <c r="HL37" s="292"/>
      <c r="HM37" s="292"/>
      <c r="HN37" s="292"/>
      <c r="HO37" s="292"/>
      <c r="HP37" s="292"/>
      <c r="HQ37" s="35"/>
      <c r="HR37" s="291"/>
      <c r="HS37" s="291"/>
      <c r="HT37" s="291"/>
      <c r="HU37" s="291"/>
      <c r="HV37" s="291"/>
      <c r="HW37" s="291"/>
      <c r="HX37" s="292"/>
      <c r="HY37" s="292"/>
      <c r="HZ37" s="292"/>
      <c r="IA37" s="292"/>
      <c r="IB37" s="292"/>
      <c r="IC37" s="35"/>
      <c r="ID37" s="291"/>
      <c r="IE37" s="291"/>
      <c r="IF37" s="291"/>
      <c r="IG37" s="291"/>
      <c r="IH37" s="291"/>
      <c r="II37" s="291"/>
      <c r="IJ37" s="292"/>
      <c r="IK37" s="292"/>
      <c r="IL37" s="292"/>
      <c r="IM37" s="292"/>
      <c r="IN37" s="292"/>
      <c r="IO37" s="35"/>
      <c r="IP37" s="291"/>
      <c r="IQ37" s="291"/>
      <c r="IR37" s="291"/>
    </row>
    <row r="38" spans="1:252" s="4" customFormat="1" ht="14.25">
      <c r="A38" s="35" t="s">
        <v>763</v>
      </c>
      <c r="B38" s="389">
        <v>3.4</v>
      </c>
      <c r="C38" s="389">
        <v>3.1</v>
      </c>
      <c r="D38" s="389">
        <v>3.8</v>
      </c>
      <c r="E38" s="389">
        <v>4.2</v>
      </c>
      <c r="F38" s="389">
        <v>3.8</v>
      </c>
      <c r="G38" s="389">
        <v>3.9</v>
      </c>
      <c r="H38" s="389">
        <v>4.0999999999999996</v>
      </c>
      <c r="I38" s="291">
        <v>3.5</v>
      </c>
      <c r="J38" s="291">
        <v>3.4</v>
      </c>
      <c r="K38" s="291">
        <v>3.6</v>
      </c>
      <c r="L38" s="291"/>
      <c r="M38" s="291"/>
      <c r="N38" s="291"/>
      <c r="O38" s="291"/>
      <c r="P38" s="397"/>
      <c r="Q38" s="397"/>
      <c r="R38" s="397"/>
      <c r="S38" s="397"/>
      <c r="T38" s="397"/>
      <c r="U38" s="35"/>
      <c r="V38" s="291"/>
      <c r="W38" s="291"/>
      <c r="X38" s="291"/>
      <c r="Y38" s="291"/>
      <c r="Z38" s="291"/>
      <c r="AA38" s="291"/>
      <c r="AB38" s="397"/>
      <c r="AC38" s="397"/>
      <c r="AD38" s="397"/>
      <c r="AE38" s="397"/>
      <c r="AF38" s="397"/>
      <c r="AG38" s="35"/>
      <c r="AH38" s="291"/>
      <c r="AI38" s="291"/>
      <c r="AJ38" s="291"/>
      <c r="AK38" s="291"/>
      <c r="AL38" s="291"/>
      <c r="AM38" s="291"/>
      <c r="AN38" s="397"/>
      <c r="AO38" s="397"/>
      <c r="AP38" s="397"/>
      <c r="AQ38" s="397"/>
      <c r="AR38" s="397"/>
      <c r="AS38" s="35"/>
      <c r="AT38" s="291"/>
      <c r="AU38" s="291"/>
      <c r="AV38" s="291"/>
      <c r="AW38" s="291"/>
      <c r="AX38" s="291"/>
      <c r="AY38" s="291"/>
      <c r="AZ38" s="397"/>
      <c r="BA38" s="397"/>
      <c r="BB38" s="397"/>
      <c r="BC38" s="397"/>
      <c r="BD38" s="397"/>
      <c r="BE38" s="35"/>
      <c r="BF38" s="291"/>
      <c r="BG38" s="291"/>
      <c r="BH38" s="291"/>
      <c r="BI38" s="291"/>
      <c r="BJ38" s="291"/>
      <c r="BK38" s="291"/>
      <c r="BL38" s="397"/>
      <c r="BM38" s="397"/>
      <c r="BN38" s="397"/>
      <c r="BO38" s="397"/>
      <c r="BP38" s="397"/>
      <c r="BQ38" s="35"/>
      <c r="BR38" s="291"/>
      <c r="BS38" s="291"/>
      <c r="BT38" s="291"/>
      <c r="BU38" s="291"/>
      <c r="BV38" s="291"/>
      <c r="BW38" s="291"/>
      <c r="BX38" s="397"/>
      <c r="BY38" s="397"/>
      <c r="BZ38" s="397"/>
      <c r="CA38" s="397"/>
      <c r="CB38" s="397"/>
      <c r="CC38" s="35"/>
      <c r="CD38" s="291"/>
      <c r="CE38" s="291"/>
      <c r="CF38" s="291"/>
      <c r="CG38" s="291"/>
      <c r="CH38" s="291"/>
      <c r="CI38" s="291"/>
      <c r="CJ38" s="397"/>
      <c r="CK38" s="397"/>
      <c r="CL38" s="397"/>
      <c r="CM38" s="397"/>
      <c r="CN38" s="397"/>
      <c r="CO38" s="35"/>
      <c r="CP38" s="291"/>
      <c r="CQ38" s="291"/>
      <c r="CR38" s="291"/>
      <c r="CS38" s="291"/>
      <c r="CT38" s="291"/>
      <c r="CU38" s="291"/>
      <c r="CV38" s="397"/>
      <c r="CW38" s="397"/>
      <c r="CX38" s="397"/>
      <c r="CY38" s="397"/>
      <c r="CZ38" s="397"/>
      <c r="DA38" s="35"/>
      <c r="DB38" s="291"/>
      <c r="DC38" s="291"/>
      <c r="DD38" s="291"/>
      <c r="DE38" s="291"/>
      <c r="DF38" s="291"/>
      <c r="DG38" s="291"/>
      <c r="DH38" s="397"/>
      <c r="DI38" s="397"/>
      <c r="DJ38" s="397"/>
      <c r="DK38" s="397"/>
      <c r="DL38" s="397"/>
      <c r="DM38" s="35"/>
      <c r="DN38" s="291"/>
      <c r="DO38" s="291"/>
      <c r="DP38" s="291"/>
      <c r="DQ38" s="291"/>
      <c r="DR38" s="291"/>
      <c r="DS38" s="291"/>
      <c r="DT38" s="397"/>
      <c r="DU38" s="397"/>
      <c r="DV38" s="397"/>
      <c r="DW38" s="397"/>
      <c r="DX38" s="397"/>
      <c r="DY38" s="35"/>
      <c r="DZ38" s="291"/>
      <c r="EA38" s="291"/>
      <c r="EB38" s="291"/>
      <c r="EC38" s="291"/>
      <c r="ED38" s="291"/>
      <c r="EE38" s="291"/>
      <c r="EF38" s="397"/>
      <c r="EG38" s="397"/>
      <c r="EH38" s="397"/>
      <c r="EI38" s="397"/>
      <c r="EJ38" s="397"/>
      <c r="EK38" s="35"/>
      <c r="EL38" s="291"/>
      <c r="EM38" s="291"/>
      <c r="EN38" s="291"/>
      <c r="EO38" s="291"/>
      <c r="EP38" s="291"/>
      <c r="EQ38" s="291"/>
      <c r="ER38" s="397"/>
      <c r="ES38" s="397"/>
      <c r="ET38" s="397"/>
      <c r="EU38" s="397"/>
      <c r="EV38" s="397"/>
      <c r="EW38" s="35"/>
      <c r="EX38" s="291"/>
      <c r="EY38" s="291"/>
      <c r="EZ38" s="291"/>
      <c r="FA38" s="291"/>
      <c r="FB38" s="291"/>
      <c r="FC38" s="291"/>
      <c r="FD38" s="397"/>
      <c r="FE38" s="397"/>
      <c r="FF38" s="397"/>
      <c r="FG38" s="397"/>
      <c r="FH38" s="397"/>
      <c r="FI38" s="35"/>
      <c r="FJ38" s="291"/>
      <c r="FK38" s="291"/>
      <c r="FL38" s="291"/>
      <c r="FM38" s="291"/>
      <c r="FN38" s="291"/>
      <c r="FO38" s="291"/>
      <c r="FP38" s="397"/>
      <c r="FQ38" s="397"/>
      <c r="FR38" s="397"/>
      <c r="FS38" s="397"/>
      <c r="FT38" s="397"/>
      <c r="FU38" s="35"/>
      <c r="FV38" s="291"/>
      <c r="FW38" s="291"/>
      <c r="FX38" s="291"/>
      <c r="FY38" s="291"/>
      <c r="FZ38" s="291"/>
      <c r="GA38" s="291"/>
      <c r="GB38" s="397"/>
      <c r="GC38" s="397"/>
      <c r="GD38" s="397"/>
      <c r="GE38" s="397"/>
      <c r="GF38" s="397"/>
      <c r="GG38" s="35"/>
      <c r="GH38" s="291"/>
      <c r="GI38" s="291"/>
      <c r="GJ38" s="291"/>
      <c r="GK38" s="291"/>
      <c r="GL38" s="291"/>
      <c r="GM38" s="291"/>
      <c r="GN38" s="397"/>
      <c r="GO38" s="397"/>
      <c r="GP38" s="397"/>
      <c r="GQ38" s="397"/>
      <c r="GR38" s="397"/>
      <c r="GS38" s="35"/>
      <c r="GT38" s="291"/>
      <c r="GU38" s="291"/>
      <c r="GV38" s="291"/>
      <c r="GW38" s="291"/>
      <c r="GX38" s="291"/>
      <c r="GY38" s="291"/>
      <c r="GZ38" s="397"/>
      <c r="HA38" s="397"/>
      <c r="HB38" s="397"/>
      <c r="HC38" s="397"/>
      <c r="HD38" s="397"/>
      <c r="HE38" s="35"/>
      <c r="HF38" s="291"/>
      <c r="HG38" s="291"/>
      <c r="HH38" s="291"/>
      <c r="HI38" s="291"/>
      <c r="HJ38" s="291"/>
      <c r="HK38" s="291"/>
      <c r="HL38" s="397"/>
      <c r="HM38" s="397"/>
      <c r="HN38" s="397"/>
      <c r="HO38" s="397"/>
      <c r="HP38" s="397"/>
      <c r="HQ38" s="35"/>
      <c r="HR38" s="291"/>
      <c r="HS38" s="291"/>
      <c r="HT38" s="291"/>
      <c r="HU38" s="291"/>
      <c r="HV38" s="291"/>
      <c r="HW38" s="291"/>
      <c r="HX38" s="397"/>
      <c r="HY38" s="397"/>
      <c r="HZ38" s="397"/>
      <c r="IA38" s="397"/>
      <c r="IB38" s="397"/>
      <c r="IC38" s="35"/>
      <c r="ID38" s="291"/>
      <c r="IE38" s="291"/>
      <c r="IF38" s="291"/>
      <c r="IG38" s="291"/>
      <c r="IH38" s="291"/>
      <c r="II38" s="291"/>
      <c r="IJ38" s="397"/>
      <c r="IK38" s="397"/>
      <c r="IL38" s="397"/>
      <c r="IM38" s="397"/>
      <c r="IN38" s="397"/>
      <c r="IO38" s="35"/>
      <c r="IP38" s="291"/>
      <c r="IQ38" s="291"/>
      <c r="IR38" s="291"/>
    </row>
    <row r="39" spans="1:252" s="4" customFormat="1" ht="14.25">
      <c r="A39" s="35" t="s">
        <v>1</v>
      </c>
      <c r="B39" s="389">
        <v>3.8</v>
      </c>
      <c r="C39" s="389">
        <v>4</v>
      </c>
      <c r="D39" s="389">
        <v>5.0999999999999996</v>
      </c>
      <c r="E39" s="389">
        <v>5</v>
      </c>
      <c r="F39" s="389">
        <v>4.5999999999999996</v>
      </c>
      <c r="G39" s="389">
        <v>4.3</v>
      </c>
      <c r="H39" s="389">
        <v>4</v>
      </c>
      <c r="I39" s="291">
        <v>3.6</v>
      </c>
      <c r="J39" s="291">
        <v>3.6</v>
      </c>
      <c r="K39" s="291">
        <v>3.6</v>
      </c>
      <c r="L39" s="291"/>
      <c r="M39" s="291"/>
      <c r="N39" s="291"/>
      <c r="O39" s="291"/>
      <c r="P39" s="397"/>
      <c r="Q39" s="397"/>
      <c r="R39" s="397"/>
      <c r="S39" s="397"/>
      <c r="T39" s="397"/>
      <c r="U39" s="35"/>
      <c r="V39" s="291"/>
      <c r="W39" s="291"/>
      <c r="X39" s="291"/>
      <c r="Y39" s="291"/>
      <c r="Z39" s="291"/>
      <c r="AA39" s="291"/>
      <c r="AB39" s="397"/>
      <c r="AC39" s="397"/>
      <c r="AD39" s="397"/>
      <c r="AE39" s="397"/>
      <c r="AF39" s="397"/>
      <c r="AG39" s="35"/>
      <c r="AH39" s="291"/>
      <c r="AI39" s="291"/>
      <c r="AJ39" s="291"/>
      <c r="AK39" s="291"/>
      <c r="AL39" s="291"/>
      <c r="AM39" s="291"/>
      <c r="AN39" s="397"/>
      <c r="AO39" s="397"/>
      <c r="AP39" s="397"/>
      <c r="AQ39" s="397"/>
      <c r="AR39" s="397"/>
      <c r="AS39" s="35"/>
      <c r="AT39" s="291"/>
      <c r="AU39" s="291"/>
      <c r="AV39" s="291"/>
      <c r="AW39" s="291"/>
      <c r="AX39" s="291"/>
      <c r="AY39" s="291"/>
      <c r="AZ39" s="397"/>
      <c r="BA39" s="397"/>
      <c r="BB39" s="397"/>
      <c r="BC39" s="397"/>
      <c r="BD39" s="397"/>
      <c r="BE39" s="35"/>
      <c r="BF39" s="291"/>
      <c r="BG39" s="291"/>
      <c r="BH39" s="291"/>
      <c r="BI39" s="291"/>
      <c r="BJ39" s="291"/>
      <c r="BK39" s="291"/>
      <c r="BL39" s="397"/>
      <c r="BM39" s="397"/>
      <c r="BN39" s="397"/>
      <c r="BO39" s="397"/>
      <c r="BP39" s="397"/>
      <c r="BQ39" s="35"/>
      <c r="BR39" s="291"/>
      <c r="BS39" s="291"/>
      <c r="BT39" s="291"/>
      <c r="BU39" s="291"/>
      <c r="BV39" s="291"/>
      <c r="BW39" s="291"/>
      <c r="BX39" s="397"/>
      <c r="BY39" s="397"/>
      <c r="BZ39" s="397"/>
      <c r="CA39" s="397"/>
      <c r="CB39" s="397"/>
      <c r="CC39" s="35"/>
      <c r="CD39" s="291"/>
      <c r="CE39" s="291"/>
      <c r="CF39" s="291"/>
      <c r="CG39" s="291"/>
      <c r="CH39" s="291"/>
      <c r="CI39" s="291"/>
      <c r="CJ39" s="397"/>
      <c r="CK39" s="397"/>
      <c r="CL39" s="397"/>
      <c r="CM39" s="397"/>
      <c r="CN39" s="397"/>
      <c r="CO39" s="35"/>
      <c r="CP39" s="291"/>
      <c r="CQ39" s="291"/>
      <c r="CR39" s="291"/>
      <c r="CS39" s="291"/>
      <c r="CT39" s="291"/>
      <c r="CU39" s="291"/>
      <c r="CV39" s="397"/>
      <c r="CW39" s="397"/>
      <c r="CX39" s="397"/>
      <c r="CY39" s="397"/>
      <c r="CZ39" s="397"/>
      <c r="DA39" s="35"/>
      <c r="DB39" s="291"/>
      <c r="DC39" s="291"/>
      <c r="DD39" s="291"/>
      <c r="DE39" s="291"/>
      <c r="DF39" s="291"/>
      <c r="DG39" s="291"/>
      <c r="DH39" s="397"/>
      <c r="DI39" s="397"/>
      <c r="DJ39" s="397"/>
      <c r="DK39" s="397"/>
      <c r="DL39" s="397"/>
      <c r="DM39" s="35"/>
      <c r="DN39" s="291"/>
      <c r="DO39" s="291"/>
      <c r="DP39" s="291"/>
      <c r="DQ39" s="291"/>
      <c r="DR39" s="291"/>
      <c r="DS39" s="291"/>
      <c r="DT39" s="397"/>
      <c r="DU39" s="397"/>
      <c r="DV39" s="397"/>
      <c r="DW39" s="397"/>
      <c r="DX39" s="397"/>
      <c r="DY39" s="35"/>
      <c r="DZ39" s="291"/>
      <c r="EA39" s="291"/>
      <c r="EB39" s="291"/>
      <c r="EC39" s="291"/>
      <c r="ED39" s="291"/>
      <c r="EE39" s="291"/>
      <c r="EF39" s="397"/>
      <c r="EG39" s="397"/>
      <c r="EH39" s="397"/>
      <c r="EI39" s="397"/>
      <c r="EJ39" s="397"/>
      <c r="EK39" s="35"/>
      <c r="EL39" s="291"/>
      <c r="EM39" s="291"/>
      <c r="EN39" s="291"/>
      <c r="EO39" s="291"/>
      <c r="EP39" s="291"/>
      <c r="EQ39" s="291"/>
      <c r="ER39" s="397"/>
      <c r="ES39" s="397"/>
      <c r="ET39" s="397"/>
      <c r="EU39" s="397"/>
      <c r="EV39" s="397"/>
      <c r="EW39" s="35"/>
      <c r="EX39" s="291"/>
      <c r="EY39" s="291"/>
      <c r="EZ39" s="291"/>
      <c r="FA39" s="291"/>
      <c r="FB39" s="291"/>
      <c r="FC39" s="291"/>
      <c r="FD39" s="397"/>
      <c r="FE39" s="397"/>
      <c r="FF39" s="397"/>
      <c r="FG39" s="397"/>
      <c r="FH39" s="397"/>
      <c r="FI39" s="35"/>
      <c r="FJ39" s="291"/>
      <c r="FK39" s="291"/>
      <c r="FL39" s="291"/>
      <c r="FM39" s="291"/>
      <c r="FN39" s="291"/>
      <c r="FO39" s="291"/>
      <c r="FP39" s="397"/>
      <c r="FQ39" s="397"/>
      <c r="FR39" s="397"/>
      <c r="FS39" s="397"/>
      <c r="FT39" s="397"/>
      <c r="FU39" s="35"/>
      <c r="FV39" s="291"/>
      <c r="FW39" s="291"/>
      <c r="FX39" s="291"/>
      <c r="FY39" s="291"/>
      <c r="FZ39" s="291"/>
      <c r="GA39" s="291"/>
      <c r="GB39" s="397"/>
      <c r="GC39" s="397"/>
      <c r="GD39" s="397"/>
      <c r="GE39" s="397"/>
      <c r="GF39" s="397"/>
      <c r="GG39" s="35"/>
      <c r="GH39" s="291"/>
      <c r="GI39" s="291"/>
      <c r="GJ39" s="291"/>
      <c r="GK39" s="291"/>
      <c r="GL39" s="291"/>
      <c r="GM39" s="291"/>
      <c r="GN39" s="397"/>
      <c r="GO39" s="397"/>
      <c r="GP39" s="397"/>
      <c r="GQ39" s="397"/>
      <c r="GR39" s="397"/>
      <c r="GS39" s="35"/>
      <c r="GT39" s="291"/>
      <c r="GU39" s="291"/>
      <c r="GV39" s="291"/>
      <c r="GW39" s="291"/>
      <c r="GX39" s="291"/>
      <c r="GY39" s="291"/>
      <c r="GZ39" s="397"/>
      <c r="HA39" s="397"/>
      <c r="HB39" s="397"/>
      <c r="HC39" s="397"/>
      <c r="HD39" s="397"/>
      <c r="HE39" s="35"/>
      <c r="HF39" s="291"/>
      <c r="HG39" s="291"/>
      <c r="HH39" s="291"/>
      <c r="HI39" s="291"/>
      <c r="HJ39" s="291"/>
      <c r="HK39" s="291"/>
      <c r="HL39" s="397"/>
      <c r="HM39" s="397"/>
      <c r="HN39" s="397"/>
      <c r="HO39" s="397"/>
      <c r="HP39" s="397"/>
      <c r="HQ39" s="35"/>
      <c r="HR39" s="291"/>
      <c r="HS39" s="291"/>
      <c r="HT39" s="291"/>
      <c r="HU39" s="291"/>
      <c r="HV39" s="291"/>
      <c r="HW39" s="291"/>
      <c r="HX39" s="397"/>
      <c r="HY39" s="397"/>
      <c r="HZ39" s="397"/>
      <c r="IA39" s="397"/>
      <c r="IB39" s="397"/>
      <c r="IC39" s="35"/>
      <c r="ID39" s="291"/>
      <c r="IE39" s="291"/>
      <c r="IF39" s="291"/>
      <c r="IG39" s="291"/>
      <c r="IH39" s="291"/>
      <c r="II39" s="291"/>
      <c r="IJ39" s="397"/>
      <c r="IK39" s="397"/>
      <c r="IL39" s="397"/>
      <c r="IM39" s="397"/>
      <c r="IN39" s="397"/>
      <c r="IO39" s="35"/>
      <c r="IP39" s="291"/>
      <c r="IQ39" s="291"/>
      <c r="IR39" s="291"/>
    </row>
    <row r="40" spans="1:252" s="284" customFormat="1" ht="14.25">
      <c r="A40" s="447"/>
      <c r="B40" s="448"/>
      <c r="C40" s="448"/>
      <c r="D40" s="448"/>
      <c r="E40" s="404"/>
      <c r="F40" s="404"/>
      <c r="G40" s="404"/>
      <c r="H40" s="404"/>
      <c r="I40" s="404"/>
      <c r="J40" s="404"/>
      <c r="K40" s="404"/>
    </row>
    <row r="41" spans="1:252" s="7" customFormat="1" ht="14.25">
      <c r="A41" s="44"/>
      <c r="B41" s="2"/>
      <c r="C41" s="2"/>
      <c r="D41" s="2"/>
      <c r="E41" s="2"/>
      <c r="F41" s="2"/>
      <c r="G41" s="2"/>
      <c r="H41" s="2"/>
      <c r="I41" s="2"/>
      <c r="J41" s="2"/>
      <c r="K41" s="2"/>
    </row>
    <row r="42" spans="1:252" ht="14.25">
      <c r="A42" s="44" t="s">
        <v>1020</v>
      </c>
    </row>
    <row r="43" spans="1:252" ht="14.25">
      <c r="A43" s="44" t="s">
        <v>1019</v>
      </c>
    </row>
    <row r="44" spans="1:252" ht="11.45" customHeight="1">
      <c r="A44" s="43"/>
    </row>
  </sheetData>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dimension ref="A1:AC189"/>
  <sheetViews>
    <sheetView workbookViewId="0">
      <pane xSplit="10" ySplit="7" topLeftCell="Q8"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0" t="s">
        <v>743</v>
      </c>
      <c r="B4" s="188"/>
      <c r="C4" s="188"/>
    </row>
    <row r="5" spans="1:27" s="131" customFormat="1" ht="15">
      <c r="A5" s="160"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153"/>
      <c r="L159" s="153"/>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dimension ref="A1:AC189"/>
  <sheetViews>
    <sheetView workbookViewId="0">
      <pane xSplit="10" ySplit="7" topLeftCell="Q8"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7" t="s">
        <v>743</v>
      </c>
      <c r="B4" s="188"/>
      <c r="C4" s="188"/>
    </row>
    <row r="5" spans="1:27" s="131" customFormat="1" ht="15">
      <c r="A5" s="131"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285"/>
      <c r="L159" s="285"/>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AC189"/>
  <sheetViews>
    <sheetView workbookViewId="0">
      <pane xSplit="10" ySplit="7" topLeftCell="Q162"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7" t="s">
        <v>743</v>
      </c>
      <c r="B4" s="188"/>
      <c r="C4" s="188"/>
    </row>
    <row r="5" spans="1:27" s="131" customFormat="1" ht="15">
      <c r="A5" s="131"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285"/>
      <c r="L159" s="285"/>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dimension ref="A1:AC189"/>
  <sheetViews>
    <sheetView workbookViewId="0">
      <pane xSplit="10" ySplit="7" topLeftCell="Q8" activePane="bottomRight" state="frozen"/>
      <selection activeCell="AE18" sqref="AE18"/>
      <selection pane="topRight" activeCell="AE18" sqref="AE18"/>
      <selection pane="bottomLeft" activeCell="AE18" sqref="AE18"/>
      <selection pane="bottomRight" activeCell="AE18" sqref="AE18"/>
    </sheetView>
  </sheetViews>
  <sheetFormatPr baseColWidth="10" defaultRowHeight="12.75" outlineLevelRow="1" outlineLevelCol="1"/>
  <cols>
    <col min="1" max="1" width="45.28515625" style="185" customWidth="1"/>
    <col min="2" max="3" width="11.7109375" style="186" hidden="1" customWidth="1" outlineLevel="1"/>
    <col min="4" max="10" width="6.5703125" style="185" hidden="1" customWidth="1" outlineLevel="1"/>
    <col min="11" max="11" width="6.5703125" style="185" hidden="1" customWidth="1" collapsed="1"/>
    <col min="12" max="12" width="0.140625" style="185" hidden="1" customWidth="1"/>
    <col min="13" max="14" width="7.7109375" style="185" hidden="1" customWidth="1"/>
    <col min="15" max="15" width="9" style="185" hidden="1" customWidth="1" outlineLevel="1"/>
    <col min="16" max="16" width="9" style="185" hidden="1" customWidth="1" collapsed="1"/>
    <col min="17" max="17" width="6.28515625" style="185" customWidth="1"/>
    <col min="18" max="18" width="6.28515625" style="185" hidden="1" customWidth="1" outlineLevel="1"/>
    <col min="19" max="19" width="6.28515625" style="185" customWidth="1" collapsed="1"/>
    <col min="20" max="20" width="6.28515625" style="185" hidden="1" customWidth="1" outlineLevel="1"/>
    <col min="21" max="21" width="6.28515625" style="185" customWidth="1" collapsed="1"/>
    <col min="22" max="22" width="6.28515625" style="185" hidden="1" customWidth="1" outlineLevel="1"/>
    <col min="23" max="23" width="6.28515625" style="185" customWidth="1" collapsed="1"/>
    <col min="24" max="24" width="6.28515625" style="185" hidden="1" customWidth="1" outlineLevel="1"/>
    <col min="25" max="25" width="6.28515625" style="185" customWidth="1" collapsed="1"/>
    <col min="26" max="27" width="6.28515625" style="185" customWidth="1"/>
    <col min="28" max="28" width="17.42578125" style="185" bestFit="1" customWidth="1"/>
    <col min="29" max="256" width="11.42578125" style="185"/>
    <col min="257" max="257" width="59.5703125" style="185" customWidth="1"/>
    <col min="258" max="266" width="0" style="185" hidden="1" customWidth="1"/>
    <col min="267" max="267" width="6.5703125" style="185" customWidth="1"/>
    <col min="268" max="268" width="6.85546875" style="185" bestFit="1" customWidth="1"/>
    <col min="269" max="270" width="7.7109375" style="185" bestFit="1" customWidth="1"/>
    <col min="271" max="271" width="0" style="185" hidden="1" customWidth="1"/>
    <col min="272" max="272" width="9" style="185" customWidth="1"/>
    <col min="273" max="273" width="8" style="185" bestFit="1" customWidth="1"/>
    <col min="274" max="274" width="0" style="185" hidden="1" customWidth="1"/>
    <col min="275" max="275" width="8" style="185" customWidth="1"/>
    <col min="276" max="276" width="0" style="185" hidden="1" customWidth="1"/>
    <col min="277" max="277" width="8" style="185" bestFit="1" customWidth="1"/>
    <col min="278" max="278" width="0" style="185" hidden="1" customWidth="1"/>
    <col min="279" max="279" width="8" style="185" customWidth="1"/>
    <col min="280" max="280" width="0" style="185" hidden="1" customWidth="1"/>
    <col min="281" max="283" width="8" style="185" bestFit="1" customWidth="1"/>
    <col min="284" max="284" width="17.42578125" style="185" bestFit="1" customWidth="1"/>
    <col min="285" max="512" width="11.42578125" style="185"/>
    <col min="513" max="513" width="59.5703125" style="185" customWidth="1"/>
    <col min="514" max="522" width="0" style="185" hidden="1" customWidth="1"/>
    <col min="523" max="523" width="6.5703125" style="185" customWidth="1"/>
    <col min="524" max="524" width="6.85546875" style="185" bestFit="1" customWidth="1"/>
    <col min="525" max="526" width="7.7109375" style="185" bestFit="1" customWidth="1"/>
    <col min="527" max="527" width="0" style="185" hidden="1" customWidth="1"/>
    <col min="528" max="528" width="9" style="185" customWidth="1"/>
    <col min="529" max="529" width="8" style="185" bestFit="1" customWidth="1"/>
    <col min="530" max="530" width="0" style="185" hidden="1" customWidth="1"/>
    <col min="531" max="531" width="8" style="185" customWidth="1"/>
    <col min="532" max="532" width="0" style="185" hidden="1" customWidth="1"/>
    <col min="533" max="533" width="8" style="185" bestFit="1" customWidth="1"/>
    <col min="534" max="534" width="0" style="185" hidden="1" customWidth="1"/>
    <col min="535" max="535" width="8" style="185" customWidth="1"/>
    <col min="536" max="536" width="0" style="185" hidden="1" customWidth="1"/>
    <col min="537" max="539" width="8" style="185" bestFit="1" customWidth="1"/>
    <col min="540" max="540" width="17.42578125" style="185" bestFit="1" customWidth="1"/>
    <col min="541" max="768" width="11.42578125" style="185"/>
    <col min="769" max="769" width="59.5703125" style="185" customWidth="1"/>
    <col min="770" max="778" width="0" style="185" hidden="1" customWidth="1"/>
    <col min="779" max="779" width="6.5703125" style="185" customWidth="1"/>
    <col min="780" max="780" width="6.85546875" style="185" bestFit="1" customWidth="1"/>
    <col min="781" max="782" width="7.7109375" style="185" bestFit="1" customWidth="1"/>
    <col min="783" max="783" width="0" style="185" hidden="1" customWidth="1"/>
    <col min="784" max="784" width="9" style="185" customWidth="1"/>
    <col min="785" max="785" width="8" style="185" bestFit="1" customWidth="1"/>
    <col min="786" max="786" width="0" style="185" hidden="1" customWidth="1"/>
    <col min="787" max="787" width="8" style="185" customWidth="1"/>
    <col min="788" max="788" width="0" style="185" hidden="1" customWidth="1"/>
    <col min="789" max="789" width="8" style="185" bestFit="1" customWidth="1"/>
    <col min="790" max="790" width="0" style="185" hidden="1" customWidth="1"/>
    <col min="791" max="791" width="8" style="185" customWidth="1"/>
    <col min="792" max="792" width="0" style="185" hidden="1" customWidth="1"/>
    <col min="793" max="795" width="8" style="185" bestFit="1" customWidth="1"/>
    <col min="796" max="796" width="17.42578125" style="185" bestFit="1" customWidth="1"/>
    <col min="797" max="1024" width="11.42578125" style="185"/>
    <col min="1025" max="1025" width="59.5703125" style="185" customWidth="1"/>
    <col min="1026" max="1034" width="0" style="185" hidden="1" customWidth="1"/>
    <col min="1035" max="1035" width="6.5703125" style="185" customWidth="1"/>
    <col min="1036" max="1036" width="6.85546875" style="185" bestFit="1" customWidth="1"/>
    <col min="1037" max="1038" width="7.7109375" style="185" bestFit="1" customWidth="1"/>
    <col min="1039" max="1039" width="0" style="185" hidden="1" customWidth="1"/>
    <col min="1040" max="1040" width="9" style="185" customWidth="1"/>
    <col min="1041" max="1041" width="8" style="185" bestFit="1" customWidth="1"/>
    <col min="1042" max="1042" width="0" style="185" hidden="1" customWidth="1"/>
    <col min="1043" max="1043" width="8" style="185" customWidth="1"/>
    <col min="1044" max="1044" width="0" style="185" hidden="1" customWidth="1"/>
    <col min="1045" max="1045" width="8" style="185" bestFit="1" customWidth="1"/>
    <col min="1046" max="1046" width="0" style="185" hidden="1" customWidth="1"/>
    <col min="1047" max="1047" width="8" style="185" customWidth="1"/>
    <col min="1048" max="1048" width="0" style="185" hidden="1" customWidth="1"/>
    <col min="1049" max="1051" width="8" style="185" bestFit="1" customWidth="1"/>
    <col min="1052" max="1052" width="17.42578125" style="185" bestFit="1" customWidth="1"/>
    <col min="1053" max="1280" width="11.42578125" style="185"/>
    <col min="1281" max="1281" width="59.5703125" style="185" customWidth="1"/>
    <col min="1282" max="1290" width="0" style="185" hidden="1" customWidth="1"/>
    <col min="1291" max="1291" width="6.5703125" style="185" customWidth="1"/>
    <col min="1292" max="1292" width="6.85546875" style="185" bestFit="1" customWidth="1"/>
    <col min="1293" max="1294" width="7.7109375" style="185" bestFit="1" customWidth="1"/>
    <col min="1295" max="1295" width="0" style="185" hidden="1" customWidth="1"/>
    <col min="1296" max="1296" width="9" style="185" customWidth="1"/>
    <col min="1297" max="1297" width="8" style="185" bestFit="1" customWidth="1"/>
    <col min="1298" max="1298" width="0" style="185" hidden="1" customWidth="1"/>
    <col min="1299" max="1299" width="8" style="185" customWidth="1"/>
    <col min="1300" max="1300" width="0" style="185" hidden="1" customWidth="1"/>
    <col min="1301" max="1301" width="8" style="185" bestFit="1" customWidth="1"/>
    <col min="1302" max="1302" width="0" style="185" hidden="1" customWidth="1"/>
    <col min="1303" max="1303" width="8" style="185" customWidth="1"/>
    <col min="1304" max="1304" width="0" style="185" hidden="1" customWidth="1"/>
    <col min="1305" max="1307" width="8" style="185" bestFit="1" customWidth="1"/>
    <col min="1308" max="1308" width="17.42578125" style="185" bestFit="1" customWidth="1"/>
    <col min="1309" max="1536" width="11.42578125" style="185"/>
    <col min="1537" max="1537" width="59.5703125" style="185" customWidth="1"/>
    <col min="1538" max="1546" width="0" style="185" hidden="1" customWidth="1"/>
    <col min="1547" max="1547" width="6.5703125" style="185" customWidth="1"/>
    <col min="1548" max="1548" width="6.85546875" style="185" bestFit="1" customWidth="1"/>
    <col min="1549" max="1550" width="7.7109375" style="185" bestFit="1" customWidth="1"/>
    <col min="1551" max="1551" width="0" style="185" hidden="1" customWidth="1"/>
    <col min="1552" max="1552" width="9" style="185" customWidth="1"/>
    <col min="1553" max="1553" width="8" style="185" bestFit="1" customWidth="1"/>
    <col min="1554" max="1554" width="0" style="185" hidden="1" customWidth="1"/>
    <col min="1555" max="1555" width="8" style="185" customWidth="1"/>
    <col min="1556" max="1556" width="0" style="185" hidden="1" customWidth="1"/>
    <col min="1557" max="1557" width="8" style="185" bestFit="1" customWidth="1"/>
    <col min="1558" max="1558" width="0" style="185" hidden="1" customWidth="1"/>
    <col min="1559" max="1559" width="8" style="185" customWidth="1"/>
    <col min="1560" max="1560" width="0" style="185" hidden="1" customWidth="1"/>
    <col min="1561" max="1563" width="8" style="185" bestFit="1" customWidth="1"/>
    <col min="1564" max="1564" width="17.42578125" style="185" bestFit="1" customWidth="1"/>
    <col min="1565" max="1792" width="11.42578125" style="185"/>
    <col min="1793" max="1793" width="59.5703125" style="185" customWidth="1"/>
    <col min="1794" max="1802" width="0" style="185" hidden="1" customWidth="1"/>
    <col min="1803" max="1803" width="6.5703125" style="185" customWidth="1"/>
    <col min="1804" max="1804" width="6.85546875" style="185" bestFit="1" customWidth="1"/>
    <col min="1805" max="1806" width="7.7109375" style="185" bestFit="1" customWidth="1"/>
    <col min="1807" max="1807" width="0" style="185" hidden="1" customWidth="1"/>
    <col min="1808" max="1808" width="9" style="185" customWidth="1"/>
    <col min="1809" max="1809" width="8" style="185" bestFit="1" customWidth="1"/>
    <col min="1810" max="1810" width="0" style="185" hidden="1" customWidth="1"/>
    <col min="1811" max="1811" width="8" style="185" customWidth="1"/>
    <col min="1812" max="1812" width="0" style="185" hidden="1" customWidth="1"/>
    <col min="1813" max="1813" width="8" style="185" bestFit="1" customWidth="1"/>
    <col min="1814" max="1814" width="0" style="185" hidden="1" customWidth="1"/>
    <col min="1815" max="1815" width="8" style="185" customWidth="1"/>
    <col min="1816" max="1816" width="0" style="185" hidden="1" customWidth="1"/>
    <col min="1817" max="1819" width="8" style="185" bestFit="1" customWidth="1"/>
    <col min="1820" max="1820" width="17.42578125" style="185" bestFit="1" customWidth="1"/>
    <col min="1821" max="2048" width="11.42578125" style="185"/>
    <col min="2049" max="2049" width="59.5703125" style="185" customWidth="1"/>
    <col min="2050" max="2058" width="0" style="185" hidden="1" customWidth="1"/>
    <col min="2059" max="2059" width="6.5703125" style="185" customWidth="1"/>
    <col min="2060" max="2060" width="6.85546875" style="185" bestFit="1" customWidth="1"/>
    <col min="2061" max="2062" width="7.7109375" style="185" bestFit="1" customWidth="1"/>
    <col min="2063" max="2063" width="0" style="185" hidden="1" customWidth="1"/>
    <col min="2064" max="2064" width="9" style="185" customWidth="1"/>
    <col min="2065" max="2065" width="8" style="185" bestFit="1" customWidth="1"/>
    <col min="2066" max="2066" width="0" style="185" hidden="1" customWidth="1"/>
    <col min="2067" max="2067" width="8" style="185" customWidth="1"/>
    <col min="2068" max="2068" width="0" style="185" hidden="1" customWidth="1"/>
    <col min="2069" max="2069" width="8" style="185" bestFit="1" customWidth="1"/>
    <col min="2070" max="2070" width="0" style="185" hidden="1" customWidth="1"/>
    <col min="2071" max="2071" width="8" style="185" customWidth="1"/>
    <col min="2072" max="2072" width="0" style="185" hidden="1" customWidth="1"/>
    <col min="2073" max="2075" width="8" style="185" bestFit="1" customWidth="1"/>
    <col min="2076" max="2076" width="17.42578125" style="185" bestFit="1" customWidth="1"/>
    <col min="2077" max="2304" width="11.42578125" style="185"/>
    <col min="2305" max="2305" width="59.5703125" style="185" customWidth="1"/>
    <col min="2306" max="2314" width="0" style="185" hidden="1" customWidth="1"/>
    <col min="2315" max="2315" width="6.5703125" style="185" customWidth="1"/>
    <col min="2316" max="2316" width="6.85546875" style="185" bestFit="1" customWidth="1"/>
    <col min="2317" max="2318" width="7.7109375" style="185" bestFit="1" customWidth="1"/>
    <col min="2319" max="2319" width="0" style="185" hidden="1" customWidth="1"/>
    <col min="2320" max="2320" width="9" style="185" customWidth="1"/>
    <col min="2321" max="2321" width="8" style="185" bestFit="1" customWidth="1"/>
    <col min="2322" max="2322" width="0" style="185" hidden="1" customWidth="1"/>
    <col min="2323" max="2323" width="8" style="185" customWidth="1"/>
    <col min="2324" max="2324" width="0" style="185" hidden="1" customWidth="1"/>
    <col min="2325" max="2325" width="8" style="185" bestFit="1" customWidth="1"/>
    <col min="2326" max="2326" width="0" style="185" hidden="1" customWidth="1"/>
    <col min="2327" max="2327" width="8" style="185" customWidth="1"/>
    <col min="2328" max="2328" width="0" style="185" hidden="1" customWidth="1"/>
    <col min="2329" max="2331" width="8" style="185" bestFit="1" customWidth="1"/>
    <col min="2332" max="2332" width="17.42578125" style="185" bestFit="1" customWidth="1"/>
    <col min="2333" max="2560" width="11.42578125" style="185"/>
    <col min="2561" max="2561" width="59.5703125" style="185" customWidth="1"/>
    <col min="2562" max="2570" width="0" style="185" hidden="1" customWidth="1"/>
    <col min="2571" max="2571" width="6.5703125" style="185" customWidth="1"/>
    <col min="2572" max="2572" width="6.85546875" style="185" bestFit="1" customWidth="1"/>
    <col min="2573" max="2574" width="7.7109375" style="185" bestFit="1" customWidth="1"/>
    <col min="2575" max="2575" width="0" style="185" hidden="1" customWidth="1"/>
    <col min="2576" max="2576" width="9" style="185" customWidth="1"/>
    <col min="2577" max="2577" width="8" style="185" bestFit="1" customWidth="1"/>
    <col min="2578" max="2578" width="0" style="185" hidden="1" customWidth="1"/>
    <col min="2579" max="2579" width="8" style="185" customWidth="1"/>
    <col min="2580" max="2580" width="0" style="185" hidden="1" customWidth="1"/>
    <col min="2581" max="2581" width="8" style="185" bestFit="1" customWidth="1"/>
    <col min="2582" max="2582" width="0" style="185" hidden="1" customWidth="1"/>
    <col min="2583" max="2583" width="8" style="185" customWidth="1"/>
    <col min="2584" max="2584" width="0" style="185" hidden="1" customWidth="1"/>
    <col min="2585" max="2587" width="8" style="185" bestFit="1" customWidth="1"/>
    <col min="2588" max="2588" width="17.42578125" style="185" bestFit="1" customWidth="1"/>
    <col min="2589" max="2816" width="11.42578125" style="185"/>
    <col min="2817" max="2817" width="59.5703125" style="185" customWidth="1"/>
    <col min="2818" max="2826" width="0" style="185" hidden="1" customWidth="1"/>
    <col min="2827" max="2827" width="6.5703125" style="185" customWidth="1"/>
    <col min="2828" max="2828" width="6.85546875" style="185" bestFit="1" customWidth="1"/>
    <col min="2829" max="2830" width="7.7109375" style="185" bestFit="1" customWidth="1"/>
    <col min="2831" max="2831" width="0" style="185" hidden="1" customWidth="1"/>
    <col min="2832" max="2832" width="9" style="185" customWidth="1"/>
    <col min="2833" max="2833" width="8" style="185" bestFit="1" customWidth="1"/>
    <col min="2834" max="2834" width="0" style="185" hidden="1" customWidth="1"/>
    <col min="2835" max="2835" width="8" style="185" customWidth="1"/>
    <col min="2836" max="2836" width="0" style="185" hidden="1" customWidth="1"/>
    <col min="2837" max="2837" width="8" style="185" bestFit="1" customWidth="1"/>
    <col min="2838" max="2838" width="0" style="185" hidden="1" customWidth="1"/>
    <col min="2839" max="2839" width="8" style="185" customWidth="1"/>
    <col min="2840" max="2840" width="0" style="185" hidden="1" customWidth="1"/>
    <col min="2841" max="2843" width="8" style="185" bestFit="1" customWidth="1"/>
    <col min="2844" max="2844" width="17.42578125" style="185" bestFit="1" customWidth="1"/>
    <col min="2845" max="3072" width="11.42578125" style="185"/>
    <col min="3073" max="3073" width="59.5703125" style="185" customWidth="1"/>
    <col min="3074" max="3082" width="0" style="185" hidden="1" customWidth="1"/>
    <col min="3083" max="3083" width="6.5703125" style="185" customWidth="1"/>
    <col min="3084" max="3084" width="6.85546875" style="185" bestFit="1" customWidth="1"/>
    <col min="3085" max="3086" width="7.7109375" style="185" bestFit="1" customWidth="1"/>
    <col min="3087" max="3087" width="0" style="185" hidden="1" customWidth="1"/>
    <col min="3088" max="3088" width="9" style="185" customWidth="1"/>
    <col min="3089" max="3089" width="8" style="185" bestFit="1" customWidth="1"/>
    <col min="3090" max="3090" width="0" style="185" hidden="1" customWidth="1"/>
    <col min="3091" max="3091" width="8" style="185" customWidth="1"/>
    <col min="3092" max="3092" width="0" style="185" hidden="1" customWidth="1"/>
    <col min="3093" max="3093" width="8" style="185" bestFit="1" customWidth="1"/>
    <col min="3094" max="3094" width="0" style="185" hidden="1" customWidth="1"/>
    <col min="3095" max="3095" width="8" style="185" customWidth="1"/>
    <col min="3096" max="3096" width="0" style="185" hidden="1" customWidth="1"/>
    <col min="3097" max="3099" width="8" style="185" bestFit="1" customWidth="1"/>
    <col min="3100" max="3100" width="17.42578125" style="185" bestFit="1" customWidth="1"/>
    <col min="3101" max="3328" width="11.42578125" style="185"/>
    <col min="3329" max="3329" width="59.5703125" style="185" customWidth="1"/>
    <col min="3330" max="3338" width="0" style="185" hidden="1" customWidth="1"/>
    <col min="3339" max="3339" width="6.5703125" style="185" customWidth="1"/>
    <col min="3340" max="3340" width="6.85546875" style="185" bestFit="1" customWidth="1"/>
    <col min="3341" max="3342" width="7.7109375" style="185" bestFit="1" customWidth="1"/>
    <col min="3343" max="3343" width="0" style="185" hidden="1" customWidth="1"/>
    <col min="3344" max="3344" width="9" style="185" customWidth="1"/>
    <col min="3345" max="3345" width="8" style="185" bestFit="1" customWidth="1"/>
    <col min="3346" max="3346" width="0" style="185" hidden="1" customWidth="1"/>
    <col min="3347" max="3347" width="8" style="185" customWidth="1"/>
    <col min="3348" max="3348" width="0" style="185" hidden="1" customWidth="1"/>
    <col min="3349" max="3349" width="8" style="185" bestFit="1" customWidth="1"/>
    <col min="3350" max="3350" width="0" style="185" hidden="1" customWidth="1"/>
    <col min="3351" max="3351" width="8" style="185" customWidth="1"/>
    <col min="3352" max="3352" width="0" style="185" hidden="1" customWidth="1"/>
    <col min="3353" max="3355" width="8" style="185" bestFit="1" customWidth="1"/>
    <col min="3356" max="3356" width="17.42578125" style="185" bestFit="1" customWidth="1"/>
    <col min="3357" max="3584" width="11.42578125" style="185"/>
    <col min="3585" max="3585" width="59.5703125" style="185" customWidth="1"/>
    <col min="3586" max="3594" width="0" style="185" hidden="1" customWidth="1"/>
    <col min="3595" max="3595" width="6.5703125" style="185" customWidth="1"/>
    <col min="3596" max="3596" width="6.85546875" style="185" bestFit="1" customWidth="1"/>
    <col min="3597" max="3598" width="7.7109375" style="185" bestFit="1" customWidth="1"/>
    <col min="3599" max="3599" width="0" style="185" hidden="1" customWidth="1"/>
    <col min="3600" max="3600" width="9" style="185" customWidth="1"/>
    <col min="3601" max="3601" width="8" style="185" bestFit="1" customWidth="1"/>
    <col min="3602" max="3602" width="0" style="185" hidden="1" customWidth="1"/>
    <col min="3603" max="3603" width="8" style="185" customWidth="1"/>
    <col min="3604" max="3604" width="0" style="185" hidden="1" customWidth="1"/>
    <col min="3605" max="3605" width="8" style="185" bestFit="1" customWidth="1"/>
    <col min="3606" max="3606" width="0" style="185" hidden="1" customWidth="1"/>
    <col min="3607" max="3607" width="8" style="185" customWidth="1"/>
    <col min="3608" max="3608" width="0" style="185" hidden="1" customWidth="1"/>
    <col min="3609" max="3611" width="8" style="185" bestFit="1" customWidth="1"/>
    <col min="3612" max="3612" width="17.42578125" style="185" bestFit="1" customWidth="1"/>
    <col min="3613" max="3840" width="11.42578125" style="185"/>
    <col min="3841" max="3841" width="59.5703125" style="185" customWidth="1"/>
    <col min="3842" max="3850" width="0" style="185" hidden="1" customWidth="1"/>
    <col min="3851" max="3851" width="6.5703125" style="185" customWidth="1"/>
    <col min="3852" max="3852" width="6.85546875" style="185" bestFit="1" customWidth="1"/>
    <col min="3853" max="3854" width="7.7109375" style="185" bestFit="1" customWidth="1"/>
    <col min="3855" max="3855" width="0" style="185" hidden="1" customWidth="1"/>
    <col min="3856" max="3856" width="9" style="185" customWidth="1"/>
    <col min="3857" max="3857" width="8" style="185" bestFit="1" customWidth="1"/>
    <col min="3858" max="3858" width="0" style="185" hidden="1" customWidth="1"/>
    <col min="3859" max="3859" width="8" style="185" customWidth="1"/>
    <col min="3860" max="3860" width="0" style="185" hidden="1" customWidth="1"/>
    <col min="3861" max="3861" width="8" style="185" bestFit="1" customWidth="1"/>
    <col min="3862" max="3862" width="0" style="185" hidden="1" customWidth="1"/>
    <col min="3863" max="3863" width="8" style="185" customWidth="1"/>
    <col min="3864" max="3864" width="0" style="185" hidden="1" customWidth="1"/>
    <col min="3865" max="3867" width="8" style="185" bestFit="1" customWidth="1"/>
    <col min="3868" max="3868" width="17.42578125" style="185" bestFit="1" customWidth="1"/>
    <col min="3869" max="4096" width="11.42578125" style="185"/>
    <col min="4097" max="4097" width="59.5703125" style="185" customWidth="1"/>
    <col min="4098" max="4106" width="0" style="185" hidden="1" customWidth="1"/>
    <col min="4107" max="4107" width="6.5703125" style="185" customWidth="1"/>
    <col min="4108" max="4108" width="6.85546875" style="185" bestFit="1" customWidth="1"/>
    <col min="4109" max="4110" width="7.7109375" style="185" bestFit="1" customWidth="1"/>
    <col min="4111" max="4111" width="0" style="185" hidden="1" customWidth="1"/>
    <col min="4112" max="4112" width="9" style="185" customWidth="1"/>
    <col min="4113" max="4113" width="8" style="185" bestFit="1" customWidth="1"/>
    <col min="4114" max="4114" width="0" style="185" hidden="1" customWidth="1"/>
    <col min="4115" max="4115" width="8" style="185" customWidth="1"/>
    <col min="4116" max="4116" width="0" style="185" hidden="1" customWidth="1"/>
    <col min="4117" max="4117" width="8" style="185" bestFit="1" customWidth="1"/>
    <col min="4118" max="4118" width="0" style="185" hidden="1" customWidth="1"/>
    <col min="4119" max="4119" width="8" style="185" customWidth="1"/>
    <col min="4120" max="4120" width="0" style="185" hidden="1" customWidth="1"/>
    <col min="4121" max="4123" width="8" style="185" bestFit="1" customWidth="1"/>
    <col min="4124" max="4124" width="17.42578125" style="185" bestFit="1" customWidth="1"/>
    <col min="4125" max="4352" width="11.42578125" style="185"/>
    <col min="4353" max="4353" width="59.5703125" style="185" customWidth="1"/>
    <col min="4354" max="4362" width="0" style="185" hidden="1" customWidth="1"/>
    <col min="4363" max="4363" width="6.5703125" style="185" customWidth="1"/>
    <col min="4364" max="4364" width="6.85546875" style="185" bestFit="1" customWidth="1"/>
    <col min="4365" max="4366" width="7.7109375" style="185" bestFit="1" customWidth="1"/>
    <col min="4367" max="4367" width="0" style="185" hidden="1" customWidth="1"/>
    <col min="4368" max="4368" width="9" style="185" customWidth="1"/>
    <col min="4369" max="4369" width="8" style="185" bestFit="1" customWidth="1"/>
    <col min="4370" max="4370" width="0" style="185" hidden="1" customWidth="1"/>
    <col min="4371" max="4371" width="8" style="185" customWidth="1"/>
    <col min="4372" max="4372" width="0" style="185" hidden="1" customWidth="1"/>
    <col min="4373" max="4373" width="8" style="185" bestFit="1" customWidth="1"/>
    <col min="4374" max="4374" width="0" style="185" hidden="1" customWidth="1"/>
    <col min="4375" max="4375" width="8" style="185" customWidth="1"/>
    <col min="4376" max="4376" width="0" style="185" hidden="1" customWidth="1"/>
    <col min="4377" max="4379" width="8" style="185" bestFit="1" customWidth="1"/>
    <col min="4380" max="4380" width="17.42578125" style="185" bestFit="1" customWidth="1"/>
    <col min="4381" max="4608" width="11.42578125" style="185"/>
    <col min="4609" max="4609" width="59.5703125" style="185" customWidth="1"/>
    <col min="4610" max="4618" width="0" style="185" hidden="1" customWidth="1"/>
    <col min="4619" max="4619" width="6.5703125" style="185" customWidth="1"/>
    <col min="4620" max="4620" width="6.85546875" style="185" bestFit="1" customWidth="1"/>
    <col min="4621" max="4622" width="7.7109375" style="185" bestFit="1" customWidth="1"/>
    <col min="4623" max="4623" width="0" style="185" hidden="1" customWidth="1"/>
    <col min="4624" max="4624" width="9" style="185" customWidth="1"/>
    <col min="4625" max="4625" width="8" style="185" bestFit="1" customWidth="1"/>
    <col min="4626" max="4626" width="0" style="185" hidden="1" customWidth="1"/>
    <col min="4627" max="4627" width="8" style="185" customWidth="1"/>
    <col min="4628" max="4628" width="0" style="185" hidden="1" customWidth="1"/>
    <col min="4629" max="4629" width="8" style="185" bestFit="1" customWidth="1"/>
    <col min="4630" max="4630" width="0" style="185" hidden="1" customWidth="1"/>
    <col min="4631" max="4631" width="8" style="185" customWidth="1"/>
    <col min="4632" max="4632" width="0" style="185" hidden="1" customWidth="1"/>
    <col min="4633" max="4635" width="8" style="185" bestFit="1" customWidth="1"/>
    <col min="4636" max="4636" width="17.42578125" style="185" bestFit="1" customWidth="1"/>
    <col min="4637" max="4864" width="11.42578125" style="185"/>
    <col min="4865" max="4865" width="59.5703125" style="185" customWidth="1"/>
    <col min="4866" max="4874" width="0" style="185" hidden="1" customWidth="1"/>
    <col min="4875" max="4875" width="6.5703125" style="185" customWidth="1"/>
    <col min="4876" max="4876" width="6.85546875" style="185" bestFit="1" customWidth="1"/>
    <col min="4877" max="4878" width="7.7109375" style="185" bestFit="1" customWidth="1"/>
    <col min="4879" max="4879" width="0" style="185" hidden="1" customWidth="1"/>
    <col min="4880" max="4880" width="9" style="185" customWidth="1"/>
    <col min="4881" max="4881" width="8" style="185" bestFit="1" customWidth="1"/>
    <col min="4882" max="4882" width="0" style="185" hidden="1" customWidth="1"/>
    <col min="4883" max="4883" width="8" style="185" customWidth="1"/>
    <col min="4884" max="4884" width="0" style="185" hidden="1" customWidth="1"/>
    <col min="4885" max="4885" width="8" style="185" bestFit="1" customWidth="1"/>
    <col min="4886" max="4886" width="0" style="185" hidden="1" customWidth="1"/>
    <col min="4887" max="4887" width="8" style="185" customWidth="1"/>
    <col min="4888" max="4888" width="0" style="185" hidden="1" customWidth="1"/>
    <col min="4889" max="4891" width="8" style="185" bestFit="1" customWidth="1"/>
    <col min="4892" max="4892" width="17.42578125" style="185" bestFit="1" customWidth="1"/>
    <col min="4893" max="5120" width="11.42578125" style="185"/>
    <col min="5121" max="5121" width="59.5703125" style="185" customWidth="1"/>
    <col min="5122" max="5130" width="0" style="185" hidden="1" customWidth="1"/>
    <col min="5131" max="5131" width="6.5703125" style="185" customWidth="1"/>
    <col min="5132" max="5132" width="6.85546875" style="185" bestFit="1" customWidth="1"/>
    <col min="5133" max="5134" width="7.7109375" style="185" bestFit="1" customWidth="1"/>
    <col min="5135" max="5135" width="0" style="185" hidden="1" customWidth="1"/>
    <col min="5136" max="5136" width="9" style="185" customWidth="1"/>
    <col min="5137" max="5137" width="8" style="185" bestFit="1" customWidth="1"/>
    <col min="5138" max="5138" width="0" style="185" hidden="1" customWidth="1"/>
    <col min="5139" max="5139" width="8" style="185" customWidth="1"/>
    <col min="5140" max="5140" width="0" style="185" hidden="1" customWidth="1"/>
    <col min="5141" max="5141" width="8" style="185" bestFit="1" customWidth="1"/>
    <col min="5142" max="5142" width="0" style="185" hidden="1" customWidth="1"/>
    <col min="5143" max="5143" width="8" style="185" customWidth="1"/>
    <col min="5144" max="5144" width="0" style="185" hidden="1" customWidth="1"/>
    <col min="5145" max="5147" width="8" style="185" bestFit="1" customWidth="1"/>
    <col min="5148" max="5148" width="17.42578125" style="185" bestFit="1" customWidth="1"/>
    <col min="5149" max="5376" width="11.42578125" style="185"/>
    <col min="5377" max="5377" width="59.5703125" style="185" customWidth="1"/>
    <col min="5378" max="5386" width="0" style="185" hidden="1" customWidth="1"/>
    <col min="5387" max="5387" width="6.5703125" style="185" customWidth="1"/>
    <col min="5388" max="5388" width="6.85546875" style="185" bestFit="1" customWidth="1"/>
    <col min="5389" max="5390" width="7.7109375" style="185" bestFit="1" customWidth="1"/>
    <col min="5391" max="5391" width="0" style="185" hidden="1" customWidth="1"/>
    <col min="5392" max="5392" width="9" style="185" customWidth="1"/>
    <col min="5393" max="5393" width="8" style="185" bestFit="1" customWidth="1"/>
    <col min="5394" max="5394" width="0" style="185" hidden="1" customWidth="1"/>
    <col min="5395" max="5395" width="8" style="185" customWidth="1"/>
    <col min="5396" max="5396" width="0" style="185" hidden="1" customWidth="1"/>
    <col min="5397" max="5397" width="8" style="185" bestFit="1" customWidth="1"/>
    <col min="5398" max="5398" width="0" style="185" hidden="1" customWidth="1"/>
    <col min="5399" max="5399" width="8" style="185" customWidth="1"/>
    <col min="5400" max="5400" width="0" style="185" hidden="1" customWidth="1"/>
    <col min="5401" max="5403" width="8" style="185" bestFit="1" customWidth="1"/>
    <col min="5404" max="5404" width="17.42578125" style="185" bestFit="1" customWidth="1"/>
    <col min="5405" max="5632" width="11.42578125" style="185"/>
    <col min="5633" max="5633" width="59.5703125" style="185" customWidth="1"/>
    <col min="5634" max="5642" width="0" style="185" hidden="1" customWidth="1"/>
    <col min="5643" max="5643" width="6.5703125" style="185" customWidth="1"/>
    <col min="5644" max="5644" width="6.85546875" style="185" bestFit="1" customWidth="1"/>
    <col min="5645" max="5646" width="7.7109375" style="185" bestFit="1" customWidth="1"/>
    <col min="5647" max="5647" width="0" style="185" hidden="1" customWidth="1"/>
    <col min="5648" max="5648" width="9" style="185" customWidth="1"/>
    <col min="5649" max="5649" width="8" style="185" bestFit="1" customWidth="1"/>
    <col min="5650" max="5650" width="0" style="185" hidden="1" customWidth="1"/>
    <col min="5651" max="5651" width="8" style="185" customWidth="1"/>
    <col min="5652" max="5652" width="0" style="185" hidden="1" customWidth="1"/>
    <col min="5653" max="5653" width="8" style="185" bestFit="1" customWidth="1"/>
    <col min="5654" max="5654" width="0" style="185" hidden="1" customWidth="1"/>
    <col min="5655" max="5655" width="8" style="185" customWidth="1"/>
    <col min="5656" max="5656" width="0" style="185" hidden="1" customWidth="1"/>
    <col min="5657" max="5659" width="8" style="185" bestFit="1" customWidth="1"/>
    <col min="5660" max="5660" width="17.42578125" style="185" bestFit="1" customWidth="1"/>
    <col min="5661" max="5888" width="11.42578125" style="185"/>
    <col min="5889" max="5889" width="59.5703125" style="185" customWidth="1"/>
    <col min="5890" max="5898" width="0" style="185" hidden="1" customWidth="1"/>
    <col min="5899" max="5899" width="6.5703125" style="185" customWidth="1"/>
    <col min="5900" max="5900" width="6.85546875" style="185" bestFit="1" customWidth="1"/>
    <col min="5901" max="5902" width="7.7109375" style="185" bestFit="1" customWidth="1"/>
    <col min="5903" max="5903" width="0" style="185" hidden="1" customWidth="1"/>
    <col min="5904" max="5904" width="9" style="185" customWidth="1"/>
    <col min="5905" max="5905" width="8" style="185" bestFit="1" customWidth="1"/>
    <col min="5906" max="5906" width="0" style="185" hidden="1" customWidth="1"/>
    <col min="5907" max="5907" width="8" style="185" customWidth="1"/>
    <col min="5908" max="5908" width="0" style="185" hidden="1" customWidth="1"/>
    <col min="5909" max="5909" width="8" style="185" bestFit="1" customWidth="1"/>
    <col min="5910" max="5910" width="0" style="185" hidden="1" customWidth="1"/>
    <col min="5911" max="5911" width="8" style="185" customWidth="1"/>
    <col min="5912" max="5912" width="0" style="185" hidden="1" customWidth="1"/>
    <col min="5913" max="5915" width="8" style="185" bestFit="1" customWidth="1"/>
    <col min="5916" max="5916" width="17.42578125" style="185" bestFit="1" customWidth="1"/>
    <col min="5917" max="6144" width="11.42578125" style="185"/>
    <col min="6145" max="6145" width="59.5703125" style="185" customWidth="1"/>
    <col min="6146" max="6154" width="0" style="185" hidden="1" customWidth="1"/>
    <col min="6155" max="6155" width="6.5703125" style="185" customWidth="1"/>
    <col min="6156" max="6156" width="6.85546875" style="185" bestFit="1" customWidth="1"/>
    <col min="6157" max="6158" width="7.7109375" style="185" bestFit="1" customWidth="1"/>
    <col min="6159" max="6159" width="0" style="185" hidden="1" customWidth="1"/>
    <col min="6160" max="6160" width="9" style="185" customWidth="1"/>
    <col min="6161" max="6161" width="8" style="185" bestFit="1" customWidth="1"/>
    <col min="6162" max="6162" width="0" style="185" hidden="1" customWidth="1"/>
    <col min="6163" max="6163" width="8" style="185" customWidth="1"/>
    <col min="6164" max="6164" width="0" style="185" hidden="1" customWidth="1"/>
    <col min="6165" max="6165" width="8" style="185" bestFit="1" customWidth="1"/>
    <col min="6166" max="6166" width="0" style="185" hidden="1" customWidth="1"/>
    <col min="6167" max="6167" width="8" style="185" customWidth="1"/>
    <col min="6168" max="6168" width="0" style="185" hidden="1" customWidth="1"/>
    <col min="6169" max="6171" width="8" style="185" bestFit="1" customWidth="1"/>
    <col min="6172" max="6172" width="17.42578125" style="185" bestFit="1" customWidth="1"/>
    <col min="6173" max="6400" width="11.42578125" style="185"/>
    <col min="6401" max="6401" width="59.5703125" style="185" customWidth="1"/>
    <col min="6402" max="6410" width="0" style="185" hidden="1" customWidth="1"/>
    <col min="6411" max="6411" width="6.5703125" style="185" customWidth="1"/>
    <col min="6412" max="6412" width="6.85546875" style="185" bestFit="1" customWidth="1"/>
    <col min="6413" max="6414" width="7.7109375" style="185" bestFit="1" customWidth="1"/>
    <col min="6415" max="6415" width="0" style="185" hidden="1" customWidth="1"/>
    <col min="6416" max="6416" width="9" style="185" customWidth="1"/>
    <col min="6417" max="6417" width="8" style="185" bestFit="1" customWidth="1"/>
    <col min="6418" max="6418" width="0" style="185" hidden="1" customWidth="1"/>
    <col min="6419" max="6419" width="8" style="185" customWidth="1"/>
    <col min="6420" max="6420" width="0" style="185" hidden="1" customWidth="1"/>
    <col min="6421" max="6421" width="8" style="185" bestFit="1" customWidth="1"/>
    <col min="6422" max="6422" width="0" style="185" hidden="1" customWidth="1"/>
    <col min="6423" max="6423" width="8" style="185" customWidth="1"/>
    <col min="6424" max="6424" width="0" style="185" hidden="1" customWidth="1"/>
    <col min="6425" max="6427" width="8" style="185" bestFit="1" customWidth="1"/>
    <col min="6428" max="6428" width="17.42578125" style="185" bestFit="1" customWidth="1"/>
    <col min="6429" max="6656" width="11.42578125" style="185"/>
    <col min="6657" max="6657" width="59.5703125" style="185" customWidth="1"/>
    <col min="6658" max="6666" width="0" style="185" hidden="1" customWidth="1"/>
    <col min="6667" max="6667" width="6.5703125" style="185" customWidth="1"/>
    <col min="6668" max="6668" width="6.85546875" style="185" bestFit="1" customWidth="1"/>
    <col min="6669" max="6670" width="7.7109375" style="185" bestFit="1" customWidth="1"/>
    <col min="6671" max="6671" width="0" style="185" hidden="1" customWidth="1"/>
    <col min="6672" max="6672" width="9" style="185" customWidth="1"/>
    <col min="6673" max="6673" width="8" style="185" bestFit="1" customWidth="1"/>
    <col min="6674" max="6674" width="0" style="185" hidden="1" customWidth="1"/>
    <col min="6675" max="6675" width="8" style="185" customWidth="1"/>
    <col min="6676" max="6676" width="0" style="185" hidden="1" customWidth="1"/>
    <col min="6677" max="6677" width="8" style="185" bestFit="1" customWidth="1"/>
    <col min="6678" max="6678" width="0" style="185" hidden="1" customWidth="1"/>
    <col min="6679" max="6679" width="8" style="185" customWidth="1"/>
    <col min="6680" max="6680" width="0" style="185" hidden="1" customWidth="1"/>
    <col min="6681" max="6683" width="8" style="185" bestFit="1" customWidth="1"/>
    <col min="6684" max="6684" width="17.42578125" style="185" bestFit="1" customWidth="1"/>
    <col min="6685" max="6912" width="11.42578125" style="185"/>
    <col min="6913" max="6913" width="59.5703125" style="185" customWidth="1"/>
    <col min="6914" max="6922" width="0" style="185" hidden="1" customWidth="1"/>
    <col min="6923" max="6923" width="6.5703125" style="185" customWidth="1"/>
    <col min="6924" max="6924" width="6.85546875" style="185" bestFit="1" customWidth="1"/>
    <col min="6925" max="6926" width="7.7109375" style="185" bestFit="1" customWidth="1"/>
    <col min="6927" max="6927" width="0" style="185" hidden="1" customWidth="1"/>
    <col min="6928" max="6928" width="9" style="185" customWidth="1"/>
    <col min="6929" max="6929" width="8" style="185" bestFit="1" customWidth="1"/>
    <col min="6930" max="6930" width="0" style="185" hidden="1" customWidth="1"/>
    <col min="6931" max="6931" width="8" style="185" customWidth="1"/>
    <col min="6932" max="6932" width="0" style="185" hidden="1" customWidth="1"/>
    <col min="6933" max="6933" width="8" style="185" bestFit="1" customWidth="1"/>
    <col min="6934" max="6934" width="0" style="185" hidden="1" customWidth="1"/>
    <col min="6935" max="6935" width="8" style="185" customWidth="1"/>
    <col min="6936" max="6936" width="0" style="185" hidden="1" customWidth="1"/>
    <col min="6937" max="6939" width="8" style="185" bestFit="1" customWidth="1"/>
    <col min="6940" max="6940" width="17.42578125" style="185" bestFit="1" customWidth="1"/>
    <col min="6941" max="7168" width="11.42578125" style="185"/>
    <col min="7169" max="7169" width="59.5703125" style="185" customWidth="1"/>
    <col min="7170" max="7178" width="0" style="185" hidden="1" customWidth="1"/>
    <col min="7179" max="7179" width="6.5703125" style="185" customWidth="1"/>
    <col min="7180" max="7180" width="6.85546875" style="185" bestFit="1" customWidth="1"/>
    <col min="7181" max="7182" width="7.7109375" style="185" bestFit="1" customWidth="1"/>
    <col min="7183" max="7183" width="0" style="185" hidden="1" customWidth="1"/>
    <col min="7184" max="7184" width="9" style="185" customWidth="1"/>
    <col min="7185" max="7185" width="8" style="185" bestFit="1" customWidth="1"/>
    <col min="7186" max="7186" width="0" style="185" hidden="1" customWidth="1"/>
    <col min="7187" max="7187" width="8" style="185" customWidth="1"/>
    <col min="7188" max="7188" width="0" style="185" hidden="1" customWidth="1"/>
    <col min="7189" max="7189" width="8" style="185" bestFit="1" customWidth="1"/>
    <col min="7190" max="7190" width="0" style="185" hidden="1" customWidth="1"/>
    <col min="7191" max="7191" width="8" style="185" customWidth="1"/>
    <col min="7192" max="7192" width="0" style="185" hidden="1" customWidth="1"/>
    <col min="7193" max="7195" width="8" style="185" bestFit="1" customWidth="1"/>
    <col min="7196" max="7196" width="17.42578125" style="185" bestFit="1" customWidth="1"/>
    <col min="7197" max="7424" width="11.42578125" style="185"/>
    <col min="7425" max="7425" width="59.5703125" style="185" customWidth="1"/>
    <col min="7426" max="7434" width="0" style="185" hidden="1" customWidth="1"/>
    <col min="7435" max="7435" width="6.5703125" style="185" customWidth="1"/>
    <col min="7436" max="7436" width="6.85546875" style="185" bestFit="1" customWidth="1"/>
    <col min="7437" max="7438" width="7.7109375" style="185" bestFit="1" customWidth="1"/>
    <col min="7439" max="7439" width="0" style="185" hidden="1" customWidth="1"/>
    <col min="7440" max="7440" width="9" style="185" customWidth="1"/>
    <col min="7441" max="7441" width="8" style="185" bestFit="1" customWidth="1"/>
    <col min="7442" max="7442" width="0" style="185" hidden="1" customWidth="1"/>
    <col min="7443" max="7443" width="8" style="185" customWidth="1"/>
    <col min="7444" max="7444" width="0" style="185" hidden="1" customWidth="1"/>
    <col min="7445" max="7445" width="8" style="185" bestFit="1" customWidth="1"/>
    <col min="7446" max="7446" width="0" style="185" hidden="1" customWidth="1"/>
    <col min="7447" max="7447" width="8" style="185" customWidth="1"/>
    <col min="7448" max="7448" width="0" style="185" hidden="1" customWidth="1"/>
    <col min="7449" max="7451" width="8" style="185" bestFit="1" customWidth="1"/>
    <col min="7452" max="7452" width="17.42578125" style="185" bestFit="1" customWidth="1"/>
    <col min="7453" max="7680" width="11.42578125" style="185"/>
    <col min="7681" max="7681" width="59.5703125" style="185" customWidth="1"/>
    <col min="7682" max="7690" width="0" style="185" hidden="1" customWidth="1"/>
    <col min="7691" max="7691" width="6.5703125" style="185" customWidth="1"/>
    <col min="7692" max="7692" width="6.85546875" style="185" bestFit="1" customWidth="1"/>
    <col min="7693" max="7694" width="7.7109375" style="185" bestFit="1" customWidth="1"/>
    <col min="7695" max="7695" width="0" style="185" hidden="1" customWidth="1"/>
    <col min="7696" max="7696" width="9" style="185" customWidth="1"/>
    <col min="7697" max="7697" width="8" style="185" bestFit="1" customWidth="1"/>
    <col min="7698" max="7698" width="0" style="185" hidden="1" customWidth="1"/>
    <col min="7699" max="7699" width="8" style="185" customWidth="1"/>
    <col min="7700" max="7700" width="0" style="185" hidden="1" customWidth="1"/>
    <col min="7701" max="7701" width="8" style="185" bestFit="1" customWidth="1"/>
    <col min="7702" max="7702" width="0" style="185" hidden="1" customWidth="1"/>
    <col min="7703" max="7703" width="8" style="185" customWidth="1"/>
    <col min="7704" max="7704" width="0" style="185" hidden="1" customWidth="1"/>
    <col min="7705" max="7707" width="8" style="185" bestFit="1" customWidth="1"/>
    <col min="7708" max="7708" width="17.42578125" style="185" bestFit="1" customWidth="1"/>
    <col min="7709" max="7936" width="11.42578125" style="185"/>
    <col min="7937" max="7937" width="59.5703125" style="185" customWidth="1"/>
    <col min="7938" max="7946" width="0" style="185" hidden="1" customWidth="1"/>
    <col min="7947" max="7947" width="6.5703125" style="185" customWidth="1"/>
    <col min="7948" max="7948" width="6.85546875" style="185" bestFit="1" customWidth="1"/>
    <col min="7949" max="7950" width="7.7109375" style="185" bestFit="1" customWidth="1"/>
    <col min="7951" max="7951" width="0" style="185" hidden="1" customWidth="1"/>
    <col min="7952" max="7952" width="9" style="185" customWidth="1"/>
    <col min="7953" max="7953" width="8" style="185" bestFit="1" customWidth="1"/>
    <col min="7954" max="7954" width="0" style="185" hidden="1" customWidth="1"/>
    <col min="7955" max="7955" width="8" style="185" customWidth="1"/>
    <col min="7956" max="7956" width="0" style="185" hidden="1" customWidth="1"/>
    <col min="7957" max="7957" width="8" style="185" bestFit="1" customWidth="1"/>
    <col min="7958" max="7958" width="0" style="185" hidden="1" customWidth="1"/>
    <col min="7959" max="7959" width="8" style="185" customWidth="1"/>
    <col min="7960" max="7960" width="0" style="185" hidden="1" customWidth="1"/>
    <col min="7961" max="7963" width="8" style="185" bestFit="1" customWidth="1"/>
    <col min="7964" max="7964" width="17.42578125" style="185" bestFit="1" customWidth="1"/>
    <col min="7965" max="8192" width="11.42578125" style="185"/>
    <col min="8193" max="8193" width="59.5703125" style="185" customWidth="1"/>
    <col min="8194" max="8202" width="0" style="185" hidden="1" customWidth="1"/>
    <col min="8203" max="8203" width="6.5703125" style="185" customWidth="1"/>
    <col min="8204" max="8204" width="6.85546875" style="185" bestFit="1" customWidth="1"/>
    <col min="8205" max="8206" width="7.7109375" style="185" bestFit="1" customWidth="1"/>
    <col min="8207" max="8207" width="0" style="185" hidden="1" customWidth="1"/>
    <col min="8208" max="8208" width="9" style="185" customWidth="1"/>
    <col min="8209" max="8209" width="8" style="185" bestFit="1" customWidth="1"/>
    <col min="8210" max="8210" width="0" style="185" hidden="1" customWidth="1"/>
    <col min="8211" max="8211" width="8" style="185" customWidth="1"/>
    <col min="8212" max="8212" width="0" style="185" hidden="1" customWidth="1"/>
    <col min="8213" max="8213" width="8" style="185" bestFit="1" customWidth="1"/>
    <col min="8214" max="8214" width="0" style="185" hidden="1" customWidth="1"/>
    <col min="8215" max="8215" width="8" style="185" customWidth="1"/>
    <col min="8216" max="8216" width="0" style="185" hidden="1" customWidth="1"/>
    <col min="8217" max="8219" width="8" style="185" bestFit="1" customWidth="1"/>
    <col min="8220" max="8220" width="17.42578125" style="185" bestFit="1" customWidth="1"/>
    <col min="8221" max="8448" width="11.42578125" style="185"/>
    <col min="8449" max="8449" width="59.5703125" style="185" customWidth="1"/>
    <col min="8450" max="8458" width="0" style="185" hidden="1" customWidth="1"/>
    <col min="8459" max="8459" width="6.5703125" style="185" customWidth="1"/>
    <col min="8460" max="8460" width="6.85546875" style="185" bestFit="1" customWidth="1"/>
    <col min="8461" max="8462" width="7.7109375" style="185" bestFit="1" customWidth="1"/>
    <col min="8463" max="8463" width="0" style="185" hidden="1" customWidth="1"/>
    <col min="8464" max="8464" width="9" style="185" customWidth="1"/>
    <col min="8465" max="8465" width="8" style="185" bestFit="1" customWidth="1"/>
    <col min="8466" max="8466" width="0" style="185" hidden="1" customWidth="1"/>
    <col min="8467" max="8467" width="8" style="185" customWidth="1"/>
    <col min="8468" max="8468" width="0" style="185" hidden="1" customWidth="1"/>
    <col min="8469" max="8469" width="8" style="185" bestFit="1" customWidth="1"/>
    <col min="8470" max="8470" width="0" style="185" hidden="1" customWidth="1"/>
    <col min="8471" max="8471" width="8" style="185" customWidth="1"/>
    <col min="8472" max="8472" width="0" style="185" hidden="1" customWidth="1"/>
    <col min="8473" max="8475" width="8" style="185" bestFit="1" customWidth="1"/>
    <col min="8476" max="8476" width="17.42578125" style="185" bestFit="1" customWidth="1"/>
    <col min="8477" max="8704" width="11.42578125" style="185"/>
    <col min="8705" max="8705" width="59.5703125" style="185" customWidth="1"/>
    <col min="8706" max="8714" width="0" style="185" hidden="1" customWidth="1"/>
    <col min="8715" max="8715" width="6.5703125" style="185" customWidth="1"/>
    <col min="8716" max="8716" width="6.85546875" style="185" bestFit="1" customWidth="1"/>
    <col min="8717" max="8718" width="7.7109375" style="185" bestFit="1" customWidth="1"/>
    <col min="8719" max="8719" width="0" style="185" hidden="1" customWidth="1"/>
    <col min="8720" max="8720" width="9" style="185" customWidth="1"/>
    <col min="8721" max="8721" width="8" style="185" bestFit="1" customWidth="1"/>
    <col min="8722" max="8722" width="0" style="185" hidden="1" customWidth="1"/>
    <col min="8723" max="8723" width="8" style="185" customWidth="1"/>
    <col min="8724" max="8724" width="0" style="185" hidden="1" customWidth="1"/>
    <col min="8725" max="8725" width="8" style="185" bestFit="1" customWidth="1"/>
    <col min="8726" max="8726" width="0" style="185" hidden="1" customWidth="1"/>
    <col min="8727" max="8727" width="8" style="185" customWidth="1"/>
    <col min="8728" max="8728" width="0" style="185" hidden="1" customWidth="1"/>
    <col min="8729" max="8731" width="8" style="185" bestFit="1" customWidth="1"/>
    <col min="8732" max="8732" width="17.42578125" style="185" bestFit="1" customWidth="1"/>
    <col min="8733" max="8960" width="11.42578125" style="185"/>
    <col min="8961" max="8961" width="59.5703125" style="185" customWidth="1"/>
    <col min="8962" max="8970" width="0" style="185" hidden="1" customWidth="1"/>
    <col min="8971" max="8971" width="6.5703125" style="185" customWidth="1"/>
    <col min="8972" max="8972" width="6.85546875" style="185" bestFit="1" customWidth="1"/>
    <col min="8973" max="8974" width="7.7109375" style="185" bestFit="1" customWidth="1"/>
    <col min="8975" max="8975" width="0" style="185" hidden="1" customWidth="1"/>
    <col min="8976" max="8976" width="9" style="185" customWidth="1"/>
    <col min="8977" max="8977" width="8" style="185" bestFit="1" customWidth="1"/>
    <col min="8978" max="8978" width="0" style="185" hidden="1" customWidth="1"/>
    <col min="8979" max="8979" width="8" style="185" customWidth="1"/>
    <col min="8980" max="8980" width="0" style="185" hidden="1" customWidth="1"/>
    <col min="8981" max="8981" width="8" style="185" bestFit="1" customWidth="1"/>
    <col min="8982" max="8982" width="0" style="185" hidden="1" customWidth="1"/>
    <col min="8983" max="8983" width="8" style="185" customWidth="1"/>
    <col min="8984" max="8984" width="0" style="185" hidden="1" customWidth="1"/>
    <col min="8985" max="8987" width="8" style="185" bestFit="1" customWidth="1"/>
    <col min="8988" max="8988" width="17.42578125" style="185" bestFit="1" customWidth="1"/>
    <col min="8989" max="9216" width="11.42578125" style="185"/>
    <col min="9217" max="9217" width="59.5703125" style="185" customWidth="1"/>
    <col min="9218" max="9226" width="0" style="185" hidden="1" customWidth="1"/>
    <col min="9227" max="9227" width="6.5703125" style="185" customWidth="1"/>
    <col min="9228" max="9228" width="6.85546875" style="185" bestFit="1" customWidth="1"/>
    <col min="9229" max="9230" width="7.7109375" style="185" bestFit="1" customWidth="1"/>
    <col min="9231" max="9231" width="0" style="185" hidden="1" customWidth="1"/>
    <col min="9232" max="9232" width="9" style="185" customWidth="1"/>
    <col min="9233" max="9233" width="8" style="185" bestFit="1" customWidth="1"/>
    <col min="9234" max="9234" width="0" style="185" hidden="1" customWidth="1"/>
    <col min="9235" max="9235" width="8" style="185" customWidth="1"/>
    <col min="9236" max="9236" width="0" style="185" hidden="1" customWidth="1"/>
    <col min="9237" max="9237" width="8" style="185" bestFit="1" customWidth="1"/>
    <col min="9238" max="9238" width="0" style="185" hidden="1" customWidth="1"/>
    <col min="9239" max="9239" width="8" style="185" customWidth="1"/>
    <col min="9240" max="9240" width="0" style="185" hidden="1" customWidth="1"/>
    <col min="9241" max="9243" width="8" style="185" bestFit="1" customWidth="1"/>
    <col min="9244" max="9244" width="17.42578125" style="185" bestFit="1" customWidth="1"/>
    <col min="9245" max="9472" width="11.42578125" style="185"/>
    <col min="9473" max="9473" width="59.5703125" style="185" customWidth="1"/>
    <col min="9474" max="9482" width="0" style="185" hidden="1" customWidth="1"/>
    <col min="9483" max="9483" width="6.5703125" style="185" customWidth="1"/>
    <col min="9484" max="9484" width="6.85546875" style="185" bestFit="1" customWidth="1"/>
    <col min="9485" max="9486" width="7.7109375" style="185" bestFit="1" customWidth="1"/>
    <col min="9487" max="9487" width="0" style="185" hidden="1" customWidth="1"/>
    <col min="9488" max="9488" width="9" style="185" customWidth="1"/>
    <col min="9489" max="9489" width="8" style="185" bestFit="1" customWidth="1"/>
    <col min="9490" max="9490" width="0" style="185" hidden="1" customWidth="1"/>
    <col min="9491" max="9491" width="8" style="185" customWidth="1"/>
    <col min="9492" max="9492" width="0" style="185" hidden="1" customWidth="1"/>
    <col min="9493" max="9493" width="8" style="185" bestFit="1" customWidth="1"/>
    <col min="9494" max="9494" width="0" style="185" hidden="1" customWidth="1"/>
    <col min="9495" max="9495" width="8" style="185" customWidth="1"/>
    <col min="9496" max="9496" width="0" style="185" hidden="1" customWidth="1"/>
    <col min="9497" max="9499" width="8" style="185" bestFit="1" customWidth="1"/>
    <col min="9500" max="9500" width="17.42578125" style="185" bestFit="1" customWidth="1"/>
    <col min="9501" max="9728" width="11.42578125" style="185"/>
    <col min="9729" max="9729" width="59.5703125" style="185" customWidth="1"/>
    <col min="9730" max="9738" width="0" style="185" hidden="1" customWidth="1"/>
    <col min="9739" max="9739" width="6.5703125" style="185" customWidth="1"/>
    <col min="9740" max="9740" width="6.85546875" style="185" bestFit="1" customWidth="1"/>
    <col min="9741" max="9742" width="7.7109375" style="185" bestFit="1" customWidth="1"/>
    <col min="9743" max="9743" width="0" style="185" hidden="1" customWidth="1"/>
    <col min="9744" max="9744" width="9" style="185" customWidth="1"/>
    <col min="9745" max="9745" width="8" style="185" bestFit="1" customWidth="1"/>
    <col min="9746" max="9746" width="0" style="185" hidden="1" customWidth="1"/>
    <col min="9747" max="9747" width="8" style="185" customWidth="1"/>
    <col min="9748" max="9748" width="0" style="185" hidden="1" customWidth="1"/>
    <col min="9749" max="9749" width="8" style="185" bestFit="1" customWidth="1"/>
    <col min="9750" max="9750" width="0" style="185" hidden="1" customWidth="1"/>
    <col min="9751" max="9751" width="8" style="185" customWidth="1"/>
    <col min="9752" max="9752" width="0" style="185" hidden="1" customWidth="1"/>
    <col min="9753" max="9755" width="8" style="185" bestFit="1" customWidth="1"/>
    <col min="9756" max="9756" width="17.42578125" style="185" bestFit="1" customWidth="1"/>
    <col min="9757" max="9984" width="11.42578125" style="185"/>
    <col min="9985" max="9985" width="59.5703125" style="185" customWidth="1"/>
    <col min="9986" max="9994" width="0" style="185" hidden="1" customWidth="1"/>
    <col min="9995" max="9995" width="6.5703125" style="185" customWidth="1"/>
    <col min="9996" max="9996" width="6.85546875" style="185" bestFit="1" customWidth="1"/>
    <col min="9997" max="9998" width="7.7109375" style="185" bestFit="1" customWidth="1"/>
    <col min="9999" max="9999" width="0" style="185" hidden="1" customWidth="1"/>
    <col min="10000" max="10000" width="9" style="185" customWidth="1"/>
    <col min="10001" max="10001" width="8" style="185" bestFit="1" customWidth="1"/>
    <col min="10002" max="10002" width="0" style="185" hidden="1" customWidth="1"/>
    <col min="10003" max="10003" width="8" style="185" customWidth="1"/>
    <col min="10004" max="10004" width="0" style="185" hidden="1" customWidth="1"/>
    <col min="10005" max="10005" width="8" style="185" bestFit="1" customWidth="1"/>
    <col min="10006" max="10006" width="0" style="185" hidden="1" customWidth="1"/>
    <col min="10007" max="10007" width="8" style="185" customWidth="1"/>
    <col min="10008" max="10008" width="0" style="185" hidden="1" customWidth="1"/>
    <col min="10009" max="10011" width="8" style="185" bestFit="1" customWidth="1"/>
    <col min="10012" max="10012" width="17.42578125" style="185" bestFit="1" customWidth="1"/>
    <col min="10013" max="10240" width="11.42578125" style="185"/>
    <col min="10241" max="10241" width="59.5703125" style="185" customWidth="1"/>
    <col min="10242" max="10250" width="0" style="185" hidden="1" customWidth="1"/>
    <col min="10251" max="10251" width="6.5703125" style="185" customWidth="1"/>
    <col min="10252" max="10252" width="6.85546875" style="185" bestFit="1" customWidth="1"/>
    <col min="10253" max="10254" width="7.7109375" style="185" bestFit="1" customWidth="1"/>
    <col min="10255" max="10255" width="0" style="185" hidden="1" customWidth="1"/>
    <col min="10256" max="10256" width="9" style="185" customWidth="1"/>
    <col min="10257" max="10257" width="8" style="185" bestFit="1" customWidth="1"/>
    <col min="10258" max="10258" width="0" style="185" hidden="1" customWidth="1"/>
    <col min="10259" max="10259" width="8" style="185" customWidth="1"/>
    <col min="10260" max="10260" width="0" style="185" hidden="1" customWidth="1"/>
    <col min="10261" max="10261" width="8" style="185" bestFit="1" customWidth="1"/>
    <col min="10262" max="10262" width="0" style="185" hidden="1" customWidth="1"/>
    <col min="10263" max="10263" width="8" style="185" customWidth="1"/>
    <col min="10264" max="10264" width="0" style="185" hidden="1" customWidth="1"/>
    <col min="10265" max="10267" width="8" style="185" bestFit="1" customWidth="1"/>
    <col min="10268" max="10268" width="17.42578125" style="185" bestFit="1" customWidth="1"/>
    <col min="10269" max="10496" width="11.42578125" style="185"/>
    <col min="10497" max="10497" width="59.5703125" style="185" customWidth="1"/>
    <col min="10498" max="10506" width="0" style="185" hidden="1" customWidth="1"/>
    <col min="10507" max="10507" width="6.5703125" style="185" customWidth="1"/>
    <col min="10508" max="10508" width="6.85546875" style="185" bestFit="1" customWidth="1"/>
    <col min="10509" max="10510" width="7.7109375" style="185" bestFit="1" customWidth="1"/>
    <col min="10511" max="10511" width="0" style="185" hidden="1" customWidth="1"/>
    <col min="10512" max="10512" width="9" style="185" customWidth="1"/>
    <col min="10513" max="10513" width="8" style="185" bestFit="1" customWidth="1"/>
    <col min="10514" max="10514" width="0" style="185" hidden="1" customWidth="1"/>
    <col min="10515" max="10515" width="8" style="185" customWidth="1"/>
    <col min="10516" max="10516" width="0" style="185" hidden="1" customWidth="1"/>
    <col min="10517" max="10517" width="8" style="185" bestFit="1" customWidth="1"/>
    <col min="10518" max="10518" width="0" style="185" hidden="1" customWidth="1"/>
    <col min="10519" max="10519" width="8" style="185" customWidth="1"/>
    <col min="10520" max="10520" width="0" style="185" hidden="1" customWidth="1"/>
    <col min="10521" max="10523" width="8" style="185" bestFit="1" customWidth="1"/>
    <col min="10524" max="10524" width="17.42578125" style="185" bestFit="1" customWidth="1"/>
    <col min="10525" max="10752" width="11.42578125" style="185"/>
    <col min="10753" max="10753" width="59.5703125" style="185" customWidth="1"/>
    <col min="10754" max="10762" width="0" style="185" hidden="1" customWidth="1"/>
    <col min="10763" max="10763" width="6.5703125" style="185" customWidth="1"/>
    <col min="10764" max="10764" width="6.85546875" style="185" bestFit="1" customWidth="1"/>
    <col min="10765" max="10766" width="7.7109375" style="185" bestFit="1" customWidth="1"/>
    <col min="10767" max="10767" width="0" style="185" hidden="1" customWidth="1"/>
    <col min="10768" max="10768" width="9" style="185" customWidth="1"/>
    <col min="10769" max="10769" width="8" style="185" bestFit="1" customWidth="1"/>
    <col min="10770" max="10770" width="0" style="185" hidden="1" customWidth="1"/>
    <col min="10771" max="10771" width="8" style="185" customWidth="1"/>
    <col min="10772" max="10772" width="0" style="185" hidden="1" customWidth="1"/>
    <col min="10773" max="10773" width="8" style="185" bestFit="1" customWidth="1"/>
    <col min="10774" max="10774" width="0" style="185" hidden="1" customWidth="1"/>
    <col min="10775" max="10775" width="8" style="185" customWidth="1"/>
    <col min="10776" max="10776" width="0" style="185" hidden="1" customWidth="1"/>
    <col min="10777" max="10779" width="8" style="185" bestFit="1" customWidth="1"/>
    <col min="10780" max="10780" width="17.42578125" style="185" bestFit="1" customWidth="1"/>
    <col min="10781" max="11008" width="11.42578125" style="185"/>
    <col min="11009" max="11009" width="59.5703125" style="185" customWidth="1"/>
    <col min="11010" max="11018" width="0" style="185" hidden="1" customWidth="1"/>
    <col min="11019" max="11019" width="6.5703125" style="185" customWidth="1"/>
    <col min="11020" max="11020" width="6.85546875" style="185" bestFit="1" customWidth="1"/>
    <col min="11021" max="11022" width="7.7109375" style="185" bestFit="1" customWidth="1"/>
    <col min="11023" max="11023" width="0" style="185" hidden="1" customWidth="1"/>
    <col min="11024" max="11024" width="9" style="185" customWidth="1"/>
    <col min="11025" max="11025" width="8" style="185" bestFit="1" customWidth="1"/>
    <col min="11026" max="11026" width="0" style="185" hidden="1" customWidth="1"/>
    <col min="11027" max="11027" width="8" style="185" customWidth="1"/>
    <col min="11028" max="11028" width="0" style="185" hidden="1" customWidth="1"/>
    <col min="11029" max="11029" width="8" style="185" bestFit="1" customWidth="1"/>
    <col min="11030" max="11030" width="0" style="185" hidden="1" customWidth="1"/>
    <col min="11031" max="11031" width="8" style="185" customWidth="1"/>
    <col min="11032" max="11032" width="0" style="185" hidden="1" customWidth="1"/>
    <col min="11033" max="11035" width="8" style="185" bestFit="1" customWidth="1"/>
    <col min="11036" max="11036" width="17.42578125" style="185" bestFit="1" customWidth="1"/>
    <col min="11037" max="11264" width="11.42578125" style="185"/>
    <col min="11265" max="11265" width="59.5703125" style="185" customWidth="1"/>
    <col min="11266" max="11274" width="0" style="185" hidden="1" customWidth="1"/>
    <col min="11275" max="11275" width="6.5703125" style="185" customWidth="1"/>
    <col min="11276" max="11276" width="6.85546875" style="185" bestFit="1" customWidth="1"/>
    <col min="11277" max="11278" width="7.7109375" style="185" bestFit="1" customWidth="1"/>
    <col min="11279" max="11279" width="0" style="185" hidden="1" customWidth="1"/>
    <col min="11280" max="11280" width="9" style="185" customWidth="1"/>
    <col min="11281" max="11281" width="8" style="185" bestFit="1" customWidth="1"/>
    <col min="11282" max="11282" width="0" style="185" hidden="1" customWidth="1"/>
    <col min="11283" max="11283" width="8" style="185" customWidth="1"/>
    <col min="11284" max="11284" width="0" style="185" hidden="1" customWidth="1"/>
    <col min="11285" max="11285" width="8" style="185" bestFit="1" customWidth="1"/>
    <col min="11286" max="11286" width="0" style="185" hidden="1" customWidth="1"/>
    <col min="11287" max="11287" width="8" style="185" customWidth="1"/>
    <col min="11288" max="11288" width="0" style="185" hidden="1" customWidth="1"/>
    <col min="11289" max="11291" width="8" style="185" bestFit="1" customWidth="1"/>
    <col min="11292" max="11292" width="17.42578125" style="185" bestFit="1" customWidth="1"/>
    <col min="11293" max="11520" width="11.42578125" style="185"/>
    <col min="11521" max="11521" width="59.5703125" style="185" customWidth="1"/>
    <col min="11522" max="11530" width="0" style="185" hidden="1" customWidth="1"/>
    <col min="11531" max="11531" width="6.5703125" style="185" customWidth="1"/>
    <col min="11532" max="11532" width="6.85546875" style="185" bestFit="1" customWidth="1"/>
    <col min="11533" max="11534" width="7.7109375" style="185" bestFit="1" customWidth="1"/>
    <col min="11535" max="11535" width="0" style="185" hidden="1" customWidth="1"/>
    <col min="11536" max="11536" width="9" style="185" customWidth="1"/>
    <col min="11537" max="11537" width="8" style="185" bestFit="1" customWidth="1"/>
    <col min="11538" max="11538" width="0" style="185" hidden="1" customWidth="1"/>
    <col min="11539" max="11539" width="8" style="185" customWidth="1"/>
    <col min="11540" max="11540" width="0" style="185" hidden="1" customWidth="1"/>
    <col min="11541" max="11541" width="8" style="185" bestFit="1" customWidth="1"/>
    <col min="11542" max="11542" width="0" style="185" hidden="1" customWidth="1"/>
    <col min="11543" max="11543" width="8" style="185" customWidth="1"/>
    <col min="11544" max="11544" width="0" style="185" hidden="1" customWidth="1"/>
    <col min="11545" max="11547" width="8" style="185" bestFit="1" customWidth="1"/>
    <col min="11548" max="11548" width="17.42578125" style="185" bestFit="1" customWidth="1"/>
    <col min="11549" max="11776" width="11.42578125" style="185"/>
    <col min="11777" max="11777" width="59.5703125" style="185" customWidth="1"/>
    <col min="11778" max="11786" width="0" style="185" hidden="1" customWidth="1"/>
    <col min="11787" max="11787" width="6.5703125" style="185" customWidth="1"/>
    <col min="11788" max="11788" width="6.85546875" style="185" bestFit="1" customWidth="1"/>
    <col min="11789" max="11790" width="7.7109375" style="185" bestFit="1" customWidth="1"/>
    <col min="11791" max="11791" width="0" style="185" hidden="1" customWidth="1"/>
    <col min="11792" max="11792" width="9" style="185" customWidth="1"/>
    <col min="11793" max="11793" width="8" style="185" bestFit="1" customWidth="1"/>
    <col min="11794" max="11794" width="0" style="185" hidden="1" customWidth="1"/>
    <col min="11795" max="11795" width="8" style="185" customWidth="1"/>
    <col min="11796" max="11796" width="0" style="185" hidden="1" customWidth="1"/>
    <col min="11797" max="11797" width="8" style="185" bestFit="1" customWidth="1"/>
    <col min="11798" max="11798" width="0" style="185" hidden="1" customWidth="1"/>
    <col min="11799" max="11799" width="8" style="185" customWidth="1"/>
    <col min="11800" max="11800" width="0" style="185" hidden="1" customWidth="1"/>
    <col min="11801" max="11803" width="8" style="185" bestFit="1" customWidth="1"/>
    <col min="11804" max="11804" width="17.42578125" style="185" bestFit="1" customWidth="1"/>
    <col min="11805" max="12032" width="11.42578125" style="185"/>
    <col min="12033" max="12033" width="59.5703125" style="185" customWidth="1"/>
    <col min="12034" max="12042" width="0" style="185" hidden="1" customWidth="1"/>
    <col min="12043" max="12043" width="6.5703125" style="185" customWidth="1"/>
    <col min="12044" max="12044" width="6.85546875" style="185" bestFit="1" customWidth="1"/>
    <col min="12045" max="12046" width="7.7109375" style="185" bestFit="1" customWidth="1"/>
    <col min="12047" max="12047" width="0" style="185" hidden="1" customWidth="1"/>
    <col min="12048" max="12048" width="9" style="185" customWidth="1"/>
    <col min="12049" max="12049" width="8" style="185" bestFit="1" customWidth="1"/>
    <col min="12050" max="12050" width="0" style="185" hidden="1" customWidth="1"/>
    <col min="12051" max="12051" width="8" style="185" customWidth="1"/>
    <col min="12052" max="12052" width="0" style="185" hidden="1" customWidth="1"/>
    <col min="12053" max="12053" width="8" style="185" bestFit="1" customWidth="1"/>
    <col min="12054" max="12054" width="0" style="185" hidden="1" customWidth="1"/>
    <col min="12055" max="12055" width="8" style="185" customWidth="1"/>
    <col min="12056" max="12056" width="0" style="185" hidden="1" customWidth="1"/>
    <col min="12057" max="12059" width="8" style="185" bestFit="1" customWidth="1"/>
    <col min="12060" max="12060" width="17.42578125" style="185" bestFit="1" customWidth="1"/>
    <col min="12061" max="12288" width="11.42578125" style="185"/>
    <col min="12289" max="12289" width="59.5703125" style="185" customWidth="1"/>
    <col min="12290" max="12298" width="0" style="185" hidden="1" customWidth="1"/>
    <col min="12299" max="12299" width="6.5703125" style="185" customWidth="1"/>
    <col min="12300" max="12300" width="6.85546875" style="185" bestFit="1" customWidth="1"/>
    <col min="12301" max="12302" width="7.7109375" style="185" bestFit="1" customWidth="1"/>
    <col min="12303" max="12303" width="0" style="185" hidden="1" customWidth="1"/>
    <col min="12304" max="12304" width="9" style="185" customWidth="1"/>
    <col min="12305" max="12305" width="8" style="185" bestFit="1" customWidth="1"/>
    <col min="12306" max="12306" width="0" style="185" hidden="1" customWidth="1"/>
    <col min="12307" max="12307" width="8" style="185" customWidth="1"/>
    <col min="12308" max="12308" width="0" style="185" hidden="1" customWidth="1"/>
    <col min="12309" max="12309" width="8" style="185" bestFit="1" customWidth="1"/>
    <col min="12310" max="12310" width="0" style="185" hidden="1" customWidth="1"/>
    <col min="12311" max="12311" width="8" style="185" customWidth="1"/>
    <col min="12312" max="12312" width="0" style="185" hidden="1" customWidth="1"/>
    <col min="12313" max="12315" width="8" style="185" bestFit="1" customWidth="1"/>
    <col min="12316" max="12316" width="17.42578125" style="185" bestFit="1" customWidth="1"/>
    <col min="12317" max="12544" width="11.42578125" style="185"/>
    <col min="12545" max="12545" width="59.5703125" style="185" customWidth="1"/>
    <col min="12546" max="12554" width="0" style="185" hidden="1" customWidth="1"/>
    <col min="12555" max="12555" width="6.5703125" style="185" customWidth="1"/>
    <col min="12556" max="12556" width="6.85546875" style="185" bestFit="1" customWidth="1"/>
    <col min="12557" max="12558" width="7.7109375" style="185" bestFit="1" customWidth="1"/>
    <col min="12559" max="12559" width="0" style="185" hidden="1" customWidth="1"/>
    <col min="12560" max="12560" width="9" style="185" customWidth="1"/>
    <col min="12561" max="12561" width="8" style="185" bestFit="1" customWidth="1"/>
    <col min="12562" max="12562" width="0" style="185" hidden="1" customWidth="1"/>
    <col min="12563" max="12563" width="8" style="185" customWidth="1"/>
    <col min="12564" max="12564" width="0" style="185" hidden="1" customWidth="1"/>
    <col min="12565" max="12565" width="8" style="185" bestFit="1" customWidth="1"/>
    <col min="12566" max="12566" width="0" style="185" hidden="1" customWidth="1"/>
    <col min="12567" max="12567" width="8" style="185" customWidth="1"/>
    <col min="12568" max="12568" width="0" style="185" hidden="1" customWidth="1"/>
    <col min="12569" max="12571" width="8" style="185" bestFit="1" customWidth="1"/>
    <col min="12572" max="12572" width="17.42578125" style="185" bestFit="1" customWidth="1"/>
    <col min="12573" max="12800" width="11.42578125" style="185"/>
    <col min="12801" max="12801" width="59.5703125" style="185" customWidth="1"/>
    <col min="12802" max="12810" width="0" style="185" hidden="1" customWidth="1"/>
    <col min="12811" max="12811" width="6.5703125" style="185" customWidth="1"/>
    <col min="12812" max="12812" width="6.85546875" style="185" bestFit="1" customWidth="1"/>
    <col min="12813" max="12814" width="7.7109375" style="185" bestFit="1" customWidth="1"/>
    <col min="12815" max="12815" width="0" style="185" hidden="1" customWidth="1"/>
    <col min="12816" max="12816" width="9" style="185" customWidth="1"/>
    <col min="12817" max="12817" width="8" style="185" bestFit="1" customWidth="1"/>
    <col min="12818" max="12818" width="0" style="185" hidden="1" customWidth="1"/>
    <col min="12819" max="12819" width="8" style="185" customWidth="1"/>
    <col min="12820" max="12820" width="0" style="185" hidden="1" customWidth="1"/>
    <col min="12821" max="12821" width="8" style="185" bestFit="1" customWidth="1"/>
    <col min="12822" max="12822" width="0" style="185" hidden="1" customWidth="1"/>
    <col min="12823" max="12823" width="8" style="185" customWidth="1"/>
    <col min="12824" max="12824" width="0" style="185" hidden="1" customWidth="1"/>
    <col min="12825" max="12827" width="8" style="185" bestFit="1" customWidth="1"/>
    <col min="12828" max="12828" width="17.42578125" style="185" bestFit="1" customWidth="1"/>
    <col min="12829" max="13056" width="11.42578125" style="185"/>
    <col min="13057" max="13057" width="59.5703125" style="185" customWidth="1"/>
    <col min="13058" max="13066" width="0" style="185" hidden="1" customWidth="1"/>
    <col min="13067" max="13067" width="6.5703125" style="185" customWidth="1"/>
    <col min="13068" max="13068" width="6.85546875" style="185" bestFit="1" customWidth="1"/>
    <col min="13069" max="13070" width="7.7109375" style="185" bestFit="1" customWidth="1"/>
    <col min="13071" max="13071" width="0" style="185" hidden="1" customWidth="1"/>
    <col min="13072" max="13072" width="9" style="185" customWidth="1"/>
    <col min="13073" max="13073" width="8" style="185" bestFit="1" customWidth="1"/>
    <col min="13074" max="13074" width="0" style="185" hidden="1" customWidth="1"/>
    <col min="13075" max="13075" width="8" style="185" customWidth="1"/>
    <col min="13076" max="13076" width="0" style="185" hidden="1" customWidth="1"/>
    <col min="13077" max="13077" width="8" style="185" bestFit="1" customWidth="1"/>
    <col min="13078" max="13078" width="0" style="185" hidden="1" customWidth="1"/>
    <col min="13079" max="13079" width="8" style="185" customWidth="1"/>
    <col min="13080" max="13080" width="0" style="185" hidden="1" customWidth="1"/>
    <col min="13081" max="13083" width="8" style="185" bestFit="1" customWidth="1"/>
    <col min="13084" max="13084" width="17.42578125" style="185" bestFit="1" customWidth="1"/>
    <col min="13085" max="13312" width="11.42578125" style="185"/>
    <col min="13313" max="13313" width="59.5703125" style="185" customWidth="1"/>
    <col min="13314" max="13322" width="0" style="185" hidden="1" customWidth="1"/>
    <col min="13323" max="13323" width="6.5703125" style="185" customWidth="1"/>
    <col min="13324" max="13324" width="6.85546875" style="185" bestFit="1" customWidth="1"/>
    <col min="13325" max="13326" width="7.7109375" style="185" bestFit="1" customWidth="1"/>
    <col min="13327" max="13327" width="0" style="185" hidden="1" customWidth="1"/>
    <col min="13328" max="13328" width="9" style="185" customWidth="1"/>
    <col min="13329" max="13329" width="8" style="185" bestFit="1" customWidth="1"/>
    <col min="13330" max="13330" width="0" style="185" hidden="1" customWidth="1"/>
    <col min="13331" max="13331" width="8" style="185" customWidth="1"/>
    <col min="13332" max="13332" width="0" style="185" hidden="1" customWidth="1"/>
    <col min="13333" max="13333" width="8" style="185" bestFit="1" customWidth="1"/>
    <col min="13334" max="13334" width="0" style="185" hidden="1" customWidth="1"/>
    <col min="13335" max="13335" width="8" style="185" customWidth="1"/>
    <col min="13336" max="13336" width="0" style="185" hidden="1" customWidth="1"/>
    <col min="13337" max="13339" width="8" style="185" bestFit="1" customWidth="1"/>
    <col min="13340" max="13340" width="17.42578125" style="185" bestFit="1" customWidth="1"/>
    <col min="13341" max="13568" width="11.42578125" style="185"/>
    <col min="13569" max="13569" width="59.5703125" style="185" customWidth="1"/>
    <col min="13570" max="13578" width="0" style="185" hidden="1" customWidth="1"/>
    <col min="13579" max="13579" width="6.5703125" style="185" customWidth="1"/>
    <col min="13580" max="13580" width="6.85546875" style="185" bestFit="1" customWidth="1"/>
    <col min="13581" max="13582" width="7.7109375" style="185" bestFit="1" customWidth="1"/>
    <col min="13583" max="13583" width="0" style="185" hidden="1" customWidth="1"/>
    <col min="13584" max="13584" width="9" style="185" customWidth="1"/>
    <col min="13585" max="13585" width="8" style="185" bestFit="1" customWidth="1"/>
    <col min="13586" max="13586" width="0" style="185" hidden="1" customWidth="1"/>
    <col min="13587" max="13587" width="8" style="185" customWidth="1"/>
    <col min="13588" max="13588" width="0" style="185" hidden="1" customWidth="1"/>
    <col min="13589" max="13589" width="8" style="185" bestFit="1" customWidth="1"/>
    <col min="13590" max="13590" width="0" style="185" hidden="1" customWidth="1"/>
    <col min="13591" max="13591" width="8" style="185" customWidth="1"/>
    <col min="13592" max="13592" width="0" style="185" hidden="1" customWidth="1"/>
    <col min="13593" max="13595" width="8" style="185" bestFit="1" customWidth="1"/>
    <col min="13596" max="13596" width="17.42578125" style="185" bestFit="1" customWidth="1"/>
    <col min="13597" max="13824" width="11.42578125" style="185"/>
    <col min="13825" max="13825" width="59.5703125" style="185" customWidth="1"/>
    <col min="13826" max="13834" width="0" style="185" hidden="1" customWidth="1"/>
    <col min="13835" max="13835" width="6.5703125" style="185" customWidth="1"/>
    <col min="13836" max="13836" width="6.85546875" style="185" bestFit="1" customWidth="1"/>
    <col min="13837" max="13838" width="7.7109375" style="185" bestFit="1" customWidth="1"/>
    <col min="13839" max="13839" width="0" style="185" hidden="1" customWidth="1"/>
    <col min="13840" max="13840" width="9" style="185" customWidth="1"/>
    <col min="13841" max="13841" width="8" style="185" bestFit="1" customWidth="1"/>
    <col min="13842" max="13842" width="0" style="185" hidden="1" customWidth="1"/>
    <col min="13843" max="13843" width="8" style="185" customWidth="1"/>
    <col min="13844" max="13844" width="0" style="185" hidden="1" customWidth="1"/>
    <col min="13845" max="13845" width="8" style="185" bestFit="1" customWidth="1"/>
    <col min="13846" max="13846" width="0" style="185" hidden="1" customWidth="1"/>
    <col min="13847" max="13847" width="8" style="185" customWidth="1"/>
    <col min="13848" max="13848" width="0" style="185" hidden="1" customWidth="1"/>
    <col min="13849" max="13851" width="8" style="185" bestFit="1" customWidth="1"/>
    <col min="13852" max="13852" width="17.42578125" style="185" bestFit="1" customWidth="1"/>
    <col min="13853" max="14080" width="11.42578125" style="185"/>
    <col min="14081" max="14081" width="59.5703125" style="185" customWidth="1"/>
    <col min="14082" max="14090" width="0" style="185" hidden="1" customWidth="1"/>
    <col min="14091" max="14091" width="6.5703125" style="185" customWidth="1"/>
    <col min="14092" max="14092" width="6.85546875" style="185" bestFit="1" customWidth="1"/>
    <col min="14093" max="14094" width="7.7109375" style="185" bestFit="1" customWidth="1"/>
    <col min="14095" max="14095" width="0" style="185" hidden="1" customWidth="1"/>
    <col min="14096" max="14096" width="9" style="185" customWidth="1"/>
    <col min="14097" max="14097" width="8" style="185" bestFit="1" customWidth="1"/>
    <col min="14098" max="14098" width="0" style="185" hidden="1" customWidth="1"/>
    <col min="14099" max="14099" width="8" style="185" customWidth="1"/>
    <col min="14100" max="14100" width="0" style="185" hidden="1" customWidth="1"/>
    <col min="14101" max="14101" width="8" style="185" bestFit="1" customWidth="1"/>
    <col min="14102" max="14102" width="0" style="185" hidden="1" customWidth="1"/>
    <col min="14103" max="14103" width="8" style="185" customWidth="1"/>
    <col min="14104" max="14104" width="0" style="185" hidden="1" customWidth="1"/>
    <col min="14105" max="14107" width="8" style="185" bestFit="1" customWidth="1"/>
    <col min="14108" max="14108" width="17.42578125" style="185" bestFit="1" customWidth="1"/>
    <col min="14109" max="14336" width="11.42578125" style="185"/>
    <col min="14337" max="14337" width="59.5703125" style="185" customWidth="1"/>
    <col min="14338" max="14346" width="0" style="185" hidden="1" customWidth="1"/>
    <col min="14347" max="14347" width="6.5703125" style="185" customWidth="1"/>
    <col min="14348" max="14348" width="6.85546875" style="185" bestFit="1" customWidth="1"/>
    <col min="14349" max="14350" width="7.7109375" style="185" bestFit="1" customWidth="1"/>
    <col min="14351" max="14351" width="0" style="185" hidden="1" customWidth="1"/>
    <col min="14352" max="14352" width="9" style="185" customWidth="1"/>
    <col min="14353" max="14353" width="8" style="185" bestFit="1" customWidth="1"/>
    <col min="14354" max="14354" width="0" style="185" hidden="1" customWidth="1"/>
    <col min="14355" max="14355" width="8" style="185" customWidth="1"/>
    <col min="14356" max="14356" width="0" style="185" hidden="1" customWidth="1"/>
    <col min="14357" max="14357" width="8" style="185" bestFit="1" customWidth="1"/>
    <col min="14358" max="14358" width="0" style="185" hidden="1" customWidth="1"/>
    <col min="14359" max="14359" width="8" style="185" customWidth="1"/>
    <col min="14360" max="14360" width="0" style="185" hidden="1" customWidth="1"/>
    <col min="14361" max="14363" width="8" style="185" bestFit="1" customWidth="1"/>
    <col min="14364" max="14364" width="17.42578125" style="185" bestFit="1" customWidth="1"/>
    <col min="14365" max="14592" width="11.42578125" style="185"/>
    <col min="14593" max="14593" width="59.5703125" style="185" customWidth="1"/>
    <col min="14594" max="14602" width="0" style="185" hidden="1" customWidth="1"/>
    <col min="14603" max="14603" width="6.5703125" style="185" customWidth="1"/>
    <col min="14604" max="14604" width="6.85546875" style="185" bestFit="1" customWidth="1"/>
    <col min="14605" max="14606" width="7.7109375" style="185" bestFit="1" customWidth="1"/>
    <col min="14607" max="14607" width="0" style="185" hidden="1" customWidth="1"/>
    <col min="14608" max="14608" width="9" style="185" customWidth="1"/>
    <col min="14609" max="14609" width="8" style="185" bestFit="1" customWidth="1"/>
    <col min="14610" max="14610" width="0" style="185" hidden="1" customWidth="1"/>
    <col min="14611" max="14611" width="8" style="185" customWidth="1"/>
    <col min="14612" max="14612" width="0" style="185" hidden="1" customWidth="1"/>
    <col min="14613" max="14613" width="8" style="185" bestFit="1" customWidth="1"/>
    <col min="14614" max="14614" width="0" style="185" hidden="1" customWidth="1"/>
    <col min="14615" max="14615" width="8" style="185" customWidth="1"/>
    <col min="14616" max="14616" width="0" style="185" hidden="1" customWidth="1"/>
    <col min="14617" max="14619" width="8" style="185" bestFit="1" customWidth="1"/>
    <col min="14620" max="14620" width="17.42578125" style="185" bestFit="1" customWidth="1"/>
    <col min="14621" max="14848" width="11.42578125" style="185"/>
    <col min="14849" max="14849" width="59.5703125" style="185" customWidth="1"/>
    <col min="14850" max="14858" width="0" style="185" hidden="1" customWidth="1"/>
    <col min="14859" max="14859" width="6.5703125" style="185" customWidth="1"/>
    <col min="14860" max="14860" width="6.85546875" style="185" bestFit="1" customWidth="1"/>
    <col min="14861" max="14862" width="7.7109375" style="185" bestFit="1" customWidth="1"/>
    <col min="14863" max="14863" width="0" style="185" hidden="1" customWidth="1"/>
    <col min="14864" max="14864" width="9" style="185" customWidth="1"/>
    <col min="14865" max="14865" width="8" style="185" bestFit="1" customWidth="1"/>
    <col min="14866" max="14866" width="0" style="185" hidden="1" customWidth="1"/>
    <col min="14867" max="14867" width="8" style="185" customWidth="1"/>
    <col min="14868" max="14868" width="0" style="185" hidden="1" customWidth="1"/>
    <col min="14869" max="14869" width="8" style="185" bestFit="1" customWidth="1"/>
    <col min="14870" max="14870" width="0" style="185" hidden="1" customWidth="1"/>
    <col min="14871" max="14871" width="8" style="185" customWidth="1"/>
    <col min="14872" max="14872" width="0" style="185" hidden="1" customWidth="1"/>
    <col min="14873" max="14875" width="8" style="185" bestFit="1" customWidth="1"/>
    <col min="14876" max="14876" width="17.42578125" style="185" bestFit="1" customWidth="1"/>
    <col min="14877" max="15104" width="11.42578125" style="185"/>
    <col min="15105" max="15105" width="59.5703125" style="185" customWidth="1"/>
    <col min="15106" max="15114" width="0" style="185" hidden="1" customWidth="1"/>
    <col min="15115" max="15115" width="6.5703125" style="185" customWidth="1"/>
    <col min="15116" max="15116" width="6.85546875" style="185" bestFit="1" customWidth="1"/>
    <col min="15117" max="15118" width="7.7109375" style="185" bestFit="1" customWidth="1"/>
    <col min="15119" max="15119" width="0" style="185" hidden="1" customWidth="1"/>
    <col min="15120" max="15120" width="9" style="185" customWidth="1"/>
    <col min="15121" max="15121" width="8" style="185" bestFit="1" customWidth="1"/>
    <col min="15122" max="15122" width="0" style="185" hidden="1" customWidth="1"/>
    <col min="15123" max="15123" width="8" style="185" customWidth="1"/>
    <col min="15124" max="15124" width="0" style="185" hidden="1" customWidth="1"/>
    <col min="15125" max="15125" width="8" style="185" bestFit="1" customWidth="1"/>
    <col min="15126" max="15126" width="0" style="185" hidden="1" customWidth="1"/>
    <col min="15127" max="15127" width="8" style="185" customWidth="1"/>
    <col min="15128" max="15128" width="0" style="185" hidden="1" customWidth="1"/>
    <col min="15129" max="15131" width="8" style="185" bestFit="1" customWidth="1"/>
    <col min="15132" max="15132" width="17.42578125" style="185" bestFit="1" customWidth="1"/>
    <col min="15133" max="15360" width="11.42578125" style="185"/>
    <col min="15361" max="15361" width="59.5703125" style="185" customWidth="1"/>
    <col min="15362" max="15370" width="0" style="185" hidden="1" customWidth="1"/>
    <col min="15371" max="15371" width="6.5703125" style="185" customWidth="1"/>
    <col min="15372" max="15372" width="6.85546875" style="185" bestFit="1" customWidth="1"/>
    <col min="15373" max="15374" width="7.7109375" style="185" bestFit="1" customWidth="1"/>
    <col min="15375" max="15375" width="0" style="185" hidden="1" customWidth="1"/>
    <col min="15376" max="15376" width="9" style="185" customWidth="1"/>
    <col min="15377" max="15377" width="8" style="185" bestFit="1" customWidth="1"/>
    <col min="15378" max="15378" width="0" style="185" hidden="1" customWidth="1"/>
    <col min="15379" max="15379" width="8" style="185" customWidth="1"/>
    <col min="15380" max="15380" width="0" style="185" hidden="1" customWidth="1"/>
    <col min="15381" max="15381" width="8" style="185" bestFit="1" customWidth="1"/>
    <col min="15382" max="15382" width="0" style="185" hidden="1" customWidth="1"/>
    <col min="15383" max="15383" width="8" style="185" customWidth="1"/>
    <col min="15384" max="15384" width="0" style="185" hidden="1" customWidth="1"/>
    <col min="15385" max="15387" width="8" style="185" bestFit="1" customWidth="1"/>
    <col min="15388" max="15388" width="17.42578125" style="185" bestFit="1" customWidth="1"/>
    <col min="15389" max="15616" width="11.42578125" style="185"/>
    <col min="15617" max="15617" width="59.5703125" style="185" customWidth="1"/>
    <col min="15618" max="15626" width="0" style="185" hidden="1" customWidth="1"/>
    <col min="15627" max="15627" width="6.5703125" style="185" customWidth="1"/>
    <col min="15628" max="15628" width="6.85546875" style="185" bestFit="1" customWidth="1"/>
    <col min="15629" max="15630" width="7.7109375" style="185" bestFit="1" customWidth="1"/>
    <col min="15631" max="15631" width="0" style="185" hidden="1" customWidth="1"/>
    <col min="15632" max="15632" width="9" style="185" customWidth="1"/>
    <col min="15633" max="15633" width="8" style="185" bestFit="1" customWidth="1"/>
    <col min="15634" max="15634" width="0" style="185" hidden="1" customWidth="1"/>
    <col min="15635" max="15635" width="8" style="185" customWidth="1"/>
    <col min="15636" max="15636" width="0" style="185" hidden="1" customWidth="1"/>
    <col min="15637" max="15637" width="8" style="185" bestFit="1" customWidth="1"/>
    <col min="15638" max="15638" width="0" style="185" hidden="1" customWidth="1"/>
    <col min="15639" max="15639" width="8" style="185" customWidth="1"/>
    <col min="15640" max="15640" width="0" style="185" hidden="1" customWidth="1"/>
    <col min="15641" max="15643" width="8" style="185" bestFit="1" customWidth="1"/>
    <col min="15644" max="15644" width="17.42578125" style="185" bestFit="1" customWidth="1"/>
    <col min="15645" max="15872" width="11.42578125" style="185"/>
    <col min="15873" max="15873" width="59.5703125" style="185" customWidth="1"/>
    <col min="15874" max="15882" width="0" style="185" hidden="1" customWidth="1"/>
    <col min="15883" max="15883" width="6.5703125" style="185" customWidth="1"/>
    <col min="15884" max="15884" width="6.85546875" style="185" bestFit="1" customWidth="1"/>
    <col min="15885" max="15886" width="7.7109375" style="185" bestFit="1" customWidth="1"/>
    <col min="15887" max="15887" width="0" style="185" hidden="1" customWidth="1"/>
    <col min="15888" max="15888" width="9" style="185" customWidth="1"/>
    <col min="15889" max="15889" width="8" style="185" bestFit="1" customWidth="1"/>
    <col min="15890" max="15890" width="0" style="185" hidden="1" customWidth="1"/>
    <col min="15891" max="15891" width="8" style="185" customWidth="1"/>
    <col min="15892" max="15892" width="0" style="185" hidden="1" customWidth="1"/>
    <col min="15893" max="15893" width="8" style="185" bestFit="1" customWidth="1"/>
    <col min="15894" max="15894" width="0" style="185" hidden="1" customWidth="1"/>
    <col min="15895" max="15895" width="8" style="185" customWidth="1"/>
    <col min="15896" max="15896" width="0" style="185" hidden="1" customWidth="1"/>
    <col min="15897" max="15899" width="8" style="185" bestFit="1" customWidth="1"/>
    <col min="15900" max="15900" width="17.42578125" style="185" bestFit="1" customWidth="1"/>
    <col min="15901" max="16128" width="11.42578125" style="185"/>
    <col min="16129" max="16129" width="59.5703125" style="185" customWidth="1"/>
    <col min="16130" max="16138" width="0" style="185" hidden="1" customWidth="1"/>
    <col min="16139" max="16139" width="6.5703125" style="185" customWidth="1"/>
    <col min="16140" max="16140" width="6.85546875" style="185" bestFit="1" customWidth="1"/>
    <col min="16141" max="16142" width="7.7109375" style="185" bestFit="1" customWidth="1"/>
    <col min="16143" max="16143" width="0" style="185" hidden="1" customWidth="1"/>
    <col min="16144" max="16144" width="9" style="185" customWidth="1"/>
    <col min="16145" max="16145" width="8" style="185" bestFit="1" customWidth="1"/>
    <col min="16146" max="16146" width="0" style="185" hidden="1" customWidth="1"/>
    <col min="16147" max="16147" width="8" style="185" customWidth="1"/>
    <col min="16148" max="16148" width="0" style="185" hidden="1" customWidth="1"/>
    <col min="16149" max="16149" width="8" style="185" bestFit="1" customWidth="1"/>
    <col min="16150" max="16150" width="0" style="185" hidden="1" customWidth="1"/>
    <col min="16151" max="16151" width="8" style="185" customWidth="1"/>
    <col min="16152" max="16152" width="0" style="185" hidden="1" customWidth="1"/>
    <col min="16153" max="16155" width="8" style="185" bestFit="1" customWidth="1"/>
    <col min="16156" max="16156" width="17.42578125" style="185" bestFit="1" customWidth="1"/>
    <col min="16157" max="16384" width="11.42578125" style="185"/>
  </cols>
  <sheetData>
    <row r="1" spans="1:27" ht="15">
      <c r="A1" s="116" t="s">
        <v>599</v>
      </c>
    </row>
    <row r="4" spans="1:27" s="131" customFormat="1" ht="15">
      <c r="A4" s="187" t="s">
        <v>743</v>
      </c>
      <c r="B4" s="188"/>
      <c r="C4" s="188"/>
    </row>
    <row r="5" spans="1:27" s="131" customFormat="1" ht="15">
      <c r="A5" s="131" t="s">
        <v>35</v>
      </c>
      <c r="B5" s="135"/>
      <c r="C5" s="135"/>
    </row>
    <row r="6" spans="1:27" s="131" customFormat="1" ht="11.25" customHeight="1">
      <c r="B6" s="135"/>
      <c r="C6" s="135"/>
    </row>
    <row r="7" spans="1:27" s="193" customFormat="1" ht="17.25" customHeight="1">
      <c r="A7" s="191"/>
      <c r="B7" s="191" t="s">
        <v>201</v>
      </c>
      <c r="C7" s="192" t="s">
        <v>202</v>
      </c>
      <c r="D7" s="192">
        <v>1994</v>
      </c>
      <c r="E7" s="192">
        <v>1995</v>
      </c>
      <c r="F7" s="192">
        <v>1996</v>
      </c>
      <c r="G7" s="192">
        <v>1997</v>
      </c>
      <c r="H7" s="192">
        <v>1998</v>
      </c>
      <c r="I7" s="192">
        <v>1999</v>
      </c>
      <c r="J7" s="192">
        <v>2000</v>
      </c>
      <c r="K7" s="191">
        <v>2001</v>
      </c>
      <c r="L7" s="191">
        <v>2002</v>
      </c>
      <c r="M7" s="191">
        <v>2003</v>
      </c>
      <c r="N7" s="191">
        <v>2004</v>
      </c>
      <c r="O7" s="191">
        <v>2005</v>
      </c>
      <c r="P7" s="191">
        <v>2005</v>
      </c>
      <c r="Q7" s="192">
        <v>2006</v>
      </c>
      <c r="R7" s="192">
        <v>2007</v>
      </c>
      <c r="S7" s="192">
        <v>2007</v>
      </c>
      <c r="T7" s="192">
        <v>2008</v>
      </c>
      <c r="U7" s="192">
        <v>2008</v>
      </c>
      <c r="V7" s="192">
        <v>2009</v>
      </c>
      <c r="W7" s="192">
        <v>2009</v>
      </c>
      <c r="X7" s="192">
        <v>2010</v>
      </c>
      <c r="Y7" s="192">
        <v>2010</v>
      </c>
      <c r="Z7" s="192">
        <v>2011</v>
      </c>
      <c r="AA7" s="192">
        <v>2012</v>
      </c>
    </row>
    <row r="8" spans="1:27" s="197" customFormat="1" ht="17.25" customHeight="1">
      <c r="A8" s="194"/>
      <c r="B8" s="194" t="s">
        <v>203</v>
      </c>
      <c r="C8" s="195" t="s">
        <v>204</v>
      </c>
      <c r="D8" s="195"/>
      <c r="E8" s="195"/>
      <c r="F8" s="195"/>
      <c r="G8" s="195"/>
      <c r="H8" s="195"/>
      <c r="I8" s="195"/>
      <c r="J8" s="195"/>
      <c r="K8" s="196"/>
      <c r="L8" s="196"/>
      <c r="M8" s="196"/>
      <c r="N8" s="196"/>
      <c r="O8" s="196" t="s">
        <v>37</v>
      </c>
      <c r="P8" s="196"/>
      <c r="Q8" s="195"/>
      <c r="R8" s="195" t="s">
        <v>37</v>
      </c>
      <c r="S8" s="195"/>
      <c r="T8" s="195" t="s">
        <v>37</v>
      </c>
      <c r="U8" s="195"/>
      <c r="V8" s="195" t="s">
        <v>37</v>
      </c>
      <c r="W8" s="195"/>
      <c r="X8" s="195" t="s">
        <v>37</v>
      </c>
      <c r="Y8" s="195"/>
      <c r="Z8" s="195"/>
      <c r="AA8" s="195" t="s">
        <v>37</v>
      </c>
    </row>
    <row r="9" spans="1:27" s="160" customFormat="1" ht="22.5" customHeight="1">
      <c r="A9" s="198" t="s">
        <v>205</v>
      </c>
      <c r="B9" s="198"/>
      <c r="C9" s="198"/>
      <c r="D9" s="199"/>
      <c r="E9" s="199"/>
      <c r="F9" s="199"/>
      <c r="G9" s="199"/>
      <c r="H9" s="199"/>
    </row>
    <row r="10" spans="1:27" s="160" customFormat="1" ht="14.25">
      <c r="A10" s="180" t="s">
        <v>206</v>
      </c>
      <c r="B10" s="180" t="s">
        <v>207</v>
      </c>
      <c r="C10" s="180" t="s">
        <v>207</v>
      </c>
      <c r="D10" s="181">
        <v>4770.9715631199897</v>
      </c>
      <c r="E10" s="181">
        <v>4902.8727571346553</v>
      </c>
      <c r="F10" s="181">
        <v>4918.2793979782418</v>
      </c>
      <c r="G10" s="181">
        <v>4958.9530000000004</v>
      </c>
      <c r="H10" s="181">
        <v>5232.6710000000003</v>
      </c>
      <c r="I10" s="181">
        <v>5459.7219999999998</v>
      </c>
      <c r="J10" s="181">
        <v>5562.6930000000002</v>
      </c>
      <c r="K10" s="181">
        <v>5650.3519999999999</v>
      </c>
      <c r="L10" s="181">
        <v>5657.27</v>
      </c>
      <c r="M10" s="181">
        <v>5745.0450000000001</v>
      </c>
      <c r="N10" s="181">
        <v>5767.3509999999997</v>
      </c>
      <c r="O10" s="181">
        <v>5779.08</v>
      </c>
      <c r="P10" s="181">
        <v>6070.2998740000003</v>
      </c>
      <c r="Q10" s="181">
        <f>'ÜE-15'!Q10</f>
        <v>6286.7479519999997</v>
      </c>
      <c r="R10" s="181">
        <f>'ÜE-15'!R10</f>
        <v>6514.9589999999998</v>
      </c>
      <c r="S10" s="181">
        <f>'ÜE-15'!S10</f>
        <v>6533.2980509999998</v>
      </c>
      <c r="T10" s="181">
        <f>'ÜE-15'!T10</f>
        <v>6604.3779999999997</v>
      </c>
      <c r="U10" s="181">
        <f>'ÜE-15'!U10</f>
        <v>6877.326</v>
      </c>
      <c r="V10" s="181">
        <f>'ÜE-15'!V10</f>
        <v>7253.0659999999998</v>
      </c>
      <c r="W10" s="181">
        <f>'ÜE-15'!W10</f>
        <v>7199.3770000000004</v>
      </c>
      <c r="X10" s="181">
        <f>'ÜE-15'!X10</f>
        <v>7323.5050000000001</v>
      </c>
      <c r="Y10" s="181">
        <f>'ÜE-15'!Y10</f>
        <v>7188.1130000000003</v>
      </c>
      <c r="Z10" s="181">
        <f>'ÜE-15'!Z10</f>
        <v>7365.8559999999998</v>
      </c>
      <c r="AA10" s="181">
        <f>'ÜE-15'!AB10</f>
        <v>7988.1139999999996</v>
      </c>
    </row>
    <row r="11" spans="1:27" s="160" customFormat="1" ht="14.25">
      <c r="A11" s="160" t="s">
        <v>208</v>
      </c>
      <c r="D11" s="159"/>
      <c r="E11" s="159"/>
      <c r="F11" s="159"/>
      <c r="G11" s="159"/>
      <c r="H11" s="159"/>
      <c r="I11" s="159"/>
      <c r="J11" s="159"/>
      <c r="K11" s="159"/>
      <c r="L11" s="159"/>
      <c r="M11" s="159"/>
      <c r="N11" s="159"/>
    </row>
    <row r="12" spans="1:27" s="160" customFormat="1" ht="14.25">
      <c r="A12" s="160" t="s">
        <v>209</v>
      </c>
      <c r="B12" s="160" t="s">
        <v>210</v>
      </c>
      <c r="C12" s="160" t="s">
        <v>211</v>
      </c>
      <c r="D12" s="159">
        <v>2231.9280829633071</v>
      </c>
      <c r="E12" s="159">
        <v>2323.2778355123069</v>
      </c>
      <c r="F12" s="159">
        <v>2323.5685268489783</v>
      </c>
      <c r="G12" s="159">
        <v>2347.17</v>
      </c>
      <c r="H12" s="159">
        <v>2457.971</v>
      </c>
      <c r="I12" s="159">
        <v>2579.2049999999999</v>
      </c>
      <c r="J12" s="159">
        <v>2668.3620000000001</v>
      </c>
      <c r="K12" s="159">
        <v>2689.76</v>
      </c>
      <c r="L12" s="159">
        <v>2672.723</v>
      </c>
      <c r="M12" s="159">
        <v>2676.3789999999999</v>
      </c>
      <c r="N12" s="159">
        <v>2680.9169999999999</v>
      </c>
      <c r="O12" s="159">
        <v>2611.9389999999999</v>
      </c>
      <c r="P12" s="159">
        <v>2814.0250000000001</v>
      </c>
      <c r="Q12" s="159">
        <f>'ÜE-15'!Q12</f>
        <v>2844.9720000000002</v>
      </c>
      <c r="R12" s="159">
        <f>'ÜE-15'!R12</f>
        <v>2969.14</v>
      </c>
      <c r="S12" s="159">
        <f>'ÜE-15'!S12</f>
        <v>2943.6979999999999</v>
      </c>
      <c r="T12" s="159">
        <f>'ÜE-15'!T12</f>
        <v>3030.9830000000002</v>
      </c>
      <c r="U12" s="159">
        <f>'ÜE-15'!U12</f>
        <v>3059.422</v>
      </c>
      <c r="V12" s="159">
        <f>'ÜE-15'!V12</f>
        <v>3294.7080000000001</v>
      </c>
      <c r="W12" s="159">
        <f>'ÜE-15'!W12</f>
        <v>3222.0210000000002</v>
      </c>
      <c r="X12" s="159">
        <f>'ÜE-15'!X12</f>
        <v>3297.239</v>
      </c>
      <c r="Y12" s="159">
        <f>'ÜE-15'!Y12</f>
        <v>3218.1030000000001</v>
      </c>
      <c r="Z12" s="159">
        <f>'ÜE-15'!Z12</f>
        <v>3212.71</v>
      </c>
      <c r="AA12" s="159">
        <f>'ÜE-15'!AB12</f>
        <v>3445.8380000000002</v>
      </c>
    </row>
    <row r="13" spans="1:27" s="160" customFormat="1" ht="28.5">
      <c r="A13" s="200" t="s">
        <v>212</v>
      </c>
      <c r="B13" s="200" t="s">
        <v>213</v>
      </c>
      <c r="C13" s="200" t="s">
        <v>214</v>
      </c>
      <c r="D13" s="159">
        <v>851.43492511064437</v>
      </c>
      <c r="E13" s="159">
        <v>882.17553396364895</v>
      </c>
      <c r="F13" s="159">
        <v>886.97194101872776</v>
      </c>
      <c r="G13" s="159">
        <v>903.59199999999998</v>
      </c>
      <c r="H13" s="159">
        <v>928.18799999999999</v>
      </c>
      <c r="I13" s="159">
        <v>969.58799999999997</v>
      </c>
      <c r="J13" s="159">
        <v>987.51900000000001</v>
      </c>
      <c r="K13" s="159">
        <v>998.97799999999995</v>
      </c>
      <c r="L13" s="159">
        <v>1004.899</v>
      </c>
      <c r="M13" s="159">
        <v>1033.9749999999999</v>
      </c>
      <c r="N13" s="159">
        <v>1038.1869999999999</v>
      </c>
      <c r="O13" s="159">
        <v>1069.5070000000001</v>
      </c>
      <c r="P13" s="159">
        <v>1085.299698</v>
      </c>
      <c r="Q13" s="159">
        <f>'ÜE-15'!Q13</f>
        <v>1152.3430000000001</v>
      </c>
      <c r="R13" s="159">
        <f>'ÜE-15'!R13</f>
        <v>1197.519</v>
      </c>
      <c r="S13" s="159">
        <f>'ÜE-15'!S13</f>
        <v>1204.4110000000001</v>
      </c>
      <c r="T13" s="159">
        <f>'ÜE-15'!T13</f>
        <v>1218.96</v>
      </c>
      <c r="U13" s="159">
        <f>'ÜE-15'!U13</f>
        <v>1276.2719999999999</v>
      </c>
      <c r="V13" s="159">
        <f>'ÜE-15'!V13</f>
        <v>1355.162</v>
      </c>
      <c r="W13" s="159">
        <f>'ÜE-15'!W13</f>
        <v>1345.915</v>
      </c>
      <c r="X13" s="159">
        <f>'ÜE-15'!X13</f>
        <v>1377.5909999999999</v>
      </c>
      <c r="Y13" s="159">
        <f>'ÜE-15'!Y13</f>
        <v>1377.175</v>
      </c>
      <c r="Z13" s="159">
        <f>'ÜE-15'!Z13</f>
        <v>1406.2840000000001</v>
      </c>
      <c r="AA13" s="159">
        <f>'ÜE-15'!AB13</f>
        <v>1498.8109999999999</v>
      </c>
    </row>
    <row r="14" spans="1:27" s="160" customFormat="1" ht="14.25">
      <c r="A14" s="160" t="s">
        <v>215</v>
      </c>
      <c r="B14" s="160" t="s">
        <v>216</v>
      </c>
      <c r="C14" s="160" t="s">
        <v>217</v>
      </c>
      <c r="D14" s="159">
        <v>383.85791007463496</v>
      </c>
      <c r="E14" s="159">
        <v>383.71256440629924</v>
      </c>
      <c r="F14" s="159">
        <v>373.82905895947033</v>
      </c>
      <c r="G14" s="159">
        <v>376.44528098951326</v>
      </c>
      <c r="H14" s="159">
        <v>392.02100000000002</v>
      </c>
      <c r="I14" s="159">
        <v>409.762</v>
      </c>
      <c r="J14" s="159">
        <v>413.90800000000002</v>
      </c>
      <c r="K14" s="159">
        <v>415.738</v>
      </c>
      <c r="L14" s="159">
        <v>424.61399999999998</v>
      </c>
      <c r="M14" s="159">
        <v>436.928</v>
      </c>
      <c r="N14" s="159">
        <v>441.26499999999999</v>
      </c>
      <c r="O14" s="159">
        <v>453.911</v>
      </c>
      <c r="P14" s="159">
        <v>462.63400000000001</v>
      </c>
      <c r="Q14" s="159">
        <f>'ÜE-15'!Q14</f>
        <v>481.59</v>
      </c>
      <c r="R14" s="159">
        <f>'ÜE-15'!R14</f>
        <v>495.17600000000004</v>
      </c>
      <c r="S14" s="159">
        <f>'ÜE-15'!S14</f>
        <v>498.1</v>
      </c>
      <c r="T14" s="159">
        <f>'ÜE-15'!T14</f>
        <v>497.14200000000005</v>
      </c>
      <c r="U14" s="159">
        <f>'ÜE-15'!U14</f>
        <v>526.32000000000005</v>
      </c>
      <c r="V14" s="159">
        <f>'ÜE-15'!V14</f>
        <v>555.25799999999992</v>
      </c>
      <c r="W14" s="159">
        <f>'ÜE-15'!W14</f>
        <v>549.93899999999996</v>
      </c>
      <c r="X14" s="159">
        <f>'ÜE-15'!X14</f>
        <v>558.54300000000001</v>
      </c>
      <c r="Y14" s="159">
        <f>'ÜE-15'!Y14</f>
        <v>555.32899999999995</v>
      </c>
      <c r="Z14" s="159">
        <f>'ÜE-15'!Z14</f>
        <v>544.91200000000003</v>
      </c>
      <c r="AA14" s="159">
        <f>'ÜE-15'!AB14</f>
        <v>583.83600000000001</v>
      </c>
    </row>
    <row r="15" spans="1:27" s="160" customFormat="1" ht="14.25">
      <c r="A15" s="160" t="s">
        <v>218</v>
      </c>
      <c r="B15" s="160" t="s">
        <v>219</v>
      </c>
      <c r="C15" s="160" t="s">
        <v>220</v>
      </c>
      <c r="D15" s="159">
        <v>242.14588344730853</v>
      </c>
      <c r="E15" s="159">
        <v>248.32307435157662</v>
      </c>
      <c r="F15" s="159">
        <v>250.86662354745172</v>
      </c>
      <c r="G15" s="159">
        <v>260.24141915510563</v>
      </c>
      <c r="H15" s="159">
        <v>273.39520213948822</v>
      </c>
      <c r="I15" s="159">
        <v>288.22046030973161</v>
      </c>
      <c r="J15" s="159">
        <v>289.59800000000001</v>
      </c>
      <c r="K15" s="159">
        <v>292.19499999999999</v>
      </c>
      <c r="L15" s="159">
        <v>297.86099999999999</v>
      </c>
      <c r="M15" s="159">
        <v>307.93799999999999</v>
      </c>
      <c r="N15" s="159">
        <v>311.36200000000002</v>
      </c>
      <c r="O15" s="159">
        <v>315.74200000000002</v>
      </c>
      <c r="P15" s="159">
        <v>324.07</v>
      </c>
      <c r="Q15" s="159">
        <f>'ÜE-15'!Q15</f>
        <v>339.43200000000002</v>
      </c>
      <c r="R15" s="159">
        <f>'ÜE-15'!R15</f>
        <v>349.63</v>
      </c>
      <c r="S15" s="159">
        <f>'ÜE-15'!S15</f>
        <v>350.35399999999998</v>
      </c>
      <c r="T15" s="159">
        <f>'ÜE-15'!T15</f>
        <v>350.37600000000003</v>
      </c>
      <c r="U15" s="159">
        <f>'ÜE-15'!U15</f>
        <v>367.553</v>
      </c>
      <c r="V15" s="159">
        <f>'ÜE-15'!V15</f>
        <v>387.971</v>
      </c>
      <c r="W15" s="159">
        <f>'ÜE-15'!W15</f>
        <v>385.67500000000001</v>
      </c>
      <c r="X15" s="159">
        <f>'ÜE-15'!X15</f>
        <v>388.18299999999999</v>
      </c>
      <c r="Y15" s="159">
        <f>'ÜE-15'!Y15</f>
        <v>388.39499999999998</v>
      </c>
      <c r="Z15" s="159">
        <f>'ÜE-15'!Z15</f>
        <v>380.12600000000003</v>
      </c>
      <c r="AA15" s="159">
        <f>'ÜE-15'!AB15</f>
        <v>413.68600000000004</v>
      </c>
    </row>
    <row r="16" spans="1:27" s="160" customFormat="1" ht="28.5">
      <c r="A16" s="200" t="s">
        <v>221</v>
      </c>
      <c r="B16" s="200" t="s">
        <v>222</v>
      </c>
      <c r="C16" s="200" t="s">
        <v>223</v>
      </c>
      <c r="D16" s="159">
        <v>234.44256302551543</v>
      </c>
      <c r="E16" s="159">
        <v>239.8930255881049</v>
      </c>
      <c r="F16" s="159">
        <v>242.29122911564426</v>
      </c>
      <c r="G16" s="159">
        <v>248.83178419075165</v>
      </c>
      <c r="H16" s="159">
        <v>263.07565968765215</v>
      </c>
      <c r="I16" s="159">
        <v>281.3892138979528</v>
      </c>
      <c r="J16" s="159">
        <v>288.91199999999998</v>
      </c>
      <c r="K16" s="159">
        <v>296.69299999999998</v>
      </c>
      <c r="L16" s="159">
        <v>303.48399999999998</v>
      </c>
      <c r="M16" s="159">
        <v>316.75299999999999</v>
      </c>
      <c r="N16" s="159">
        <v>320.54500000000002</v>
      </c>
      <c r="O16" s="159">
        <v>325.96300000000002</v>
      </c>
      <c r="P16" s="159">
        <v>341.54199999999997</v>
      </c>
      <c r="Q16" s="159">
        <f>'ÜE-15'!Q16</f>
        <v>364.43700000000001</v>
      </c>
      <c r="R16" s="159">
        <f>'ÜE-15'!R16</f>
        <v>379.97900000000004</v>
      </c>
      <c r="S16" s="159">
        <f>'ÜE-15'!S16</f>
        <v>384.34</v>
      </c>
      <c r="T16" s="159">
        <f>'ÜE-15'!T16</f>
        <v>384.59800000000001</v>
      </c>
      <c r="U16" s="159">
        <f>'ÜE-15'!U16</f>
        <v>407.82900000000001</v>
      </c>
      <c r="V16" s="159">
        <f>'ÜE-15'!V16</f>
        <v>427.87100000000004</v>
      </c>
      <c r="W16" s="159">
        <f>'ÜE-15'!W16</f>
        <v>430.55799999999999</v>
      </c>
      <c r="X16" s="159">
        <f>'ÜE-15'!X16</f>
        <v>432.32800000000003</v>
      </c>
      <c r="Y16" s="159">
        <f>'ÜE-15'!Y16</f>
        <v>439.666</v>
      </c>
      <c r="Z16" s="159">
        <f>'ÜE-15'!Z16</f>
        <v>423.89100000000002</v>
      </c>
      <c r="AA16" s="159">
        <f>'ÜE-15'!AB16</f>
        <v>466.084</v>
      </c>
    </row>
    <row r="17" spans="1:28" s="160" customFormat="1" ht="14.25">
      <c r="A17" s="160" t="s">
        <v>224</v>
      </c>
      <c r="B17" s="160" t="s">
        <v>225</v>
      </c>
      <c r="C17" s="160" t="s">
        <v>226</v>
      </c>
      <c r="D17" s="159">
        <v>90.695697041488913</v>
      </c>
      <c r="E17" s="159">
        <v>92.948554900692571</v>
      </c>
      <c r="F17" s="159">
        <v>91.931135222342533</v>
      </c>
      <c r="G17" s="159">
        <v>88.87887618729242</v>
      </c>
      <c r="H17" s="159">
        <v>91.204406880663939</v>
      </c>
      <c r="I17" s="159">
        <v>99.271091473296366</v>
      </c>
      <c r="J17" s="159">
        <v>100.292</v>
      </c>
      <c r="K17" s="159">
        <v>101.786</v>
      </c>
      <c r="L17" s="159">
        <v>104.614</v>
      </c>
      <c r="M17" s="159">
        <v>105.73399999999999</v>
      </c>
      <c r="N17" s="159">
        <v>105.629</v>
      </c>
      <c r="O17" s="159">
        <v>110.123</v>
      </c>
      <c r="P17" s="159">
        <v>111.295</v>
      </c>
      <c r="Q17" s="159">
        <f>'ÜE-15'!Q17</f>
        <v>118.842</v>
      </c>
      <c r="R17" s="159">
        <f>'ÜE-15'!R17</f>
        <v>122.919</v>
      </c>
      <c r="S17" s="159">
        <f>'ÜE-15'!S17</f>
        <v>127.82</v>
      </c>
      <c r="T17" s="159">
        <f>'ÜE-15'!T17</f>
        <v>123.039</v>
      </c>
      <c r="U17" s="159">
        <f>'ÜE-15'!U17</f>
        <v>133.99199999999999</v>
      </c>
      <c r="V17" s="159">
        <f>'ÜE-15'!V17</f>
        <v>148.215</v>
      </c>
      <c r="W17" s="159">
        <f>'ÜE-15'!W17</f>
        <v>147.148</v>
      </c>
      <c r="X17" s="159">
        <f>'ÜE-15'!X17</f>
        <v>148.334</v>
      </c>
      <c r="Y17" s="159">
        <f>'ÜE-15'!Y17</f>
        <v>150.24700000000001</v>
      </c>
      <c r="Z17" s="159">
        <f>'ÜE-15'!Z17</f>
        <v>155.148</v>
      </c>
      <c r="AA17" s="159">
        <f>'ÜE-15'!AB17</f>
        <v>158.20099999999999</v>
      </c>
    </row>
    <row r="18" spans="1:28" s="200" customFormat="1" ht="42.75">
      <c r="A18" s="200" t="s">
        <v>227</v>
      </c>
      <c r="B18" s="200" t="s">
        <v>228</v>
      </c>
      <c r="C18" s="200" t="s">
        <v>229</v>
      </c>
      <c r="D18" s="159">
        <v>68.821173956963136</v>
      </c>
      <c r="E18" s="159">
        <v>73.47223534370616</v>
      </c>
      <c r="F18" s="159">
        <v>69.838593635313174</v>
      </c>
      <c r="G18" s="159">
        <v>65.550896419409455</v>
      </c>
      <c r="H18" s="159">
        <v>70.637994811159629</v>
      </c>
      <c r="I18" s="159">
        <v>73.47223534370616</v>
      </c>
      <c r="J18" s="159">
        <v>75.132999999999996</v>
      </c>
      <c r="K18" s="159">
        <v>81.247</v>
      </c>
      <c r="L18" s="159">
        <v>81.644999999999996</v>
      </c>
      <c r="M18" s="159">
        <v>81.498000000000005</v>
      </c>
      <c r="N18" s="159">
        <v>81.813999999999993</v>
      </c>
      <c r="O18" s="159">
        <v>82.77</v>
      </c>
      <c r="P18" s="159">
        <v>95.691999999999993</v>
      </c>
      <c r="Q18" s="159">
        <f>'ÜE-15'!Q18</f>
        <v>97.986999999999995</v>
      </c>
      <c r="R18" s="159">
        <f>'ÜE-15'!R18</f>
        <v>98.227999999999994</v>
      </c>
      <c r="S18" s="159">
        <f>'ÜE-15'!S18</f>
        <v>107.123</v>
      </c>
      <c r="T18" s="159">
        <f>'ÜE-15'!T18</f>
        <v>99.513000000000005</v>
      </c>
      <c r="U18" s="159">
        <f>'ÜE-15'!U18</f>
        <v>114.732</v>
      </c>
      <c r="V18" s="159">
        <f>'ÜE-15'!V18</f>
        <v>106.824</v>
      </c>
      <c r="W18" s="159">
        <f>'ÜE-15'!W18</f>
        <v>117.645</v>
      </c>
      <c r="X18" s="159">
        <f>'ÜE-15'!X18</f>
        <v>107.88</v>
      </c>
      <c r="Y18" s="159">
        <f>'ÜE-15'!Y18</f>
        <v>122.26</v>
      </c>
      <c r="Z18" s="159">
        <f>'ÜE-15'!Z18</f>
        <v>110.098</v>
      </c>
      <c r="AA18" s="159">
        <f>'ÜE-15'!AB18</f>
        <v>131.59700000000001</v>
      </c>
    </row>
    <row r="19" spans="1:28" s="160" customFormat="1" ht="14.25">
      <c r="A19" s="227" t="s">
        <v>230</v>
      </c>
      <c r="B19" s="227" t="s">
        <v>231</v>
      </c>
      <c r="C19" s="227" t="s">
        <v>232</v>
      </c>
      <c r="D19" s="228">
        <v>160.31627217429852</v>
      </c>
      <c r="E19" s="228">
        <v>163.07783987267717</v>
      </c>
      <c r="F19" s="228">
        <v>161.84240169182357</v>
      </c>
      <c r="G19" s="228">
        <v>166.42079024439875</v>
      </c>
      <c r="H19" s="228">
        <v>168.52830243526665</v>
      </c>
      <c r="I19" s="228">
        <v>173.68807366118469</v>
      </c>
      <c r="J19" s="228">
        <v>177.048</v>
      </c>
      <c r="K19" s="228">
        <v>179.548</v>
      </c>
      <c r="L19" s="228">
        <v>183.56200000000001</v>
      </c>
      <c r="M19" s="228">
        <v>183.08</v>
      </c>
      <c r="N19" s="228">
        <v>184.048</v>
      </c>
      <c r="O19" s="228">
        <v>190.36600000000001</v>
      </c>
      <c r="P19" s="228">
        <v>193.375</v>
      </c>
      <c r="Q19" s="228">
        <f>'ÜE-15'!Q19</f>
        <v>203.012</v>
      </c>
      <c r="R19" s="228">
        <f>'ÜE-15'!R19</f>
        <v>206.77600000000001</v>
      </c>
      <c r="S19" s="228">
        <f>'ÜE-15'!S19</f>
        <v>203.12</v>
      </c>
      <c r="T19" s="228">
        <f>'ÜE-15'!T19</f>
        <v>206.22800000000001</v>
      </c>
      <c r="U19" s="228">
        <f>'ÜE-15'!U19</f>
        <v>220.81399999999999</v>
      </c>
      <c r="V19" s="228">
        <f>'ÜE-15'!V19</f>
        <v>231.65700000000001</v>
      </c>
      <c r="W19" s="228">
        <f>'ÜE-15'!W19</f>
        <v>225.72200000000001</v>
      </c>
      <c r="X19" s="228">
        <f>'ÜE-15'!X19</f>
        <v>237.898</v>
      </c>
      <c r="Y19" s="228">
        <f>'ÜE-15'!Y19</f>
        <v>238.637</v>
      </c>
      <c r="Z19" s="228">
        <f>'ÜE-15'!Z19</f>
        <v>233.86600000000001</v>
      </c>
      <c r="AA19" s="228">
        <f>'ÜE-15'!AB19</f>
        <v>270.11500000000001</v>
      </c>
    </row>
    <row r="20" spans="1:28" s="160" customFormat="1" ht="8.25" customHeight="1">
      <c r="D20" s="159"/>
      <c r="E20" s="159"/>
      <c r="F20" s="159"/>
      <c r="G20" s="159"/>
      <c r="H20" s="159"/>
      <c r="I20" s="159"/>
      <c r="J20" s="159"/>
      <c r="K20" s="159"/>
      <c r="L20" s="159"/>
      <c r="M20" s="159"/>
      <c r="N20" s="159"/>
    </row>
    <row r="21" spans="1:28" s="160" customFormat="1" ht="14.25">
      <c r="A21" s="180" t="s">
        <v>233</v>
      </c>
      <c r="B21" s="180" t="s">
        <v>234</v>
      </c>
      <c r="C21" s="180" t="s">
        <v>234</v>
      </c>
      <c r="D21" s="181">
        <v>2082.2947174116844</v>
      </c>
      <c r="E21" s="181">
        <v>2090.5067476726522</v>
      </c>
      <c r="F21" s="181">
        <v>2091.8148586876737</v>
      </c>
      <c r="G21" s="181">
        <v>2118.317</v>
      </c>
      <c r="H21" s="181">
        <v>2268.2640000000001</v>
      </c>
      <c r="I21" s="181">
        <v>2386.9270000000001</v>
      </c>
      <c r="J21" s="181">
        <v>2387.15</v>
      </c>
      <c r="K21" s="181">
        <v>2484.2069999999999</v>
      </c>
      <c r="L21" s="181">
        <v>2566.056</v>
      </c>
      <c r="M21" s="181">
        <v>2581.2739999999999</v>
      </c>
      <c r="N21" s="181">
        <v>3458.3510000000001</v>
      </c>
      <c r="O21" s="181">
        <v>3594.6579999999999</v>
      </c>
      <c r="P21" s="181">
        <v>3583.1930000000002</v>
      </c>
      <c r="Q21" s="181">
        <f>'ÜE-15'!Q21</f>
        <v>3667.8196870000002</v>
      </c>
      <c r="R21" s="181">
        <f>'ÜE-15'!R21</f>
        <v>3965.48</v>
      </c>
      <c r="S21" s="181">
        <f>'ÜE-15'!S21</f>
        <v>3899.3919999999998</v>
      </c>
      <c r="T21" s="181">
        <f>'ÜE-15'!T21</f>
        <v>4039.0790000000002</v>
      </c>
      <c r="U21" s="181">
        <f>'ÜE-15'!U21</f>
        <v>4129.1899999999996</v>
      </c>
      <c r="V21" s="181">
        <f>'ÜE-15'!V21</f>
        <v>3825.2289999999998</v>
      </c>
      <c r="W21" s="181">
        <f>'ÜE-15'!W21</f>
        <v>3793.1930000000002</v>
      </c>
      <c r="X21" s="181">
        <f>'ÜE-15'!X21</f>
        <v>4184.76</v>
      </c>
      <c r="Y21" s="181">
        <f>'ÜE-15'!Y21</f>
        <v>4011.0390000000002</v>
      </c>
      <c r="Z21" s="181">
        <f>'ÜE-15'!Z21</f>
        <v>4233.4560000000001</v>
      </c>
      <c r="AA21" s="181">
        <f>'ÜE-15'!AB21</f>
        <v>4318.9970000000003</v>
      </c>
    </row>
    <row r="22" spans="1:28" s="160" customFormat="1" ht="14.25">
      <c r="A22" s="160" t="s">
        <v>208</v>
      </c>
      <c r="D22" s="159"/>
      <c r="E22" s="159"/>
      <c r="F22" s="159"/>
      <c r="G22" s="159"/>
      <c r="H22" s="159"/>
      <c r="I22" s="159"/>
      <c r="J22" s="159"/>
      <c r="K22" s="159"/>
      <c r="L22" s="159"/>
      <c r="M22" s="159"/>
      <c r="N22" s="159"/>
    </row>
    <row r="23" spans="1:28" s="160" customFormat="1" ht="16.5" customHeight="1">
      <c r="A23" s="143" t="s">
        <v>235</v>
      </c>
      <c r="B23" s="143" t="s">
        <v>236</v>
      </c>
      <c r="C23" s="143" t="s">
        <v>237</v>
      </c>
      <c r="D23" s="159">
        <v>1511.1589136864748</v>
      </c>
      <c r="E23" s="159">
        <v>1584.7764946985167</v>
      </c>
      <c r="F23" s="159">
        <v>1312.6894035740499</v>
      </c>
      <c r="G23" s="159">
        <v>1184.3896</v>
      </c>
      <c r="H23" s="159">
        <v>1223.3744903817503</v>
      </c>
      <c r="I23" s="159">
        <v>1277.8791160076451</v>
      </c>
      <c r="J23" s="159">
        <v>1555.5409999999999</v>
      </c>
      <c r="K23" s="159">
        <v>1655.7049999999999</v>
      </c>
      <c r="L23" s="159">
        <v>1737.393499</v>
      </c>
      <c r="M23" s="159">
        <v>1698.6966620000001</v>
      </c>
      <c r="N23" s="159">
        <v>2031.605</v>
      </c>
      <c r="O23" s="159">
        <v>1949.3150000000001</v>
      </c>
      <c r="P23" s="159">
        <v>2096.7249999999999</v>
      </c>
      <c r="Q23" s="159">
        <f>'ÜE-15'!Q23</f>
        <v>2091.0329999999999</v>
      </c>
      <c r="R23" s="159">
        <f>'ÜE-15'!R23</f>
        <v>2262.8029999999999</v>
      </c>
      <c r="S23" s="159">
        <f>'ÜE-15'!S23</f>
        <v>2272.1439999999998</v>
      </c>
      <c r="T23" s="159">
        <f>'ÜE-15'!T23</f>
        <v>2288.1569999999997</v>
      </c>
      <c r="U23" s="159">
        <f>'ÜE-15'!U23</f>
        <v>2336.2089999999998</v>
      </c>
      <c r="V23" s="159">
        <f>'ÜE-15'!V23</f>
        <v>2612.7049999999999</v>
      </c>
      <c r="W23" s="159">
        <f>'ÜE-15'!W23</f>
        <v>2583.6999999999998</v>
      </c>
      <c r="X23" s="159">
        <f>'ÜE-15'!X23</f>
        <v>2806.0110000000004</v>
      </c>
      <c r="Y23" s="159">
        <f>'ÜE-15'!Y23</f>
        <v>2749.8510000000001</v>
      </c>
      <c r="Z23" s="159">
        <f>'ÜE-15'!Z23</f>
        <v>2886.473</v>
      </c>
      <c r="AA23" s="159">
        <f>'ÜE-15'!AB23</f>
        <v>2901.7829999999999</v>
      </c>
    </row>
    <row r="24" spans="1:28" s="160" customFormat="1" ht="15.75">
      <c r="A24" s="143" t="s">
        <v>430</v>
      </c>
      <c r="B24" s="143" t="s">
        <v>238</v>
      </c>
      <c r="C24" s="143" t="s">
        <v>239</v>
      </c>
      <c r="D24" s="159"/>
      <c r="E24" s="159"/>
      <c r="F24" s="159"/>
      <c r="G24" s="159"/>
      <c r="H24" s="159"/>
      <c r="I24" s="159"/>
      <c r="J24" s="159"/>
      <c r="K24" s="159"/>
      <c r="L24" s="159"/>
      <c r="M24" s="159"/>
      <c r="N24" s="159">
        <v>671.56600000000003</v>
      </c>
      <c r="O24" s="159">
        <v>646.58199999999999</v>
      </c>
      <c r="P24" s="159">
        <v>627.76900000000001</v>
      </c>
      <c r="Q24" s="159">
        <f>'ÜE-15'!Q24</f>
        <v>618.875</v>
      </c>
      <c r="R24" s="159">
        <f>'ÜE-15'!R24</f>
        <v>609.34100000000001</v>
      </c>
      <c r="S24" s="159">
        <f>'ÜE-15'!S24</f>
        <v>613.31100000000004</v>
      </c>
      <c r="T24" s="159">
        <f>'ÜE-15'!T24</f>
        <v>591.34100000000001</v>
      </c>
      <c r="U24" s="159">
        <f>'ÜE-15'!U24</f>
        <v>599.08799999999997</v>
      </c>
      <c r="V24" s="159">
        <f>'ÜE-15'!V24</f>
        <v>1E-3</v>
      </c>
      <c r="W24" s="159">
        <f>'ÜE-15'!W24</f>
        <v>-12.853999999999999</v>
      </c>
      <c r="X24" s="159">
        <f>'ÜE-15'!X24</f>
        <v>1E-3</v>
      </c>
      <c r="Y24" s="159">
        <f>'ÜE-15'!Y24</f>
        <v>0.50700000000000001</v>
      </c>
      <c r="Z24" s="159">
        <f>'ÜE-15'!Z24</f>
        <v>1E-3</v>
      </c>
      <c r="AA24" s="159">
        <f>'ÜE-15'!AB24</f>
        <v>37.542999999999999</v>
      </c>
    </row>
    <row r="25" spans="1:28" s="160" customFormat="1" ht="14.25">
      <c r="A25" s="160" t="s">
        <v>240</v>
      </c>
      <c r="B25" s="160" t="s">
        <v>241</v>
      </c>
      <c r="C25" s="160" t="s">
        <v>242</v>
      </c>
      <c r="D25" s="159">
        <v>222.59689105615428</v>
      </c>
      <c r="E25" s="159">
        <v>191.2022266956389</v>
      </c>
      <c r="F25" s="159">
        <v>201.15840497663567</v>
      </c>
      <c r="G25" s="159">
        <v>204.79204668502865</v>
      </c>
      <c r="H25" s="159">
        <v>199.26891128827131</v>
      </c>
      <c r="I25" s="159">
        <v>196.28932508738907</v>
      </c>
      <c r="J25" s="159">
        <v>188.69800000000001</v>
      </c>
      <c r="K25" s="159">
        <v>179.12200000000001</v>
      </c>
      <c r="L25" s="159">
        <v>206.90600000000001</v>
      </c>
      <c r="M25" s="159">
        <v>212.863</v>
      </c>
      <c r="N25" s="159">
        <v>218.91200000000001</v>
      </c>
      <c r="O25" s="159">
        <v>194.28700000000001</v>
      </c>
      <c r="P25" s="159">
        <v>228.89099999999999</v>
      </c>
      <c r="Q25" s="159">
        <f>'ÜE-15'!Q25</f>
        <v>230.81100000000001</v>
      </c>
      <c r="R25" s="159">
        <f>'ÜE-15'!R25</f>
        <v>235.80500000000001</v>
      </c>
      <c r="S25" s="159">
        <f>'ÜE-15'!S25</f>
        <v>239.517</v>
      </c>
      <c r="T25" s="159">
        <f>'ÜE-15'!T25</f>
        <v>239.77500000000001</v>
      </c>
      <c r="U25" s="159">
        <f>'ÜE-15'!U25</f>
        <v>254.40299999999999</v>
      </c>
      <c r="V25" s="159">
        <f>'ÜE-15'!V25</f>
        <v>247.721</v>
      </c>
      <c r="W25" s="159">
        <f>'ÜE-15'!W25</f>
        <v>239.23699999999999</v>
      </c>
      <c r="X25" s="159">
        <f>'ÜE-15'!X25</f>
        <v>251.94800000000001</v>
      </c>
      <c r="Y25" s="159">
        <f>'ÜE-15'!Y25</f>
        <v>230.95099999999999</v>
      </c>
      <c r="Z25" s="159">
        <f>'ÜE-15'!Z25</f>
        <v>255.09299999999999</v>
      </c>
      <c r="AA25" s="159">
        <f>'ÜE-15'!AB25</f>
        <v>248.43100000000001</v>
      </c>
    </row>
    <row r="26" spans="1:28" s="160" customFormat="1" ht="14.25">
      <c r="A26" s="160" t="s">
        <v>243</v>
      </c>
      <c r="B26" s="160" t="s">
        <v>244</v>
      </c>
      <c r="C26" s="160" t="s">
        <v>245</v>
      </c>
      <c r="D26" s="159" t="s">
        <v>73</v>
      </c>
      <c r="E26" s="159">
        <v>6.8312464117788121</v>
      </c>
      <c r="F26" s="159">
        <v>16.351387687768433</v>
      </c>
      <c r="G26" s="159">
        <v>28.560423827968865</v>
      </c>
      <c r="H26" s="159">
        <v>43.967064671555121</v>
      </c>
      <c r="I26" s="159">
        <v>51.961076430019688</v>
      </c>
      <c r="J26" s="159">
        <v>65.239000000000004</v>
      </c>
      <c r="K26" s="159">
        <v>78.085999999999999</v>
      </c>
      <c r="L26" s="159">
        <v>92.081000000000003</v>
      </c>
      <c r="M26" s="159">
        <v>109.336</v>
      </c>
      <c r="N26" s="159">
        <v>118.7796</v>
      </c>
      <c r="O26" s="159">
        <v>152.16900000000001</v>
      </c>
      <c r="P26" s="159">
        <v>153.43899999999999</v>
      </c>
      <c r="Q26" s="159">
        <f>'ÜE-15'!Q26</f>
        <v>162.15299999999999</v>
      </c>
      <c r="R26" s="159">
        <f>'ÜE-15'!R26</f>
        <v>163.58099999999999</v>
      </c>
      <c r="S26" s="159">
        <f>'ÜE-15'!S26</f>
        <v>169.73599999999999</v>
      </c>
      <c r="T26" s="159">
        <f>'ÜE-15'!T26</f>
        <v>169.935</v>
      </c>
      <c r="U26" s="159">
        <f>'ÜE-15'!U26</f>
        <v>177.995</v>
      </c>
      <c r="V26" s="159">
        <f>'ÜE-15'!V26</f>
        <v>189.44</v>
      </c>
      <c r="W26" s="159">
        <f>'ÜE-15'!W26</f>
        <v>190.107</v>
      </c>
      <c r="X26" s="159">
        <f>'ÜE-15'!X26</f>
        <v>215.60599999999999</v>
      </c>
      <c r="Y26" s="159">
        <f>'ÜE-15'!Y26</f>
        <v>218.68700000000001</v>
      </c>
      <c r="Z26" s="159">
        <f>'ÜE-15'!Z26</f>
        <v>235.005</v>
      </c>
      <c r="AA26" s="159">
        <f>'ÜE-15'!AB26</f>
        <v>239.43899999999999</v>
      </c>
    </row>
    <row r="27" spans="1:28" s="200" customFormat="1" ht="42.75">
      <c r="A27" s="200" t="s">
        <v>246</v>
      </c>
      <c r="B27" s="200" t="s">
        <v>247</v>
      </c>
      <c r="D27" s="159">
        <v>42.87697215903723</v>
      </c>
      <c r="E27" s="159">
        <v>50.319000000000003</v>
      </c>
      <c r="F27" s="159">
        <v>50.871000000000002</v>
      </c>
      <c r="G27" s="159">
        <v>52.936999999999998</v>
      </c>
      <c r="H27" s="159">
        <v>54.722999999999999</v>
      </c>
      <c r="I27" s="159">
        <v>62.499000000000002</v>
      </c>
      <c r="J27" s="159">
        <v>70.167000000000002</v>
      </c>
      <c r="K27" s="159">
        <v>92.364999999999995</v>
      </c>
      <c r="L27" s="159">
        <v>74.507000000000005</v>
      </c>
      <c r="M27" s="159">
        <v>96.838999999999999</v>
      </c>
      <c r="N27" s="202">
        <v>77.715000000000003</v>
      </c>
      <c r="O27" s="202">
        <v>77.811000000000007</v>
      </c>
      <c r="P27" s="202">
        <v>100.185</v>
      </c>
      <c r="Q27" s="202">
        <f>'ÜE-15'!Q27</f>
        <v>103.23000000000002</v>
      </c>
      <c r="R27" s="202">
        <f>'ÜE-15'!R27</f>
        <v>92.669999999999987</v>
      </c>
      <c r="S27" s="202">
        <f>'ÜE-15'!S27</f>
        <v>104.848</v>
      </c>
      <c r="T27" s="202">
        <f>'ÜE-15'!T27</f>
        <v>109.309</v>
      </c>
      <c r="U27" s="202">
        <f>'ÜE-15'!U27</f>
        <v>143.846</v>
      </c>
      <c r="V27" s="202">
        <f>'ÜE-15'!V27</f>
        <v>129.797</v>
      </c>
      <c r="W27" s="202">
        <f>'ÜE-15'!W27</f>
        <v>122.42400000000001</v>
      </c>
      <c r="X27" s="202">
        <f>'ÜE-15'!X27</f>
        <v>135.38400000000001</v>
      </c>
      <c r="Y27" s="202">
        <f>'ÜE-15'!Y27</f>
        <v>129.416</v>
      </c>
      <c r="Z27" s="202">
        <f>'ÜE-15'!Z27</f>
        <v>146.565</v>
      </c>
      <c r="AA27" s="202">
        <f>'ÜE-15'!AB27</f>
        <v>145.36500000000001</v>
      </c>
    </row>
    <row r="28" spans="1:28" s="200" customFormat="1" ht="42.75">
      <c r="A28" s="200" t="s">
        <v>248</v>
      </c>
      <c r="B28" s="200" t="s">
        <v>247</v>
      </c>
      <c r="D28" s="159"/>
      <c r="E28" s="159"/>
      <c r="F28" s="159"/>
      <c r="G28" s="159"/>
      <c r="H28" s="159">
        <v>82.496000000000009</v>
      </c>
      <c r="I28" s="159">
        <v>87.314000000000007</v>
      </c>
      <c r="J28" s="159">
        <v>66.545000000000002</v>
      </c>
      <c r="K28" s="159">
        <v>79.076999999999998</v>
      </c>
      <c r="L28" s="159">
        <v>98.555000000000007</v>
      </c>
      <c r="M28" s="159">
        <v>91.908999999999992</v>
      </c>
      <c r="N28" s="159">
        <v>90.331999999999994</v>
      </c>
      <c r="O28" s="159">
        <v>0</v>
      </c>
      <c r="P28" s="159">
        <v>81.597999999999999</v>
      </c>
      <c r="Q28" s="159">
        <f>'ÜE-15'!Q28</f>
        <v>109.96799999999999</v>
      </c>
      <c r="R28" s="159">
        <f>'ÜE-15'!R28</f>
        <v>115.69</v>
      </c>
      <c r="S28" s="159">
        <f>'ÜE-15'!S28</f>
        <v>109.04899999999999</v>
      </c>
      <c r="T28" s="159">
        <f>'ÜE-15'!T28</f>
        <v>115.69</v>
      </c>
      <c r="U28" s="159">
        <f>'ÜE-15'!U28</f>
        <v>133.62900000000002</v>
      </c>
      <c r="V28" s="159">
        <f>'ÜE-15'!V28</f>
        <v>134.714</v>
      </c>
      <c r="W28" s="159">
        <f>'ÜE-15'!W28</f>
        <v>165.39179999999999</v>
      </c>
      <c r="X28" s="159">
        <f>'ÜE-15'!X28</f>
        <v>196.15499999999997</v>
      </c>
      <c r="Y28" s="159">
        <f>'ÜE-15'!Y28</f>
        <v>162.71199999999999</v>
      </c>
      <c r="Z28" s="159">
        <f>'ÜE-15'!Z28</f>
        <v>158.62699999999998</v>
      </c>
      <c r="AA28" s="159">
        <f>'ÜE-15'!AB28</f>
        <v>159.98399999999998</v>
      </c>
    </row>
    <row r="29" spans="1:28" s="200" customFormat="1" ht="42.75">
      <c r="A29" s="200" t="s">
        <v>249</v>
      </c>
      <c r="B29" s="200" t="s">
        <v>247</v>
      </c>
      <c r="D29" s="159">
        <v>60.245779525155697</v>
      </c>
      <c r="E29" s="159">
        <v>0.21801850250357913</v>
      </c>
      <c r="F29" s="203" t="s">
        <v>73</v>
      </c>
      <c r="G29" s="159">
        <v>0.56599999999999995</v>
      </c>
      <c r="H29" s="159">
        <v>36.575000000000003</v>
      </c>
      <c r="I29" s="159">
        <v>43.805999999999997</v>
      </c>
      <c r="J29" s="159">
        <v>75.622</v>
      </c>
      <c r="K29" s="159">
        <v>84.46</v>
      </c>
      <c r="L29" s="159">
        <v>81.018000000000001</v>
      </c>
      <c r="M29" s="159">
        <v>84.596999999999994</v>
      </c>
      <c r="N29" s="202">
        <v>63.572999999999993</v>
      </c>
      <c r="O29" s="202">
        <v>50.833000000000006</v>
      </c>
      <c r="P29" s="202">
        <v>59.718999999999994</v>
      </c>
      <c r="Q29" s="202">
        <f>'ÜE-15'!Q29</f>
        <v>56.992000000000004</v>
      </c>
      <c r="R29" s="202">
        <f>'ÜE-15'!R29</f>
        <v>66.602999999999994</v>
      </c>
      <c r="S29" s="202">
        <f>'ÜE-15'!S29</f>
        <v>58.856999999999999</v>
      </c>
      <c r="T29" s="202">
        <f>'ÜE-15'!T29</f>
        <v>63.863</v>
      </c>
      <c r="U29" s="202">
        <f>'ÜE-15'!U29</f>
        <v>59.545999999999999</v>
      </c>
      <c r="V29" s="202">
        <f>'ÜE-15'!V29</f>
        <v>66.09</v>
      </c>
      <c r="W29" s="202">
        <f>'ÜE-15'!W29</f>
        <v>61.71</v>
      </c>
      <c r="X29" s="202">
        <f>'ÜE-15'!X29</f>
        <v>66.539999999999992</v>
      </c>
      <c r="Y29" s="202">
        <f>'ÜE-15'!Y29</f>
        <v>60.379999999999995</v>
      </c>
      <c r="Z29" s="202">
        <f>'ÜE-15'!Z29</f>
        <v>65.38900000000001</v>
      </c>
      <c r="AA29" s="202">
        <f>'ÜE-15'!AB29</f>
        <v>63.959000000000003</v>
      </c>
    </row>
    <row r="30" spans="1:28" s="160" customFormat="1" ht="14.25">
      <c r="A30" s="227" t="s">
        <v>250</v>
      </c>
      <c r="B30" s="163" t="s">
        <v>247</v>
      </c>
      <c r="C30" s="163"/>
      <c r="D30" s="163"/>
      <c r="E30" s="163"/>
      <c r="F30" s="163"/>
      <c r="G30" s="163"/>
      <c r="H30" s="204" t="s">
        <v>73</v>
      </c>
      <c r="I30" s="204" t="s">
        <v>73</v>
      </c>
      <c r="J30" s="204" t="s">
        <v>73</v>
      </c>
      <c r="K30" s="204" t="s">
        <v>73</v>
      </c>
      <c r="L30" s="204" t="s">
        <v>73</v>
      </c>
      <c r="M30" s="201">
        <v>15.631</v>
      </c>
      <c r="N30" s="201">
        <v>25.262</v>
      </c>
      <c r="O30" s="201">
        <v>0</v>
      </c>
      <c r="P30" s="201">
        <v>156.108</v>
      </c>
      <c r="Q30" s="228">
        <f>'ÜE-15'!Q30</f>
        <v>173.78899999999999</v>
      </c>
      <c r="R30" s="228">
        <f>'ÜE-15'!R30</f>
        <v>195.50399999999999</v>
      </c>
      <c r="S30" s="228">
        <f>'ÜE-15'!S30</f>
        <v>172.851</v>
      </c>
      <c r="T30" s="228">
        <f>'ÜE-15'!T30</f>
        <v>182.31700000000001</v>
      </c>
      <c r="U30" s="228">
        <f>'ÜE-15'!U30</f>
        <v>225.071</v>
      </c>
      <c r="V30" s="228">
        <f>'ÜE-15'!V30</f>
        <v>259.779</v>
      </c>
      <c r="W30" s="228">
        <f>'ÜE-15'!W30</f>
        <v>248.98</v>
      </c>
      <c r="X30" s="228">
        <f>'ÜE-15'!X30</f>
        <v>263.60399999999998</v>
      </c>
      <c r="Y30" s="228">
        <f>'ÜE-15'!Y30</f>
        <v>264.38799999999998</v>
      </c>
      <c r="Z30" s="228">
        <f>'ÜE-15'!Z30</f>
        <v>281.72199999999998</v>
      </c>
      <c r="AA30" s="228">
        <f>'ÜE-15'!AB30</f>
        <v>293.69400000000002</v>
      </c>
      <c r="AB30" s="227"/>
    </row>
    <row r="31" spans="1:28" s="160" customFormat="1" ht="14.25" hidden="1" outlineLevel="1">
      <c r="A31" s="160" t="s">
        <v>251</v>
      </c>
      <c r="B31" s="160" t="s">
        <v>252</v>
      </c>
      <c r="H31" s="206"/>
      <c r="I31" s="206"/>
      <c r="J31" s="206"/>
      <c r="K31" s="206"/>
      <c r="L31" s="206"/>
      <c r="M31" s="159"/>
      <c r="N31" s="159"/>
      <c r="O31" s="159"/>
      <c r="P31" s="159"/>
      <c r="Q31" s="159">
        <f>'ÜE-15'!Q31</f>
        <v>0</v>
      </c>
      <c r="R31" s="159">
        <f>'ÜE-15'!R31</f>
        <v>60</v>
      </c>
      <c r="S31" s="159">
        <f>'ÜE-15'!S31</f>
        <v>0</v>
      </c>
      <c r="T31" s="159">
        <f>'ÜE-15'!T31</f>
        <v>100</v>
      </c>
      <c r="U31" s="159">
        <f>'ÜE-15'!U31</f>
        <v>0</v>
      </c>
      <c r="V31" s="159">
        <f>'ÜE-15'!V31</f>
        <v>0</v>
      </c>
      <c r="W31" s="159">
        <f>'ÜE-15'!W31</f>
        <v>0</v>
      </c>
      <c r="X31" s="159">
        <f>'ÜE-15'!X31</f>
        <v>0</v>
      </c>
      <c r="Y31" s="159">
        <f>'ÜE-15'!Y31</f>
        <v>0</v>
      </c>
      <c r="Z31" s="159">
        <f>'ÜE-15'!Z31</f>
        <v>0</v>
      </c>
      <c r="AA31" s="159">
        <f>'ÜE-15'!AB31</f>
        <v>0</v>
      </c>
    </row>
    <row r="32" spans="1:28" s="160" customFormat="1" ht="7.5" customHeight="1" collapsed="1">
      <c r="A32" s="229"/>
      <c r="B32" s="229"/>
      <c r="C32" s="229"/>
      <c r="D32" s="230"/>
      <c r="E32" s="230"/>
      <c r="F32" s="230"/>
      <c r="G32" s="230"/>
      <c r="H32" s="230"/>
      <c r="I32" s="230"/>
      <c r="J32" s="230"/>
      <c r="K32" s="230"/>
      <c r="L32" s="230"/>
      <c r="M32" s="230"/>
      <c r="N32" s="230"/>
      <c r="O32" s="229"/>
      <c r="P32" s="229"/>
      <c r="Q32" s="229"/>
      <c r="R32" s="229"/>
      <c r="S32" s="229"/>
      <c r="T32" s="229"/>
      <c r="U32" s="229"/>
      <c r="V32" s="229"/>
      <c r="W32" s="229"/>
      <c r="X32" s="229"/>
      <c r="Y32" s="229"/>
      <c r="Z32" s="229"/>
      <c r="AA32" s="229"/>
    </row>
    <row r="33" spans="1:27" s="160" customFormat="1" ht="14.25">
      <c r="A33" s="180" t="s">
        <v>253</v>
      </c>
      <c r="B33" s="180" t="s">
        <v>254</v>
      </c>
      <c r="C33" s="180" t="s">
        <v>254</v>
      </c>
      <c r="D33" s="181">
        <v>657.25311221412323</v>
      </c>
      <c r="E33" s="181">
        <v>664.73841413341279</v>
      </c>
      <c r="F33" s="181">
        <v>668.29938300763786</v>
      </c>
      <c r="G33" s="181">
        <v>660.55799999999999</v>
      </c>
      <c r="H33" s="181">
        <v>679.35699999999997</v>
      </c>
      <c r="I33" s="181">
        <v>675.86900000000003</v>
      </c>
      <c r="J33" s="181">
        <v>608.39</v>
      </c>
      <c r="K33" s="181">
        <v>653.21699999999998</v>
      </c>
      <c r="L33" s="181">
        <v>689.37699999999995</v>
      </c>
      <c r="M33" s="181">
        <v>659.99</v>
      </c>
      <c r="N33" s="181">
        <v>498.673</v>
      </c>
      <c r="O33" s="181">
        <v>500.584</v>
      </c>
      <c r="P33" s="181">
        <v>516.75099999999998</v>
      </c>
      <c r="Q33" s="181">
        <f>'ÜE-15'!Q33</f>
        <v>509.43299999999999</v>
      </c>
      <c r="R33" s="181">
        <f>'ÜE-15'!R33</f>
        <v>519.28600000000006</v>
      </c>
      <c r="S33" s="181">
        <f>'ÜE-15'!S33</f>
        <v>521.73900000000003</v>
      </c>
      <c r="T33" s="181">
        <f>'ÜE-15'!T33</f>
        <v>522.81000000000006</v>
      </c>
      <c r="U33" s="181">
        <f>'ÜE-15'!U33</f>
        <v>540.38900000000001</v>
      </c>
      <c r="V33" s="181">
        <f>'ÜE-15'!V33</f>
        <v>590.1</v>
      </c>
      <c r="W33" s="181">
        <f>'ÜE-15'!W33</f>
        <v>578.87199999999996</v>
      </c>
      <c r="X33" s="181">
        <f>'ÜE-15'!X33</f>
        <v>556.71900000000005</v>
      </c>
      <c r="Y33" s="181">
        <f>'ÜE-15'!Y33</f>
        <v>551.822</v>
      </c>
      <c r="Z33" s="181">
        <f>'ÜE-15'!Z33</f>
        <v>550.66600000000005</v>
      </c>
      <c r="AA33" s="181">
        <f>'ÜE-15'!AB33</f>
        <v>567.779</v>
      </c>
    </row>
    <row r="34" spans="1:27" s="160" customFormat="1" ht="14.25">
      <c r="A34" s="160" t="s">
        <v>208</v>
      </c>
      <c r="D34" s="159"/>
      <c r="E34" s="159"/>
      <c r="F34" s="159"/>
      <c r="G34" s="159"/>
      <c r="H34" s="159"/>
      <c r="I34" s="159"/>
      <c r="J34" s="159"/>
      <c r="K34" s="159"/>
      <c r="L34" s="159"/>
      <c r="M34" s="159"/>
      <c r="N34" s="159"/>
    </row>
    <row r="35" spans="1:27" s="160" customFormat="1" ht="14.25">
      <c r="A35" s="160" t="s">
        <v>429</v>
      </c>
      <c r="B35" s="160" t="s">
        <v>255</v>
      </c>
      <c r="C35" s="160" t="s">
        <v>256</v>
      </c>
      <c r="D35" s="159">
        <v>220.70739736778992</v>
      </c>
      <c r="E35" s="159">
        <v>220.48937886528634</v>
      </c>
      <c r="F35" s="159">
        <v>219.98066902611134</v>
      </c>
      <c r="G35" s="159">
        <v>218.74523084525771</v>
      </c>
      <c r="H35" s="159">
        <v>224.77707608119007</v>
      </c>
      <c r="I35" s="159">
        <f>155.797+47.857</f>
        <v>203.654</v>
      </c>
      <c r="J35" s="159">
        <v>133.64500000000001</v>
      </c>
      <c r="K35" s="159">
        <v>133.64500000000001</v>
      </c>
      <c r="L35" s="159">
        <v>133.64500000000001</v>
      </c>
      <c r="M35" s="159">
        <v>133.64500000000001</v>
      </c>
      <c r="N35" s="159">
        <v>133.64500000000001</v>
      </c>
      <c r="O35" s="205">
        <v>133.649</v>
      </c>
      <c r="P35" s="205">
        <v>133.64500000000001</v>
      </c>
      <c r="Q35" s="205">
        <f>'ÜE-15'!Q35</f>
        <v>133.64500000000001</v>
      </c>
      <c r="R35" s="205">
        <f>'ÜE-15'!R35</f>
        <v>133.64500000000001</v>
      </c>
      <c r="S35" s="205">
        <f>'ÜE-15'!S35</f>
        <v>133.64500000000001</v>
      </c>
      <c r="T35" s="205">
        <f>'ÜE-15'!T35</f>
        <v>138.64500000000001</v>
      </c>
      <c r="U35" s="205">
        <f>'ÜE-15'!U35</f>
        <v>138.64500000000001</v>
      </c>
      <c r="V35" s="205">
        <f>'ÜE-15'!V35</f>
        <v>142.14500000000001</v>
      </c>
      <c r="W35" s="205">
        <f>'ÜE-15'!W35</f>
        <v>142.14500000000001</v>
      </c>
      <c r="X35" s="205">
        <f>'ÜE-15'!X35</f>
        <v>142.14500000000001</v>
      </c>
      <c r="Y35" s="205">
        <f>'ÜE-15'!Y35</f>
        <v>142.14500000000001</v>
      </c>
      <c r="Z35" s="205">
        <f>'ÜE-15'!Z35</f>
        <v>144.43700000000001</v>
      </c>
      <c r="AA35" s="205">
        <f>'ÜE-15'!AB35</f>
        <v>160.50899999999999</v>
      </c>
    </row>
    <row r="36" spans="1:27" s="160" customFormat="1" ht="15.75">
      <c r="A36" s="160" t="s">
        <v>431</v>
      </c>
      <c r="B36" s="160" t="s">
        <v>257</v>
      </c>
      <c r="C36" s="160" t="s">
        <v>258</v>
      </c>
      <c r="D36" s="159"/>
      <c r="E36" s="159"/>
      <c r="F36" s="159"/>
      <c r="G36" s="159"/>
      <c r="H36" s="159"/>
      <c r="I36" s="159">
        <v>1.115</v>
      </c>
      <c r="J36" s="159">
        <v>3.367</v>
      </c>
      <c r="K36" s="159">
        <v>3.867</v>
      </c>
      <c r="L36" s="159">
        <v>3.5419999999999998</v>
      </c>
      <c r="M36" s="159">
        <v>3.5129999999999999</v>
      </c>
      <c r="N36" s="159">
        <v>3.65</v>
      </c>
      <c r="O36" s="205">
        <v>3.859</v>
      </c>
      <c r="P36" s="205">
        <v>3.3650000000000002</v>
      </c>
      <c r="Q36" s="205">
        <f>'ÜE-15'!Q36</f>
        <v>3.7240000000000002</v>
      </c>
      <c r="R36" s="205">
        <f>'ÜE-15'!R36</f>
        <v>3.8380000000000001</v>
      </c>
      <c r="S36" s="205">
        <f>'ÜE-15'!S36</f>
        <v>3.2570000000000001</v>
      </c>
      <c r="T36" s="205">
        <f>'ÜE-15'!T36</f>
        <v>3.8740000000000001</v>
      </c>
      <c r="U36" s="205">
        <f>'ÜE-15'!U36</f>
        <v>3.3730000000000002</v>
      </c>
      <c r="V36" s="205">
        <f>'ÜE-15'!V36</f>
        <v>0.42399999999999999</v>
      </c>
      <c r="W36" s="205">
        <f>'ÜE-15'!W36</f>
        <v>7.1999999999999995E-2</v>
      </c>
      <c r="X36" s="205">
        <f>'ÜE-15'!X36</f>
        <v>0.434</v>
      </c>
      <c r="Y36" s="205">
        <f>'ÜE-15'!Y36</f>
        <v>0.32100000000000001</v>
      </c>
      <c r="Z36" s="205">
        <f>'ÜE-15'!Z36</f>
        <v>0.434</v>
      </c>
      <c r="AA36" s="205">
        <f>'ÜE-15'!AB36</f>
        <v>0.434</v>
      </c>
    </row>
    <row r="37" spans="1:27" s="160" customFormat="1" ht="14.25">
      <c r="A37" s="160" t="s">
        <v>259</v>
      </c>
      <c r="B37" s="160" t="s">
        <v>260</v>
      </c>
      <c r="C37" s="160" t="s">
        <v>261</v>
      </c>
      <c r="D37" s="159">
        <v>122.16303423617217</v>
      </c>
      <c r="E37" s="159">
        <v>134.77799999999999</v>
      </c>
      <c r="F37" s="159">
        <v>130.05099999999999</v>
      </c>
      <c r="G37" s="159">
        <v>122.96243541201862</v>
      </c>
      <c r="H37" s="159">
        <v>125.28796610539014</v>
      </c>
      <c r="I37" s="159">
        <v>135.9708727280655</v>
      </c>
      <c r="J37" s="159">
        <v>138.59899999999999</v>
      </c>
      <c r="K37" s="159">
        <v>143.34200000000001</v>
      </c>
      <c r="L37" s="159">
        <v>153.02099999999999</v>
      </c>
      <c r="M37" s="159">
        <v>150.173</v>
      </c>
      <c r="N37" s="206" t="s">
        <v>73</v>
      </c>
      <c r="O37" s="207" t="s">
        <v>73</v>
      </c>
      <c r="P37" s="207" t="s">
        <v>73</v>
      </c>
      <c r="Q37" s="207" t="str">
        <f>'ÜE-15'!Q37</f>
        <v>-</v>
      </c>
      <c r="R37" s="207" t="str">
        <f>'ÜE-15'!R37</f>
        <v>-</v>
      </c>
      <c r="S37" s="207" t="str">
        <f>'ÜE-15'!S37</f>
        <v>-</v>
      </c>
      <c r="T37" s="207" t="str">
        <f>'ÜE-15'!T37</f>
        <v>-</v>
      </c>
      <c r="U37" s="207" t="str">
        <f>'ÜE-15'!U37</f>
        <v>-</v>
      </c>
      <c r="V37" s="207" t="str">
        <f>'ÜE-15'!V37</f>
        <v>-</v>
      </c>
      <c r="W37" s="207" t="str">
        <f>'ÜE-15'!W37</f>
        <v>-</v>
      </c>
      <c r="X37" s="207" t="str">
        <f>'ÜE-15'!X37</f>
        <v>-</v>
      </c>
      <c r="Y37" s="207" t="str">
        <f>'ÜE-15'!Y37</f>
        <v>-</v>
      </c>
      <c r="Z37" s="207" t="str">
        <f>'ÜE-15'!Z37</f>
        <v>-</v>
      </c>
      <c r="AA37" s="207" t="str">
        <f>'ÜE-15'!AB37</f>
        <v>-</v>
      </c>
    </row>
    <row r="38" spans="1:27" s="160" customFormat="1" ht="14.25">
      <c r="A38" s="160" t="s">
        <v>262</v>
      </c>
      <c r="B38" s="160" t="s">
        <v>263</v>
      </c>
      <c r="C38" s="160" t="s">
        <v>264</v>
      </c>
      <c r="D38" s="159"/>
      <c r="E38" s="159"/>
      <c r="F38" s="159"/>
      <c r="G38" s="159"/>
      <c r="H38" s="159">
        <v>43.351999999999997</v>
      </c>
      <c r="I38" s="159">
        <v>44.055999999999997</v>
      </c>
      <c r="J38" s="159">
        <v>44.49</v>
      </c>
      <c r="K38" s="159">
        <v>45.180999999999997</v>
      </c>
      <c r="L38" s="159">
        <v>45.420999999999999</v>
      </c>
      <c r="M38" s="159">
        <v>46.210999999999999</v>
      </c>
      <c r="N38" s="159">
        <v>46.944000000000003</v>
      </c>
      <c r="O38" s="205"/>
      <c r="P38" s="205">
        <v>47.676000000000002</v>
      </c>
      <c r="Q38" s="205">
        <f>'ÜE-15'!Q38</f>
        <v>48.554000000000002</v>
      </c>
      <c r="R38" s="205">
        <f>'ÜE-15'!R38</f>
        <v>49.34</v>
      </c>
      <c r="S38" s="205">
        <f>'ÜE-15'!S38</f>
        <v>49.34</v>
      </c>
      <c r="T38" s="205">
        <f>'ÜE-15'!T38</f>
        <v>49.34</v>
      </c>
      <c r="U38" s="205">
        <f>'ÜE-15'!U38</f>
        <v>50.264000000000003</v>
      </c>
      <c r="V38" s="205">
        <f>'ÜE-15'!V38</f>
        <v>58.765000000000001</v>
      </c>
      <c r="W38" s="205">
        <f>'ÜE-15'!W38</f>
        <v>58.643999999999998</v>
      </c>
      <c r="X38" s="205">
        <f>'ÜE-15'!X38</f>
        <v>56.591999999999999</v>
      </c>
      <c r="Y38" s="205">
        <f>'ÜE-15'!Y38</f>
        <v>55.658999999999999</v>
      </c>
      <c r="Z38" s="205">
        <f>'ÜE-15'!Z38</f>
        <v>56.591999999999999</v>
      </c>
      <c r="AA38" s="205">
        <f>'ÜE-15'!AB38</f>
        <v>56.981999999999999</v>
      </c>
    </row>
    <row r="39" spans="1:27" s="160" customFormat="1" ht="16.5" customHeight="1">
      <c r="A39" s="160" t="s">
        <v>265</v>
      </c>
      <c r="B39" s="200" t="s">
        <v>266</v>
      </c>
      <c r="C39" s="200" t="s">
        <v>267</v>
      </c>
      <c r="D39" s="159"/>
      <c r="E39" s="159"/>
      <c r="F39" s="159"/>
      <c r="G39" s="159"/>
      <c r="H39" s="159">
        <v>82.972999999999999</v>
      </c>
      <c r="I39" s="159">
        <v>75.91</v>
      </c>
      <c r="J39" s="159">
        <f>51.078+41.796</f>
        <v>92.873999999999995</v>
      </c>
      <c r="K39" s="159">
        <f>48.987+48.971</f>
        <v>97.957999999999998</v>
      </c>
      <c r="L39" s="159">
        <f>43.363+76.97</f>
        <v>120.333</v>
      </c>
      <c r="M39" s="159">
        <f>33.042+89.351</f>
        <v>122.393</v>
      </c>
      <c r="N39" s="206">
        <f>29.736+89.351</f>
        <v>119.087</v>
      </c>
      <c r="O39" s="206"/>
      <c r="P39" s="206">
        <f>37.693+89.351</f>
        <v>127.044</v>
      </c>
      <c r="Q39" s="206">
        <f>'ÜE-15'!Q39</f>
        <v>126.621</v>
      </c>
      <c r="R39" s="206">
        <f>'ÜE-15'!R39</f>
        <v>129.292</v>
      </c>
      <c r="S39" s="206">
        <f>'ÜE-15'!S39</f>
        <v>126.54499999999999</v>
      </c>
      <c r="T39" s="206">
        <f>'ÜE-15'!T39</f>
        <v>127.69199999999999</v>
      </c>
      <c r="U39" s="206">
        <f>'ÜE-15'!U39</f>
        <v>135.37700000000001</v>
      </c>
      <c r="V39" s="206">
        <f>'ÜE-15'!V39</f>
        <v>211.79900000000001</v>
      </c>
      <c r="W39" s="206">
        <f>'ÜE-15'!W39</f>
        <v>201.27100000000002</v>
      </c>
      <c r="X39" s="206">
        <f>'ÜE-15'!X39</f>
        <v>199.952</v>
      </c>
      <c r="Y39" s="206">
        <f>'ÜE-15'!Y39</f>
        <v>188.66799999999998</v>
      </c>
      <c r="Z39" s="206">
        <f>'ÜE-15'!Z39</f>
        <v>199.44</v>
      </c>
      <c r="AA39" s="206">
        <f>'ÜE-15'!AB39</f>
        <v>200.08900000000003</v>
      </c>
    </row>
    <row r="40" spans="1:27" s="160" customFormat="1" ht="14.25">
      <c r="A40" s="160" t="s">
        <v>268</v>
      </c>
      <c r="B40" s="160" t="s">
        <v>269</v>
      </c>
      <c r="C40" s="160" t="s">
        <v>270</v>
      </c>
      <c r="D40" s="159"/>
      <c r="E40" s="159"/>
      <c r="F40" s="159"/>
      <c r="G40" s="159"/>
      <c r="H40" s="159">
        <v>22.818999999999999</v>
      </c>
      <c r="I40" s="159">
        <v>22.731000000000002</v>
      </c>
      <c r="J40" s="159">
        <v>21.510999999999999</v>
      </c>
      <c r="K40" s="159">
        <v>21.510999999999999</v>
      </c>
      <c r="L40" s="159">
        <v>21.518000000000001</v>
      </c>
      <c r="M40" s="159">
        <v>21.518000000000001</v>
      </c>
      <c r="N40" s="206">
        <v>21.518000000000001</v>
      </c>
      <c r="O40" s="206"/>
      <c r="P40" s="206">
        <v>21.518000000000001</v>
      </c>
      <c r="Q40" s="206">
        <f>'ÜE-15'!Q40</f>
        <v>21.518000000000001</v>
      </c>
      <c r="R40" s="206">
        <f>'ÜE-15'!R40</f>
        <v>21.518000000000001</v>
      </c>
      <c r="S40" s="206">
        <f>'ÜE-15'!S40</f>
        <v>21.518000000000001</v>
      </c>
      <c r="T40" s="206">
        <f>'ÜE-15'!T40</f>
        <v>21.518000000000001</v>
      </c>
      <c r="U40" s="206">
        <f>'ÜE-15'!U40</f>
        <v>21.518000000000001</v>
      </c>
      <c r="V40" s="206">
        <f>'ÜE-15'!V40</f>
        <v>21.518000000000001</v>
      </c>
      <c r="W40" s="206">
        <f>'ÜE-15'!W40</f>
        <v>21.518000000000001</v>
      </c>
      <c r="X40" s="206">
        <f>'ÜE-15'!X40</f>
        <v>21.518000000000001</v>
      </c>
      <c r="Y40" s="206">
        <f>'ÜE-15'!Y40</f>
        <v>21.518000000000001</v>
      </c>
      <c r="Z40" s="206">
        <f>'ÜE-15'!Z40</f>
        <v>21.518000000000001</v>
      </c>
      <c r="AA40" s="206">
        <f>'ÜE-15'!AB40</f>
        <v>21.518000000000001</v>
      </c>
    </row>
    <row r="41" spans="1:27" s="160" customFormat="1" ht="14.25">
      <c r="A41" s="227" t="s">
        <v>271</v>
      </c>
      <c r="B41" s="227" t="s">
        <v>272</v>
      </c>
      <c r="C41" s="227" t="s">
        <v>273</v>
      </c>
      <c r="D41" s="228"/>
      <c r="E41" s="228"/>
      <c r="F41" s="228"/>
      <c r="G41" s="228"/>
      <c r="H41" s="228">
        <v>49.170999999999999</v>
      </c>
      <c r="I41" s="228">
        <v>42.9</v>
      </c>
      <c r="J41" s="228">
        <v>48.808999999999997</v>
      </c>
      <c r="K41" s="228">
        <v>57.274999999999999</v>
      </c>
      <c r="L41" s="228">
        <v>86.343000000000004</v>
      </c>
      <c r="M41" s="228">
        <v>63.918999999999997</v>
      </c>
      <c r="N41" s="231">
        <v>52.451000000000001</v>
      </c>
      <c r="O41" s="231"/>
      <c r="P41" s="231">
        <v>54.481000000000002</v>
      </c>
      <c r="Q41" s="231">
        <f>'ÜE-15'!Q41</f>
        <v>45.338999999999999</v>
      </c>
      <c r="R41" s="231">
        <f>'ÜE-15'!R41</f>
        <v>49.262</v>
      </c>
      <c r="S41" s="231">
        <f>'ÜE-15'!S41</f>
        <v>52.018000000000001</v>
      </c>
      <c r="T41" s="231">
        <f>'ÜE-15'!T41</f>
        <v>44.911999999999999</v>
      </c>
      <c r="U41" s="231">
        <f>'ÜE-15'!U41</f>
        <v>50.316000000000003</v>
      </c>
      <c r="V41" s="231">
        <f>'ÜE-15'!V41</f>
        <v>44.893999999999998</v>
      </c>
      <c r="W41" s="231">
        <f>'ÜE-15'!W41</f>
        <v>53.984000000000002</v>
      </c>
      <c r="X41" s="231">
        <f>'ÜE-15'!X41</f>
        <v>39.874000000000002</v>
      </c>
      <c r="Y41" s="231">
        <f>'ÜE-15'!Y41</f>
        <v>45.523000000000003</v>
      </c>
      <c r="Z41" s="231">
        <f>'ÜE-15'!Z41</f>
        <v>34.676000000000002</v>
      </c>
      <c r="AA41" s="231">
        <f>'ÜE-15'!AB41</f>
        <v>32.305999999999997</v>
      </c>
    </row>
    <row r="42" spans="1:27" s="160" customFormat="1" ht="7.5" customHeight="1">
      <c r="D42" s="159"/>
      <c r="E42" s="159"/>
      <c r="F42" s="159"/>
      <c r="G42" s="159"/>
      <c r="H42" s="159"/>
      <c r="I42" s="159"/>
      <c r="J42" s="159"/>
      <c r="K42" s="159"/>
      <c r="L42" s="159"/>
      <c r="M42" s="159"/>
      <c r="N42" s="159"/>
    </row>
    <row r="43" spans="1:27" s="131" customFormat="1" ht="15">
      <c r="A43" s="187"/>
      <c r="B43" s="188"/>
      <c r="C43" s="188"/>
    </row>
    <row r="44" spans="1:27" s="131" customFormat="1" ht="15">
      <c r="B44" s="135"/>
      <c r="C44" s="135"/>
    </row>
    <row r="45" spans="1:27" s="131" customFormat="1" ht="11.25" customHeight="1">
      <c r="B45" s="135"/>
      <c r="C45" s="135"/>
    </row>
    <row r="46" spans="1:27" s="193" customFormat="1" ht="17.25" customHeight="1">
      <c r="A46" s="191"/>
      <c r="B46" s="191" t="s">
        <v>201</v>
      </c>
      <c r="C46" s="192" t="s">
        <v>202</v>
      </c>
      <c r="D46" s="192">
        <v>1994</v>
      </c>
      <c r="E46" s="192">
        <v>1995</v>
      </c>
      <c r="F46" s="192">
        <v>1996</v>
      </c>
      <c r="G46" s="192">
        <v>1997</v>
      </c>
      <c r="H46" s="192">
        <v>1998</v>
      </c>
      <c r="I46" s="192">
        <v>1999</v>
      </c>
      <c r="J46" s="192">
        <v>2000</v>
      </c>
      <c r="K46" s="191">
        <v>2001</v>
      </c>
      <c r="L46" s="191">
        <v>2002</v>
      </c>
      <c r="M46" s="191">
        <v>2003</v>
      </c>
      <c r="N46" s="191">
        <v>2004</v>
      </c>
      <c r="O46" s="191">
        <v>2005</v>
      </c>
      <c r="P46" s="191">
        <v>2005</v>
      </c>
      <c r="Q46" s="192">
        <v>2006</v>
      </c>
      <c r="R46" s="192">
        <v>2007</v>
      </c>
      <c r="S46" s="192">
        <v>2007</v>
      </c>
      <c r="T46" s="192">
        <v>2008</v>
      </c>
      <c r="U46" s="192">
        <v>2008</v>
      </c>
      <c r="V46" s="192">
        <v>2009</v>
      </c>
      <c r="W46" s="192">
        <v>2009</v>
      </c>
      <c r="X46" s="192">
        <v>2010</v>
      </c>
      <c r="Y46" s="192">
        <v>2010</v>
      </c>
      <c r="Z46" s="192">
        <v>2011</v>
      </c>
      <c r="AA46" s="192">
        <v>2012</v>
      </c>
    </row>
    <row r="47" spans="1:27" s="197" customFormat="1" ht="17.25" customHeight="1">
      <c r="A47" s="194"/>
      <c r="B47" s="194" t="s">
        <v>203</v>
      </c>
      <c r="C47" s="195" t="s">
        <v>204</v>
      </c>
      <c r="D47" s="195"/>
      <c r="E47" s="195"/>
      <c r="F47" s="195"/>
      <c r="G47" s="195"/>
      <c r="H47" s="195"/>
      <c r="I47" s="195"/>
      <c r="J47" s="195"/>
      <c r="K47" s="196"/>
      <c r="L47" s="196"/>
      <c r="M47" s="196"/>
      <c r="N47" s="196"/>
      <c r="O47" s="196" t="s">
        <v>37</v>
      </c>
      <c r="P47" s="196"/>
      <c r="Q47" s="195"/>
      <c r="R47" s="195"/>
      <c r="S47" s="195"/>
      <c r="T47" s="195"/>
      <c r="U47" s="195"/>
      <c r="V47" s="195"/>
      <c r="W47" s="195"/>
      <c r="X47" s="195"/>
      <c r="Y47" s="195"/>
      <c r="Z47" s="195"/>
      <c r="AA47" s="195" t="s">
        <v>37</v>
      </c>
    </row>
    <row r="48" spans="1:27" s="160" customFormat="1" ht="7.5" customHeight="1">
      <c r="D48" s="159"/>
      <c r="E48" s="159"/>
      <c r="F48" s="159"/>
      <c r="G48" s="159"/>
      <c r="H48" s="159"/>
      <c r="I48" s="159"/>
      <c r="J48" s="159"/>
      <c r="K48" s="159"/>
      <c r="L48" s="159"/>
      <c r="M48" s="159"/>
      <c r="N48" s="159"/>
    </row>
    <row r="49" spans="1:29" s="160" customFormat="1" ht="14.25">
      <c r="A49" s="180" t="s">
        <v>274</v>
      </c>
      <c r="B49" s="180" t="s">
        <v>275</v>
      </c>
      <c r="C49" s="180" t="s">
        <v>275</v>
      </c>
      <c r="D49" s="181">
        <v>533.27325712375455</v>
      </c>
      <c r="E49" s="181">
        <v>527.45943039032579</v>
      </c>
      <c r="F49" s="181">
        <v>616.99236208512889</v>
      </c>
      <c r="G49" s="181">
        <v>1461.7819999999999</v>
      </c>
      <c r="H49" s="181">
        <v>1835.4739999999999</v>
      </c>
      <c r="I49" s="181">
        <v>1859.6959999999999</v>
      </c>
      <c r="J49" s="181">
        <v>839.11599999999999</v>
      </c>
      <c r="K49" s="181">
        <v>747.93499999999995</v>
      </c>
      <c r="L49" s="181">
        <v>792.37</v>
      </c>
      <c r="M49" s="181">
        <v>871.15899999999999</v>
      </c>
      <c r="N49" s="181">
        <v>830.245</v>
      </c>
      <c r="O49" s="181">
        <v>835.60599999999999</v>
      </c>
      <c r="P49" s="181">
        <v>834.19476599999996</v>
      </c>
      <c r="Q49" s="181">
        <f>'ÜE-15'!Q43</f>
        <v>821.16941999999995</v>
      </c>
      <c r="R49" s="181">
        <f>'ÜE-15'!R43</f>
        <v>870.72500000000002</v>
      </c>
      <c r="S49" s="181">
        <f>'ÜE-15'!S43</f>
        <v>819.9</v>
      </c>
      <c r="T49" s="181">
        <f>'ÜE-15'!T43</f>
        <v>889.29</v>
      </c>
      <c r="U49" s="181">
        <f>'ÜE-15'!U43</f>
        <v>974.37699999999995</v>
      </c>
      <c r="V49" s="181">
        <f>'ÜE-15'!V43</f>
        <v>1053.22</v>
      </c>
      <c r="W49" s="181">
        <f>'ÜE-15'!W43</f>
        <v>997.50400000000002</v>
      </c>
      <c r="X49" s="181">
        <f>'ÜE-15'!X43</f>
        <v>1037.933</v>
      </c>
      <c r="Y49" s="181">
        <f>'ÜE-15'!Y43</f>
        <v>999.35400000000004</v>
      </c>
      <c r="Z49" s="181">
        <f>'ÜE-15'!Z43</f>
        <v>1113.3399999999999</v>
      </c>
      <c r="AA49" s="181">
        <f>'ÜE-15'!AB43</f>
        <v>1188.077</v>
      </c>
    </row>
    <row r="50" spans="1:29" s="160" customFormat="1" ht="14.25">
      <c r="A50" s="160" t="s">
        <v>208</v>
      </c>
      <c r="D50" s="159"/>
      <c r="E50" s="159"/>
      <c r="F50" s="159"/>
      <c r="G50" s="159"/>
      <c r="H50" s="159"/>
      <c r="I50" s="159"/>
      <c r="J50" s="159"/>
      <c r="K50" s="159"/>
      <c r="L50" s="159"/>
      <c r="M50" s="159"/>
      <c r="N50" s="159"/>
    </row>
    <row r="51" spans="1:29" s="200" customFormat="1" ht="28.5" hidden="1" outlineLevel="1">
      <c r="A51" s="208" t="s">
        <v>276</v>
      </c>
      <c r="B51" s="208"/>
      <c r="C51" s="208"/>
      <c r="D51" s="159">
        <v>301.51958896244992</v>
      </c>
      <c r="E51" s="159">
        <v>288.87451581724235</v>
      </c>
      <c r="F51" s="159">
        <v>393.08736001395317</v>
      </c>
      <c r="G51" s="159">
        <v>35.973052913090555</v>
      </c>
      <c r="H51" s="206" t="s">
        <v>73</v>
      </c>
      <c r="I51" s="206" t="s">
        <v>73</v>
      </c>
      <c r="J51" s="206" t="s">
        <v>73</v>
      </c>
      <c r="K51" s="209" t="s">
        <v>73</v>
      </c>
      <c r="L51" s="209" t="s">
        <v>73</v>
      </c>
      <c r="M51" s="209" t="s">
        <v>73</v>
      </c>
      <c r="N51" s="209" t="s">
        <v>73</v>
      </c>
      <c r="O51" s="209" t="s">
        <v>73</v>
      </c>
      <c r="P51" s="209" t="s">
        <v>73</v>
      </c>
      <c r="Q51" s="209" t="str">
        <f>'ÜE-15'!Q45</f>
        <v>-</v>
      </c>
      <c r="R51" s="209" t="str">
        <f>'ÜE-15'!R45</f>
        <v>-</v>
      </c>
      <c r="S51" s="209">
        <f>'ÜE-15'!S45</f>
        <v>0</v>
      </c>
      <c r="T51" s="209" t="str">
        <f>'ÜE-15'!T45</f>
        <v>-</v>
      </c>
      <c r="U51" s="209">
        <f>'ÜE-15'!U45</f>
        <v>0</v>
      </c>
      <c r="V51" s="209">
        <f>'ÜE-15'!V45</f>
        <v>0</v>
      </c>
      <c r="W51" s="209">
        <f>'ÜE-15'!W45</f>
        <v>0</v>
      </c>
      <c r="X51" s="209">
        <f>'ÜE-15'!X45</f>
        <v>0</v>
      </c>
      <c r="Y51" s="209">
        <f>'ÜE-15'!Y45</f>
        <v>0</v>
      </c>
      <c r="Z51" s="209">
        <f>'ÜE-15'!Z45</f>
        <v>0</v>
      </c>
      <c r="AA51" s="209">
        <f>'ÜE-15'!AB45</f>
        <v>0</v>
      </c>
    </row>
    <row r="52" spans="1:29" s="160" customFormat="1" ht="14.25" collapsed="1">
      <c r="A52" s="160" t="s">
        <v>277</v>
      </c>
      <c r="B52" s="160" t="s">
        <v>278</v>
      </c>
      <c r="C52" s="160" t="s">
        <v>279</v>
      </c>
      <c r="D52" s="159" t="s">
        <v>73</v>
      </c>
      <c r="E52" s="203" t="s">
        <v>73</v>
      </c>
      <c r="F52" s="203" t="s">
        <v>73</v>
      </c>
      <c r="G52" s="159">
        <v>471.71936658357737</v>
      </c>
      <c r="H52" s="159">
        <v>542.93874406807993</v>
      </c>
      <c r="I52" s="159">
        <v>553.49599999999998</v>
      </c>
      <c r="J52" s="159">
        <v>576.43200000000002</v>
      </c>
      <c r="K52" s="159">
        <v>454.54</v>
      </c>
      <c r="L52" s="159">
        <v>498.72199999999998</v>
      </c>
      <c r="M52" s="159">
        <v>507.11200000000002</v>
      </c>
      <c r="N52" s="159">
        <v>499.548</v>
      </c>
      <c r="O52" s="159">
        <f>407.642+112.992</f>
        <v>520.63400000000001</v>
      </c>
      <c r="P52" s="159">
        <f>412.156+115.019</f>
        <v>527.17499999999995</v>
      </c>
      <c r="Q52" s="159">
        <f>'ÜE-15'!Q46</f>
        <v>549.37</v>
      </c>
      <c r="R52" s="159">
        <f>'ÜE-15'!R46</f>
        <v>555.62099999999998</v>
      </c>
      <c r="S52" s="159">
        <f>'ÜE-15'!S46</f>
        <v>549.548</v>
      </c>
      <c r="T52" s="159">
        <f>'ÜE-15'!T46</f>
        <v>570.64400000000001</v>
      </c>
      <c r="U52" s="159">
        <f>'ÜE-15'!U46</f>
        <v>645.35400000000004</v>
      </c>
      <c r="V52" s="159">
        <f>'ÜE-15'!V46</f>
        <v>649.81700000000001</v>
      </c>
      <c r="W52" s="159">
        <f>'ÜE-15'!W46</f>
        <v>641.87399999999991</v>
      </c>
      <c r="X52" s="159">
        <f>'ÜE-15'!X46</f>
        <v>632.41100000000006</v>
      </c>
      <c r="Y52" s="159">
        <f>'ÜE-15'!Y46</f>
        <v>628.90599999999995</v>
      </c>
      <c r="Z52" s="159">
        <f>'ÜE-15'!Z46</f>
        <v>686.87799999999993</v>
      </c>
      <c r="AA52" s="159">
        <f>'ÜE-15'!AB46</f>
        <v>715.0630000000001</v>
      </c>
    </row>
    <row r="53" spans="1:29" s="160" customFormat="1" ht="14.25">
      <c r="A53" s="227" t="s">
        <v>280</v>
      </c>
      <c r="B53" s="227"/>
      <c r="C53" s="227"/>
      <c r="D53" s="228"/>
      <c r="E53" s="233"/>
      <c r="F53" s="233"/>
      <c r="G53" s="228"/>
      <c r="H53" s="228"/>
      <c r="I53" s="228"/>
      <c r="J53" s="228"/>
      <c r="K53" s="228">
        <v>91.076999999999998</v>
      </c>
      <c r="L53" s="228">
        <v>107.04300000000001</v>
      </c>
      <c r="M53" s="228">
        <v>179.32900000000001</v>
      </c>
      <c r="N53" s="228">
        <v>142.19999999999999</v>
      </c>
      <c r="O53" s="228"/>
      <c r="P53" s="228">
        <v>121.396</v>
      </c>
      <c r="Q53" s="228">
        <f>'ÜE-15'!Q47</f>
        <v>93.796999999999997</v>
      </c>
      <c r="R53" s="228">
        <f>'ÜE-15'!R47</f>
        <v>0</v>
      </c>
      <c r="S53" s="228">
        <f>'ÜE-15'!S47</f>
        <v>72.424000000000007</v>
      </c>
      <c r="T53" s="228">
        <f>'ÜE-15'!T47</f>
        <v>0</v>
      </c>
      <c r="U53" s="228">
        <f>'ÜE-15'!U47</f>
        <v>92.572999999999993</v>
      </c>
      <c r="V53" s="228">
        <f>'ÜE-15'!V47</f>
        <v>0</v>
      </c>
      <c r="W53" s="228">
        <f>'ÜE-15'!W47</f>
        <v>103.684</v>
      </c>
      <c r="X53" s="228">
        <f>'ÜE-15'!X47</f>
        <v>151.64699999999999</v>
      </c>
      <c r="Y53" s="228">
        <f>'ÜE-15'!Y47</f>
        <v>107.78400000000001</v>
      </c>
      <c r="Z53" s="228">
        <f>'ÜE-15'!Z47</f>
        <v>169.58</v>
      </c>
      <c r="AA53" s="228">
        <f>'ÜE-15'!AB47</f>
        <v>199.85900000000001</v>
      </c>
    </row>
    <row r="54" spans="1:29" s="200" customFormat="1" ht="27" hidden="1" customHeight="1" outlineLevel="1">
      <c r="A54" s="208" t="s">
        <v>432</v>
      </c>
      <c r="B54" s="232" t="s">
        <v>281</v>
      </c>
      <c r="C54" s="232"/>
      <c r="D54" s="159" t="s">
        <v>73</v>
      </c>
      <c r="E54" s="203" t="s">
        <v>73</v>
      </c>
      <c r="F54" s="203" t="s">
        <v>73</v>
      </c>
      <c r="G54" s="159">
        <v>744.67853171805848</v>
      </c>
      <c r="H54" s="159">
        <v>1063.0582182074518</v>
      </c>
      <c r="I54" s="159">
        <v>1079.6276243977238</v>
      </c>
      <c r="J54" s="159" t="s">
        <v>73</v>
      </c>
      <c r="K54" s="209" t="s">
        <v>73</v>
      </c>
      <c r="L54" s="206" t="s">
        <v>73</v>
      </c>
      <c r="M54" s="209" t="s">
        <v>73</v>
      </c>
      <c r="N54" s="209" t="s">
        <v>73</v>
      </c>
      <c r="O54" s="209" t="s">
        <v>73</v>
      </c>
      <c r="P54" s="209"/>
      <c r="Q54" s="209">
        <f>'ÜE-15'!Q48</f>
        <v>0</v>
      </c>
      <c r="R54" s="209">
        <f>'ÜE-15'!R48</f>
        <v>0</v>
      </c>
      <c r="S54" s="209">
        <f>'ÜE-15'!S48</f>
        <v>0</v>
      </c>
      <c r="T54" s="209">
        <f>'ÜE-15'!T48</f>
        <v>0</v>
      </c>
      <c r="U54" s="209">
        <f>'ÜE-15'!U48</f>
        <v>0</v>
      </c>
      <c r="V54" s="209">
        <f>'ÜE-15'!V48</f>
        <v>0</v>
      </c>
      <c r="W54" s="209">
        <f>'ÜE-15'!W48</f>
        <v>0</v>
      </c>
      <c r="X54" s="209">
        <f>'ÜE-15'!X48</f>
        <v>0</v>
      </c>
      <c r="Y54" s="209">
        <f>'ÜE-15'!Y48</f>
        <v>0</v>
      </c>
      <c r="Z54" s="209">
        <f>'ÜE-15'!Z48</f>
        <v>0</v>
      </c>
      <c r="AA54" s="209">
        <f>'ÜE-15'!AB48</f>
        <v>0</v>
      </c>
    </row>
    <row r="55" spans="1:29" s="160" customFormat="1" ht="7.5" customHeight="1" collapsed="1">
      <c r="A55" s="229"/>
      <c r="B55" s="229"/>
      <c r="C55" s="229"/>
      <c r="D55" s="230"/>
      <c r="E55" s="230"/>
      <c r="F55" s="230"/>
      <c r="G55" s="230"/>
      <c r="H55" s="230"/>
      <c r="I55" s="230"/>
      <c r="J55" s="230"/>
      <c r="K55" s="230"/>
      <c r="L55" s="230"/>
      <c r="M55" s="230"/>
      <c r="N55" s="230"/>
      <c r="O55" s="229"/>
      <c r="P55" s="229"/>
      <c r="Q55" s="229"/>
      <c r="R55" s="229"/>
      <c r="S55" s="229"/>
      <c r="T55" s="229"/>
      <c r="U55" s="229"/>
      <c r="V55" s="229"/>
      <c r="W55" s="229"/>
      <c r="X55" s="229"/>
      <c r="Y55" s="229"/>
      <c r="Z55" s="229"/>
      <c r="AA55" s="229"/>
    </row>
    <row r="56" spans="1:29" s="160" customFormat="1" ht="14.25">
      <c r="A56" s="180" t="s">
        <v>282</v>
      </c>
      <c r="B56" s="180" t="s">
        <v>283</v>
      </c>
      <c r="C56" s="180" t="s">
        <v>283</v>
      </c>
      <c r="D56" s="181">
        <v>14540.526005973707</v>
      </c>
      <c r="E56" s="181">
        <v>15500.243453994461</v>
      </c>
      <c r="F56" s="181">
        <v>15897.037128550975</v>
      </c>
      <c r="G56" s="181">
        <v>15608.451999999999</v>
      </c>
      <c r="H56" s="181">
        <v>15767.612999999999</v>
      </c>
      <c r="I56" s="181">
        <v>16187.111999999999</v>
      </c>
      <c r="J56" s="181">
        <v>15763.906000000001</v>
      </c>
      <c r="K56" s="181">
        <v>16890.050999999999</v>
      </c>
      <c r="L56" s="181">
        <v>18206.321</v>
      </c>
      <c r="M56" s="181">
        <v>18882.223000000002</v>
      </c>
      <c r="N56" s="181">
        <v>19623.611000000001</v>
      </c>
      <c r="O56" s="181">
        <v>19760.235000000001</v>
      </c>
      <c r="P56" s="181">
        <v>20309.379000000001</v>
      </c>
      <c r="Q56" s="181">
        <f>'ÜE-15'!Q50</f>
        <v>20961.085999999999</v>
      </c>
      <c r="R56" s="181">
        <f>'ÜE-15'!R50</f>
        <v>20813.735000000001</v>
      </c>
      <c r="S56" s="181">
        <f>'ÜE-15'!S50</f>
        <v>20725.564999999999</v>
      </c>
      <c r="T56" s="181">
        <f>'ÜE-15'!T50</f>
        <v>20926.338</v>
      </c>
      <c r="U56" s="181">
        <f>'ÜE-15'!U50</f>
        <v>21331.618999999999</v>
      </c>
      <c r="V56" s="181">
        <f>'ÜE-15'!V50</f>
        <v>23148.067999999999</v>
      </c>
      <c r="W56" s="181">
        <f>'ÜE-15'!W50</f>
        <v>23194.723999999998</v>
      </c>
      <c r="X56" s="181">
        <f>'ÜE-15'!X50</f>
        <v>24632.460999999999</v>
      </c>
      <c r="Y56" s="181">
        <f>'ÜE-15'!Y50</f>
        <v>24799.955999999998</v>
      </c>
      <c r="Z56" s="181">
        <f>'ÜE-15'!Z50</f>
        <v>24432.921999999999</v>
      </c>
      <c r="AA56" s="181">
        <f>'ÜE-15'!AB50</f>
        <v>25916.276999999998</v>
      </c>
      <c r="AB56" s="212"/>
      <c r="AC56" s="212"/>
    </row>
    <row r="57" spans="1:29" s="160" customFormat="1" ht="14.25">
      <c r="A57" s="160" t="s">
        <v>208</v>
      </c>
      <c r="D57" s="159"/>
      <c r="E57" s="159"/>
      <c r="F57" s="159"/>
      <c r="G57" s="159"/>
      <c r="H57" s="159"/>
      <c r="I57" s="159"/>
      <c r="J57" s="159"/>
      <c r="K57" s="159"/>
      <c r="L57" s="159"/>
      <c r="M57" s="159"/>
      <c r="N57" s="159"/>
    </row>
    <row r="58" spans="1:29" s="160" customFormat="1" ht="14.25">
      <c r="A58" s="160" t="s">
        <v>284</v>
      </c>
      <c r="B58" s="160" t="s">
        <v>285</v>
      </c>
      <c r="C58" s="160" t="s">
        <v>286</v>
      </c>
      <c r="D58" s="159">
        <v>3878.9125237095118</v>
      </c>
      <c r="E58" s="159">
        <v>4083.1958605553655</v>
      </c>
      <c r="F58" s="159">
        <v>4457.6063021881791</v>
      </c>
      <c r="G58" s="159">
        <v>4339.8763108362464</v>
      </c>
      <c r="H58" s="159">
        <v>4355.0649331773284</v>
      </c>
      <c r="I58" s="159">
        <v>4435.1503964303101</v>
      </c>
      <c r="J58" s="159">
        <v>4391</v>
      </c>
      <c r="K58" s="159">
        <v>4770.8988902858218</v>
      </c>
      <c r="L58" s="159">
        <v>4961.3440000000001</v>
      </c>
      <c r="M58" s="159">
        <v>4619.326</v>
      </c>
      <c r="N58" s="159">
        <v>4865.165</v>
      </c>
      <c r="O58" s="159">
        <v>4784.0569999999998</v>
      </c>
      <c r="P58" s="159">
        <v>4743.2820000000002</v>
      </c>
      <c r="Q58" s="159">
        <f>'ÜE-15'!Q52</f>
        <v>5034.1989999999996</v>
      </c>
      <c r="R58" s="159">
        <f>'ÜE-15'!R52</f>
        <v>4891.1930000000002</v>
      </c>
      <c r="S58" s="159">
        <f>'ÜE-15'!S52</f>
        <v>4868.7839999999997</v>
      </c>
      <c r="T58" s="159">
        <f>'ÜE-15'!T52</f>
        <v>4769.7579999999998</v>
      </c>
      <c r="U58" s="159">
        <f>'ÜE-15'!U52</f>
        <v>4833.5050000000001</v>
      </c>
      <c r="V58" s="159">
        <f>'ÜE-15'!V52</f>
        <v>5952.41</v>
      </c>
      <c r="W58" s="159">
        <f>'ÜE-15'!W52</f>
        <v>5776.0829999999996</v>
      </c>
      <c r="X58" s="159">
        <f>'ÜE-15'!X52</f>
        <v>6369.1459999999997</v>
      </c>
      <c r="Y58" s="159">
        <f>'ÜE-15'!Y52</f>
        <v>6145.0680000000002</v>
      </c>
      <c r="Z58" s="159">
        <f>'ÜE-15'!Z52</f>
        <v>5948.1090000000004</v>
      </c>
      <c r="AA58" s="159">
        <f>'ÜE-15'!AB52</f>
        <v>6165</v>
      </c>
    </row>
    <row r="59" spans="1:29" s="160" customFormat="1" ht="15.75">
      <c r="A59" s="160" t="s">
        <v>433</v>
      </c>
      <c r="B59" s="160" t="s">
        <v>287</v>
      </c>
      <c r="D59" s="159"/>
      <c r="E59" s="159"/>
      <c r="F59" s="159"/>
      <c r="G59" s="159"/>
      <c r="H59" s="159"/>
      <c r="I59" s="159"/>
      <c r="J59" s="159"/>
      <c r="K59" s="159"/>
      <c r="L59" s="159"/>
      <c r="M59" s="159">
        <v>326.89600000000002</v>
      </c>
      <c r="N59" s="159">
        <v>555.17200000000003</v>
      </c>
      <c r="O59" s="159"/>
      <c r="P59" s="159">
        <v>358.98099999999999</v>
      </c>
      <c r="Q59" s="159">
        <f>'ÜE-15'!Q53</f>
        <v>496.96100000000001</v>
      </c>
      <c r="R59" s="159">
        <f>'ÜE-15'!R53</f>
        <v>183.596</v>
      </c>
      <c r="S59" s="159">
        <f>'ÜE-15'!S53</f>
        <v>423.82499999999999</v>
      </c>
      <c r="T59" s="159">
        <f>'ÜE-15'!T53</f>
        <v>2E-3</v>
      </c>
      <c r="U59" s="159">
        <f>'ÜE-15'!U53</f>
        <v>0</v>
      </c>
      <c r="V59" s="159">
        <f>'ÜE-15'!V53</f>
        <v>0</v>
      </c>
      <c r="W59" s="159">
        <f>'ÜE-15'!W53</f>
        <v>0</v>
      </c>
      <c r="X59" s="159">
        <f>'ÜE-15'!X53</f>
        <v>0</v>
      </c>
      <c r="Y59" s="159">
        <f>'ÜE-15'!Y53</f>
        <v>0</v>
      </c>
      <c r="Z59" s="159">
        <f>'ÜE-15'!Z53</f>
        <v>0</v>
      </c>
      <c r="AA59" s="159">
        <f>'ÜE-15'!AB53</f>
        <v>0</v>
      </c>
    </row>
    <row r="60" spans="1:29" s="160" customFormat="1" ht="14.25">
      <c r="A60" s="160" t="s">
        <v>288</v>
      </c>
      <c r="B60" s="160" t="s">
        <v>289</v>
      </c>
      <c r="C60" s="160" t="s">
        <v>290</v>
      </c>
      <c r="D60" s="159">
        <v>519.24740012935763</v>
      </c>
      <c r="E60" s="159">
        <v>510.96269703422161</v>
      </c>
      <c r="F60" s="159">
        <v>497.00951287399255</v>
      </c>
      <c r="G60" s="159">
        <v>469.6118543927094</v>
      </c>
      <c r="H60" s="159">
        <v>448.31871398152651</v>
      </c>
      <c r="I60" s="159">
        <v>430.87723378124019</v>
      </c>
      <c r="J60" s="159">
        <v>407.92899999999997</v>
      </c>
      <c r="K60" s="159">
        <v>392.47699999999998</v>
      </c>
      <c r="L60" s="159">
        <v>381.32900000000001</v>
      </c>
      <c r="M60" s="159">
        <v>361.714</v>
      </c>
      <c r="N60" s="159">
        <v>341.59800000000001</v>
      </c>
      <c r="O60" s="159">
        <v>338.27800000000002</v>
      </c>
      <c r="P60" s="159">
        <v>323.84399999999999</v>
      </c>
      <c r="Q60" s="159">
        <f>'ÜE-15'!Q54</f>
        <v>311.64400000000001</v>
      </c>
      <c r="R60" s="159">
        <f>'ÜE-15'!R54</f>
        <v>308.89600000000002</v>
      </c>
      <c r="S60" s="159">
        <f>'ÜE-15'!S54</f>
        <v>295.548</v>
      </c>
      <c r="T60" s="159">
        <f>'ÜE-15'!T54</f>
        <v>299.41500000000002</v>
      </c>
      <c r="U60" s="159">
        <f>'ÜE-15'!U54</f>
        <v>282.43599999999998</v>
      </c>
      <c r="V60" s="159">
        <f>'ÜE-15'!V54</f>
        <v>276.34699999999998</v>
      </c>
      <c r="W60" s="159">
        <f>'ÜE-15'!W54</f>
        <v>264.483</v>
      </c>
      <c r="X60" s="159">
        <f>'ÜE-15'!X54</f>
        <v>264.37</v>
      </c>
      <c r="Y60" s="159">
        <f>'ÜE-15'!Y54</f>
        <v>245.25399999999999</v>
      </c>
      <c r="Z60" s="159">
        <f>'ÜE-15'!Z54</f>
        <v>237.209</v>
      </c>
      <c r="AA60" s="159">
        <f>'ÜE-15'!AB54</f>
        <v>235.65199999999999</v>
      </c>
    </row>
    <row r="61" spans="1:29" s="160" customFormat="1" ht="14.25">
      <c r="A61" s="160" t="s">
        <v>291</v>
      </c>
      <c r="B61" s="160" t="s">
        <v>292</v>
      </c>
      <c r="C61" s="160" t="s">
        <v>293</v>
      </c>
      <c r="D61" s="159">
        <v>4014.5927051009062</v>
      </c>
      <c r="E61" s="159">
        <v>4974.1648074533259</v>
      </c>
      <c r="F61" s="159">
        <v>5060.2821159422392</v>
      </c>
      <c r="G61" s="159">
        <v>5102.214341257094</v>
      </c>
      <c r="H61" s="159">
        <v>5258.165</v>
      </c>
      <c r="I61" s="159">
        <v>5478.8620000000001</v>
      </c>
      <c r="J61" s="159">
        <v>4997.2719999999999</v>
      </c>
      <c r="K61" s="159">
        <v>5398.9530000000004</v>
      </c>
      <c r="L61" s="159">
        <v>5944.1620000000003</v>
      </c>
      <c r="M61" s="159">
        <v>6978.1239999999998</v>
      </c>
      <c r="N61" s="159">
        <v>6717.9520000000002</v>
      </c>
      <c r="O61" s="159">
        <v>6841.5569999999998</v>
      </c>
      <c r="P61" s="159">
        <v>6937.0879999999997</v>
      </c>
      <c r="Q61" s="159">
        <f>'ÜE-15'!Q55</f>
        <v>7354.2089999999998</v>
      </c>
      <c r="R61" s="159">
        <f>'ÜE-15'!R55</f>
        <v>7450.34</v>
      </c>
      <c r="S61" s="159">
        <f>'ÜE-15'!S55</f>
        <v>7317.1189999999997</v>
      </c>
      <c r="T61" s="159">
        <f>'ÜE-15'!T55</f>
        <v>7669.634</v>
      </c>
      <c r="U61" s="159">
        <f>'ÜE-15'!U55</f>
        <v>7669.6220000000003</v>
      </c>
      <c r="V61" s="159">
        <f>'ÜE-15'!V55</f>
        <v>8401.2000000000007</v>
      </c>
      <c r="W61" s="159">
        <f>'ÜE-15'!W55</f>
        <v>8693.2360000000008</v>
      </c>
      <c r="X61" s="159">
        <f>'ÜE-15'!X55</f>
        <v>8842.4</v>
      </c>
      <c r="Y61" s="159">
        <f>'ÜE-15'!Y55</f>
        <v>9238.277</v>
      </c>
      <c r="Z61" s="159">
        <f>'ÜE-15'!Z55</f>
        <v>9610.7000000000007</v>
      </c>
      <c r="AA61" s="159">
        <f>'ÜE-15'!AB55</f>
        <v>10024</v>
      </c>
      <c r="AB61" s="212"/>
    </row>
    <row r="62" spans="1:29" s="160" customFormat="1" ht="15.75">
      <c r="A62" s="160" t="s">
        <v>434</v>
      </c>
      <c r="B62" s="160" t="s">
        <v>294</v>
      </c>
      <c r="C62" s="160" t="s">
        <v>295</v>
      </c>
      <c r="D62" s="159">
        <v>4523.8839269492664</v>
      </c>
      <c r="E62" s="159">
        <v>4270.9097912109473</v>
      </c>
      <c r="F62" s="159">
        <v>4026.0023400652599</v>
      </c>
      <c r="G62" s="159">
        <v>3983.9247690820694</v>
      </c>
      <c r="H62" s="159">
        <v>4104.2709824640451</v>
      </c>
      <c r="I62" s="159">
        <v>4198.7456668822624</v>
      </c>
      <c r="J62" s="159">
        <v>4312.4089999999997</v>
      </c>
      <c r="K62" s="159">
        <v>4481.3909999999996</v>
      </c>
      <c r="L62" s="159">
        <v>4519.4399999999996</v>
      </c>
      <c r="M62" s="159">
        <f>4869.2+74.592</f>
        <v>4943.7919999999995</v>
      </c>
      <c r="N62" s="159">
        <v>5460.3059999999996</v>
      </c>
      <c r="O62" s="159">
        <f>5167.65+425.082</f>
        <v>5592.732</v>
      </c>
      <c r="P62" s="159">
        <v>6082.21</v>
      </c>
      <c r="Q62" s="159">
        <f>'ÜE-15'!Q56</f>
        <v>5872.8040000000001</v>
      </c>
      <c r="R62" s="159">
        <f>'ÜE-15'!R56</f>
        <v>5948.6639999999998</v>
      </c>
      <c r="S62" s="159">
        <f>'ÜE-15'!S56</f>
        <v>5879.1750000000002</v>
      </c>
      <c r="T62" s="159">
        <f>'ÜE-15'!T56</f>
        <v>6011.5469999999996</v>
      </c>
      <c r="U62" s="159">
        <f>'ÜE-15'!U56</f>
        <v>6500.7070000000003</v>
      </c>
      <c r="V62" s="159">
        <f>'ÜE-15'!V56</f>
        <v>6219.549</v>
      </c>
      <c r="W62" s="159">
        <f>'ÜE-15'!W56</f>
        <v>6151.7039999999997</v>
      </c>
      <c r="X62" s="159">
        <f>'ÜE-15'!X56</f>
        <v>6558.567</v>
      </c>
      <c r="Y62" s="159">
        <f>'ÜE-15'!Y56</f>
        <v>6446.4840000000004</v>
      </c>
      <c r="Z62" s="159">
        <f>'ÜE-15'!Z56</f>
        <v>6249.0929999999998</v>
      </c>
      <c r="AA62" s="159">
        <f>'ÜE-15'!AB56</f>
        <v>3619.7289999999998</v>
      </c>
      <c r="AB62" s="212"/>
    </row>
    <row r="63" spans="1:29" s="160" customFormat="1" ht="14.25">
      <c r="A63" s="227" t="s">
        <v>296</v>
      </c>
      <c r="B63" s="227" t="s">
        <v>297</v>
      </c>
      <c r="C63" s="227" t="s">
        <v>298</v>
      </c>
      <c r="D63" s="228">
        <v>1197.3576157496566</v>
      </c>
      <c r="E63" s="228">
        <v>1239</v>
      </c>
      <c r="F63" s="228">
        <v>1199.1017637696852</v>
      </c>
      <c r="G63" s="228">
        <v>1141.1088421037332</v>
      </c>
      <c r="H63" s="228">
        <v>1173.5935989767663</v>
      </c>
      <c r="I63" s="228">
        <v>1223.6651817184218</v>
      </c>
      <c r="J63" s="228">
        <v>1264.3989999999999</v>
      </c>
      <c r="K63" s="228">
        <v>1289.904</v>
      </c>
      <c r="L63" s="228">
        <v>1294.3040000000001</v>
      </c>
      <c r="M63" s="228">
        <v>1333.1110000000001</v>
      </c>
      <c r="N63" s="228">
        <v>1350.028</v>
      </c>
      <c r="O63" s="228">
        <v>1390.981</v>
      </c>
      <c r="P63" s="228">
        <v>1420.979</v>
      </c>
      <c r="Q63" s="228">
        <f>'ÜE-15'!Q57</f>
        <v>1473.6110000000001</v>
      </c>
      <c r="R63" s="228">
        <f>'ÜE-15'!R57</f>
        <v>1533</v>
      </c>
      <c r="S63" s="228">
        <f>'ÜE-15'!S57</f>
        <v>1540.9960000000001</v>
      </c>
      <c r="T63" s="228">
        <f>'ÜE-15'!T57</f>
        <v>1595</v>
      </c>
      <c r="U63" s="228">
        <f>'ÜE-15'!U57</f>
        <v>1619.999</v>
      </c>
      <c r="V63" s="228">
        <f>'ÜE-15'!V57</f>
        <v>1802.68</v>
      </c>
      <c r="W63" s="228">
        <f>'ÜE-15'!W57</f>
        <v>1772.655</v>
      </c>
      <c r="X63" s="228">
        <f>'ÜE-15'!X57</f>
        <v>1885.5550000000001</v>
      </c>
      <c r="Y63" s="228">
        <f>'ÜE-15'!Y57</f>
        <v>1855.0419999999999</v>
      </c>
      <c r="Z63" s="228">
        <f>'ÜE-15'!Z57</f>
        <v>1914.674</v>
      </c>
      <c r="AA63" s="228">
        <f>'ÜE-15'!AB57</f>
        <v>2405.6260000000002</v>
      </c>
    </row>
    <row r="64" spans="1:29" s="160" customFormat="1" ht="10.5" customHeight="1"/>
    <row r="65" spans="1:27" s="160" customFormat="1" ht="14.25">
      <c r="A65" s="180" t="s">
        <v>299</v>
      </c>
      <c r="B65" s="180" t="s">
        <v>300</v>
      </c>
      <c r="C65" s="180" t="s">
        <v>300</v>
      </c>
      <c r="D65" s="181">
        <v>1674.236753559152</v>
      </c>
      <c r="E65" s="181">
        <v>1755.4849821588191</v>
      </c>
      <c r="F65" s="181">
        <v>1840.0761611302078</v>
      </c>
      <c r="G65" s="181">
        <v>1835.4749999999999</v>
      </c>
      <c r="H65" s="181">
        <v>1826.3630000000001</v>
      </c>
      <c r="I65" s="181">
        <v>1822.798</v>
      </c>
      <c r="J65" s="181">
        <v>1819.202</v>
      </c>
      <c r="K65" s="181">
        <v>1811.7729999999999</v>
      </c>
      <c r="L65" s="181">
        <v>1807.309</v>
      </c>
      <c r="M65" s="181">
        <v>1805.443</v>
      </c>
      <c r="N65" s="181">
        <v>1803.2049999999999</v>
      </c>
      <c r="O65" s="181">
        <v>1810.319</v>
      </c>
      <c r="P65" s="181">
        <v>1803.6289999999999</v>
      </c>
      <c r="Q65" s="181">
        <f>'ÜE-15'!Q59</f>
        <v>1801.191</v>
      </c>
      <c r="R65" s="181">
        <f>'ÜE-15'!R59</f>
        <v>1803.2139999999999</v>
      </c>
      <c r="S65" s="181">
        <f>'ÜE-15'!S59</f>
        <v>1799.9690000000001</v>
      </c>
      <c r="T65" s="181">
        <f>'ÜE-15'!T59</f>
        <v>1803.2170000000001</v>
      </c>
      <c r="U65" s="181">
        <f>'ÜE-15'!U59</f>
        <v>1800.508</v>
      </c>
      <c r="V65" s="181">
        <f>'ÜE-15'!V59</f>
        <v>22.548999999999999</v>
      </c>
      <c r="W65" s="181">
        <f>'ÜE-15'!W59</f>
        <v>17.919</v>
      </c>
      <c r="X65" s="181">
        <f>'ÜE-15'!X59</f>
        <v>21.062999999999999</v>
      </c>
      <c r="Y65" s="181">
        <f>'ÜE-15'!Y59</f>
        <v>15.516999999999999</v>
      </c>
      <c r="Z65" s="181">
        <f>'ÜE-15'!Z59</f>
        <v>17.864999999999998</v>
      </c>
      <c r="AA65" s="181">
        <f>'ÜE-15'!AB59</f>
        <v>14.762</v>
      </c>
    </row>
    <row r="66" spans="1:27" s="160" customFormat="1" ht="14.25">
      <c r="A66" s="160" t="s">
        <v>208</v>
      </c>
      <c r="D66" s="159"/>
      <c r="E66" s="159"/>
      <c r="F66" s="159"/>
      <c r="G66" s="159"/>
      <c r="H66" s="159"/>
      <c r="I66" s="159"/>
      <c r="J66" s="159"/>
      <c r="K66" s="160" t="s">
        <v>301</v>
      </c>
      <c r="L66" s="159"/>
    </row>
    <row r="67" spans="1:27" s="160" customFormat="1" ht="30">
      <c r="A67" s="200" t="s">
        <v>444</v>
      </c>
      <c r="B67" s="200" t="s">
        <v>302</v>
      </c>
      <c r="C67" s="200" t="s">
        <v>303</v>
      </c>
      <c r="D67" s="159">
        <v>1611.1567335014497</v>
      </c>
      <c r="E67" s="159">
        <v>1694.5851471261526</v>
      </c>
      <c r="F67" s="159">
        <v>1780.4844371125628</v>
      </c>
      <c r="G67" s="159">
        <v>1780.4844371125628</v>
      </c>
      <c r="H67" s="159">
        <v>1780.4844371125628</v>
      </c>
      <c r="I67" s="159">
        <v>1780.4844371125628</v>
      </c>
      <c r="J67" s="159">
        <v>1780.4839999999999</v>
      </c>
      <c r="K67" s="213">
        <v>1780.4844371125628</v>
      </c>
      <c r="L67" s="159">
        <v>1780.5</v>
      </c>
      <c r="M67" s="213">
        <v>1780.5</v>
      </c>
      <c r="N67" s="213">
        <v>1780.5</v>
      </c>
      <c r="O67" s="213">
        <v>1780.5</v>
      </c>
      <c r="P67" s="213">
        <v>1780.5</v>
      </c>
      <c r="Q67" s="213">
        <f>'ÜE-15'!Q61</f>
        <v>1780.5</v>
      </c>
      <c r="R67" s="213">
        <f>'ÜE-15'!R61</f>
        <v>1780.5</v>
      </c>
      <c r="S67" s="213">
        <f>'ÜE-15'!S61</f>
        <v>1780.5</v>
      </c>
      <c r="T67" s="213">
        <f>'ÜE-15'!T61</f>
        <v>1780.5</v>
      </c>
      <c r="U67" s="213">
        <f>'ÜE-15'!U61</f>
        <v>1780.5</v>
      </c>
      <c r="V67" s="213" t="str">
        <f>'ÜE-15'!V61</f>
        <v>-</v>
      </c>
      <c r="W67" s="213" t="str">
        <f>'ÜE-15'!W61</f>
        <v>-</v>
      </c>
      <c r="X67" s="213" t="str">
        <f>'ÜE-15'!X61</f>
        <v>-</v>
      </c>
      <c r="Y67" s="213" t="str">
        <f>'ÜE-15'!Y61</f>
        <v>-</v>
      </c>
      <c r="Z67" s="213" t="str">
        <f>'ÜE-15'!Z61</f>
        <v>-</v>
      </c>
      <c r="AA67" s="213" t="str">
        <f>'ÜE-15'!AB61</f>
        <v>-</v>
      </c>
    </row>
    <row r="68" spans="1:27" s="160" customFormat="1" ht="31.5" customHeight="1">
      <c r="A68" s="234" t="s">
        <v>304</v>
      </c>
      <c r="B68" s="234" t="s">
        <v>305</v>
      </c>
      <c r="C68" s="234" t="s">
        <v>306</v>
      </c>
      <c r="D68" s="228">
        <v>38.516602108965643</v>
      </c>
      <c r="E68" s="228">
        <v>41.205496973176452</v>
      </c>
      <c r="F68" s="228">
        <v>38.807293445637086</v>
      </c>
      <c r="G68" s="228">
        <f>24.913+11.048</f>
        <v>35.960999999999999</v>
      </c>
      <c r="H68" s="228">
        <f>23.501+9.533</f>
        <v>33.033999999999999</v>
      </c>
      <c r="I68" s="228">
        <f>21.453+7.561</f>
        <v>29.013999999999999</v>
      </c>
      <c r="J68" s="228">
        <f>22.348+5.284</f>
        <v>27.631999999999998</v>
      </c>
      <c r="K68" s="228">
        <f>22.523+3.999</f>
        <v>26.521999999999998</v>
      </c>
      <c r="L68" s="228">
        <f>21.872+0.493</f>
        <v>22.364999999999998</v>
      </c>
      <c r="M68" s="228">
        <f>20.693+0.177</f>
        <v>20.87</v>
      </c>
      <c r="N68" s="228">
        <v>19.042000000000002</v>
      </c>
      <c r="O68" s="228">
        <f>23+0.7</f>
        <v>23.7</v>
      </c>
      <c r="P68" s="228">
        <v>19.587</v>
      </c>
      <c r="Q68" s="228">
        <f>'ÜE-15'!Q62</f>
        <v>17.785</v>
      </c>
      <c r="R68" s="228">
        <f>'ÜE-15'!R62</f>
        <v>19.02</v>
      </c>
      <c r="S68" s="228">
        <f>'ÜE-15'!S62</f>
        <v>17.086000000000002</v>
      </c>
      <c r="T68" s="228">
        <f>'ÜE-15'!T62</f>
        <v>19.02</v>
      </c>
      <c r="U68" s="228">
        <f>'ÜE-15'!U62</f>
        <v>17.664000000000001</v>
      </c>
      <c r="V68" s="228">
        <f>'ÜE-15'!V62</f>
        <v>19</v>
      </c>
      <c r="W68" s="228">
        <f>'ÜE-15'!W62</f>
        <v>15.958</v>
      </c>
      <c r="X68" s="228">
        <f>'ÜE-15'!X62</f>
        <v>17.5</v>
      </c>
      <c r="Y68" s="228">
        <f>'ÜE-15'!Y62</f>
        <v>13.772</v>
      </c>
      <c r="Z68" s="228">
        <f>'ÜE-15'!Z62</f>
        <v>15</v>
      </c>
      <c r="AA68" s="228">
        <f>'ÜE-15'!AB62</f>
        <v>12</v>
      </c>
    </row>
    <row r="69" spans="1:27" s="160" customFormat="1" ht="7.5" customHeight="1">
      <c r="D69" s="159"/>
      <c r="E69" s="159"/>
      <c r="F69" s="159"/>
      <c r="G69" s="159"/>
      <c r="H69" s="159"/>
      <c r="I69" s="159"/>
      <c r="J69" s="159"/>
      <c r="L69" s="159"/>
    </row>
    <row r="70" spans="1:27" s="160" customFormat="1" ht="14.25">
      <c r="A70" s="180" t="s">
        <v>151</v>
      </c>
      <c r="B70" s="180" t="s">
        <v>307</v>
      </c>
      <c r="C70" s="180" t="s">
        <v>307</v>
      </c>
      <c r="D70" s="181">
        <v>1126.4289296018255</v>
      </c>
      <c r="E70" s="181">
        <v>1163.7827663641053</v>
      </c>
      <c r="F70" s="181">
        <v>1186.5293634586455</v>
      </c>
      <c r="G70" s="181">
        <v>6785.0230000000001</v>
      </c>
      <c r="H70" s="181">
        <v>551.197</v>
      </c>
      <c r="I70" s="181">
        <v>533.87199999999996</v>
      </c>
      <c r="J70" s="181">
        <v>494.77699999999999</v>
      </c>
      <c r="K70" s="181">
        <v>550.71500000000003</v>
      </c>
      <c r="L70" s="181">
        <v>570.976</v>
      </c>
      <c r="M70" s="181">
        <v>574.68899999999996</v>
      </c>
      <c r="N70" s="181">
        <v>600.84799999999996</v>
      </c>
      <c r="O70" s="181">
        <v>576.51700000000005</v>
      </c>
      <c r="P70" s="181">
        <v>655.21100000000001</v>
      </c>
      <c r="Q70" s="181">
        <f>'ÜE-15'!Q64</f>
        <v>643.59699999999998</v>
      </c>
      <c r="R70" s="181">
        <f>'ÜE-15'!R64</f>
        <v>584.91200000000003</v>
      </c>
      <c r="S70" s="181">
        <f>'ÜE-15'!S64</f>
        <v>626.34299999999996</v>
      </c>
      <c r="T70" s="181">
        <f>'ÜE-15'!T64</f>
        <v>582.83100000000002</v>
      </c>
      <c r="U70" s="181">
        <f>'ÜE-15'!U64</f>
        <v>117.011</v>
      </c>
      <c r="V70" s="181">
        <f>'ÜE-15'!V64</f>
        <v>86.385000000000005</v>
      </c>
      <c r="W70" s="181">
        <f>'ÜE-15'!W64</f>
        <v>46.902999999999999</v>
      </c>
      <c r="X70" s="181">
        <f>'ÜE-15'!X64</f>
        <v>107.928</v>
      </c>
      <c r="Y70" s="181">
        <f>'ÜE-15'!Y64</f>
        <v>41.137</v>
      </c>
      <c r="Z70" s="181">
        <f>'ÜE-15'!Z64</f>
        <v>82.716999999999999</v>
      </c>
      <c r="AA70" s="181">
        <f>'ÜE-15'!AB64</f>
        <v>68.688999999999993</v>
      </c>
    </row>
    <row r="71" spans="1:27" s="160" customFormat="1" ht="14.25">
      <c r="A71" s="160" t="s">
        <v>208</v>
      </c>
      <c r="D71" s="159"/>
      <c r="E71" s="159"/>
      <c r="F71" s="159"/>
      <c r="G71" s="159"/>
      <c r="H71" s="159"/>
      <c r="I71" s="159"/>
      <c r="J71" s="159"/>
      <c r="L71" s="159"/>
    </row>
    <row r="72" spans="1:27" s="160" customFormat="1" ht="15.75">
      <c r="A72" s="160" t="s">
        <v>435</v>
      </c>
      <c r="B72" s="160" t="s">
        <v>308</v>
      </c>
      <c r="C72" s="160" t="s">
        <v>309</v>
      </c>
      <c r="D72" s="159">
        <v>508.41914783834653</v>
      </c>
      <c r="E72" s="159">
        <v>529.42159691285792</v>
      </c>
      <c r="F72" s="159">
        <v>533.99998546543316</v>
      </c>
      <c r="G72" s="159">
        <v>6164.3278126203641</v>
      </c>
      <c r="H72" s="159">
        <v>544.17418224893345</v>
      </c>
      <c r="I72" s="159">
        <v>529.85763391786509</v>
      </c>
      <c r="J72" s="159">
        <v>492</v>
      </c>
      <c r="K72" s="159">
        <v>542</v>
      </c>
      <c r="L72" s="159">
        <v>125</v>
      </c>
      <c r="M72" s="159">
        <v>29.129000000000001</v>
      </c>
      <c r="N72" s="159">
        <v>37.965000000000003</v>
      </c>
      <c r="O72" s="205">
        <v>10.504</v>
      </c>
      <c r="P72" s="205">
        <v>86.954999999999998</v>
      </c>
      <c r="Q72" s="205">
        <f>'ÜE-15'!Q66</f>
        <v>76.820999999999998</v>
      </c>
      <c r="R72" s="205">
        <f>'ÜE-15'!R66</f>
        <v>4.3689999999999998</v>
      </c>
      <c r="S72" s="205">
        <f>'ÜE-15'!S66</f>
        <v>47.145000000000003</v>
      </c>
      <c r="T72" s="205">
        <f>'ÜE-15'!T66</f>
        <v>4.3689999999999998</v>
      </c>
      <c r="U72" s="205">
        <f>'ÜE-15'!U66</f>
        <v>71.941000000000003</v>
      </c>
      <c r="V72" s="205">
        <f>'ÜE-15'!V66</f>
        <v>71.363</v>
      </c>
      <c r="W72" s="205">
        <f>'ÜE-15'!W66</f>
        <v>31.02</v>
      </c>
      <c r="X72" s="205">
        <f>'ÜE-15'!X66</f>
        <v>93.363</v>
      </c>
      <c r="Y72" s="205">
        <f>'ÜE-15'!Y66</f>
        <v>26.571000000000002</v>
      </c>
      <c r="Z72" s="205">
        <f>'ÜE-15'!Z66</f>
        <v>68.313000000000002</v>
      </c>
      <c r="AA72" s="205">
        <f>'ÜE-15'!AB66</f>
        <v>54.284999999999997</v>
      </c>
    </row>
    <row r="73" spans="1:27" s="160" customFormat="1" ht="15.75">
      <c r="A73" s="227" t="s">
        <v>436</v>
      </c>
      <c r="B73" s="163" t="s">
        <v>310</v>
      </c>
      <c r="C73" s="163" t="s">
        <v>311</v>
      </c>
      <c r="D73" s="201" t="s">
        <v>73</v>
      </c>
      <c r="E73" s="201" t="s">
        <v>73</v>
      </c>
      <c r="F73" s="210" t="s">
        <v>73</v>
      </c>
      <c r="G73" s="210" t="s">
        <v>73</v>
      </c>
      <c r="H73" s="204" t="s">
        <v>73</v>
      </c>
      <c r="I73" s="204" t="s">
        <v>73</v>
      </c>
      <c r="J73" s="204" t="s">
        <v>73</v>
      </c>
      <c r="K73" s="204" t="s">
        <v>73</v>
      </c>
      <c r="L73" s="201">
        <v>435.746422</v>
      </c>
      <c r="M73" s="201">
        <v>542.25400000000002</v>
      </c>
      <c r="N73" s="201">
        <v>556.18299999999999</v>
      </c>
      <c r="O73" s="216">
        <v>562.13699999999994</v>
      </c>
      <c r="P73" s="216">
        <v>562.13699999999994</v>
      </c>
      <c r="Q73" s="235">
        <f>'ÜE-15'!Q67</f>
        <v>562.63300000000004</v>
      </c>
      <c r="R73" s="235">
        <f>'ÜE-15'!R67</f>
        <v>576.20899999999995</v>
      </c>
      <c r="S73" s="235">
        <f>'ÜE-15'!S67</f>
        <v>576.20899999999995</v>
      </c>
      <c r="T73" s="235">
        <f>'ÜE-15'!T67</f>
        <v>574.32799999999997</v>
      </c>
      <c r="U73" s="235">
        <f>'ÜE-15'!U67</f>
        <v>29.329000000000001</v>
      </c>
      <c r="V73" s="235">
        <f>'ÜE-15'!V67</f>
        <v>0.61699999999999999</v>
      </c>
      <c r="W73" s="235">
        <f>'ÜE-15'!W67</f>
        <v>0.61699999999999999</v>
      </c>
      <c r="X73" s="235">
        <f>'ÜE-15'!X67</f>
        <v>0.16</v>
      </c>
      <c r="Y73" s="235">
        <f>'ÜE-15'!Y67</f>
        <v>0.16</v>
      </c>
      <c r="Z73" s="235">
        <f>'ÜE-15'!Z67</f>
        <v>0</v>
      </c>
      <c r="AA73" s="235">
        <f>'ÜE-15'!AB67</f>
        <v>0</v>
      </c>
    </row>
    <row r="74" spans="1:27" s="160" customFormat="1" ht="14.25" hidden="1" outlineLevel="1">
      <c r="A74" s="160" t="s">
        <v>312</v>
      </c>
      <c r="B74" s="160" t="s">
        <v>313</v>
      </c>
      <c r="C74" s="160" t="s">
        <v>314</v>
      </c>
      <c r="D74" s="159">
        <v>403.62492096829283</v>
      </c>
      <c r="E74" s="159">
        <v>451.9523556899195</v>
      </c>
      <c r="F74" s="159">
        <v>446.21120179065861</v>
      </c>
      <c r="G74" s="159">
        <v>617.79176326097536</v>
      </c>
      <c r="H74" s="206" t="s">
        <v>73</v>
      </c>
      <c r="I74" s="206" t="s">
        <v>73</v>
      </c>
      <c r="J74" s="206">
        <v>0.21099999999999999</v>
      </c>
      <c r="K74" s="159">
        <v>4.9610000000000003</v>
      </c>
      <c r="L74" s="159">
        <v>2.3940000000000001</v>
      </c>
      <c r="M74" s="205">
        <v>0.51800000000000002</v>
      </c>
      <c r="N74" s="205">
        <v>3.5999999999999997E-2</v>
      </c>
      <c r="O74" s="205">
        <v>0.502</v>
      </c>
      <c r="P74" s="205">
        <v>0.27400000000000002</v>
      </c>
      <c r="Q74" s="205">
        <f>'ÜE-15'!Q68</f>
        <v>0.14199999999999999</v>
      </c>
      <c r="R74" s="205">
        <f>'ÜE-15'!R68</f>
        <v>3.2000000000000001E-2</v>
      </c>
      <c r="S74" s="205">
        <f>'ÜE-15'!S68</f>
        <v>0</v>
      </c>
      <c r="T74" s="205">
        <f>'ÜE-15'!T68</f>
        <v>3.2000000000000001E-2</v>
      </c>
      <c r="U74" s="205">
        <f>'ÜE-15'!U68</f>
        <v>0</v>
      </c>
      <c r="V74" s="205">
        <f>'ÜE-15'!V68</f>
        <v>4.0000000000000001E-3</v>
      </c>
      <c r="W74" s="205">
        <f>'ÜE-15'!W68</f>
        <v>0</v>
      </c>
      <c r="X74" s="205">
        <f>'ÜE-15'!X68</f>
        <v>4.0000000000000001E-3</v>
      </c>
      <c r="Y74" s="205">
        <f>'ÜE-15'!Y68</f>
        <v>0</v>
      </c>
      <c r="Z74" s="205">
        <f>'ÜE-15'!Z68</f>
        <v>4.0000000000000001E-3</v>
      </c>
      <c r="AA74" s="205">
        <f>'ÜE-15'!AB68</f>
        <v>0</v>
      </c>
    </row>
    <row r="75" spans="1:27" s="160" customFormat="1" ht="7.5" customHeight="1" collapsed="1">
      <c r="A75" s="229"/>
      <c r="B75" s="229"/>
      <c r="C75" s="229"/>
      <c r="D75" s="230"/>
      <c r="E75" s="230"/>
      <c r="F75" s="230"/>
      <c r="G75" s="230"/>
      <c r="H75" s="230"/>
      <c r="I75" s="230"/>
      <c r="J75" s="230"/>
      <c r="K75" s="229"/>
      <c r="L75" s="230"/>
      <c r="M75" s="229"/>
      <c r="N75" s="229"/>
      <c r="O75" s="229"/>
      <c r="P75" s="229"/>
      <c r="Q75" s="229"/>
      <c r="R75" s="229"/>
      <c r="S75" s="229"/>
      <c r="T75" s="229"/>
      <c r="U75" s="229"/>
      <c r="V75" s="229"/>
      <c r="W75" s="229"/>
      <c r="X75" s="229"/>
      <c r="Y75" s="229"/>
      <c r="Z75" s="229"/>
      <c r="AA75" s="229"/>
    </row>
    <row r="76" spans="1:27" s="160" customFormat="1" ht="14.25">
      <c r="A76" s="180" t="s">
        <v>315</v>
      </c>
      <c r="B76" s="180" t="s">
        <v>316</v>
      </c>
      <c r="C76" s="180" t="s">
        <v>316</v>
      </c>
      <c r="D76" s="181">
        <v>7026.8090085245231</v>
      </c>
      <c r="E76" s="181">
        <v>7243.4467271789126</v>
      </c>
      <c r="F76" s="181">
        <v>6439.2491442773771</v>
      </c>
      <c r="G76" s="181">
        <v>5948.4960000000001</v>
      </c>
      <c r="H76" s="181">
        <v>6367.143</v>
      </c>
      <c r="I76" s="181">
        <v>5816.5860000000002</v>
      </c>
      <c r="J76" s="181">
        <v>6006.13</v>
      </c>
      <c r="K76" s="181">
        <v>6807.607</v>
      </c>
      <c r="L76" s="181">
        <v>6155.4219999999996</v>
      </c>
      <c r="M76" s="181">
        <v>6004.567</v>
      </c>
      <c r="N76" s="181">
        <v>7550.4939999999997</v>
      </c>
      <c r="O76" s="181">
        <v>6125.7250000000004</v>
      </c>
      <c r="P76" s="181">
        <v>5732.3069999999998</v>
      </c>
      <c r="Q76" s="181">
        <f>'ÜE-15'!Q70</f>
        <v>6049.1239999999998</v>
      </c>
      <c r="R76" s="181">
        <f>'ÜE-15'!R70</f>
        <v>6299.7049999999999</v>
      </c>
      <c r="S76" s="181">
        <f>'ÜE-15'!S70</f>
        <v>6292.558</v>
      </c>
      <c r="T76" s="181">
        <f>'ÜE-15'!T70</f>
        <v>6501.5010000000002</v>
      </c>
      <c r="U76" s="181">
        <f>'ÜE-15'!U70</f>
        <v>6405.94</v>
      </c>
      <c r="V76" s="181">
        <f>'ÜE-15'!V70</f>
        <v>5385.2520000000004</v>
      </c>
      <c r="W76" s="181">
        <f>'ÜE-15'!W70</f>
        <v>5280.1490000000003</v>
      </c>
      <c r="X76" s="181">
        <f>'ÜE-15'!X70</f>
        <v>5555.616</v>
      </c>
      <c r="Y76" s="181">
        <f>'ÜE-15'!Y70</f>
        <v>5304.6139999999996</v>
      </c>
      <c r="Z76" s="181">
        <f>'ÜE-15'!Z70</f>
        <v>5895.0889999999999</v>
      </c>
      <c r="AA76" s="181">
        <f>'ÜE-15'!AB70</f>
        <v>6385.7259999999997</v>
      </c>
    </row>
    <row r="77" spans="1:27" s="160" customFormat="1" ht="14.25">
      <c r="A77" s="160" t="s">
        <v>208</v>
      </c>
      <c r="D77" s="159"/>
      <c r="E77" s="159"/>
      <c r="F77" s="159"/>
      <c r="G77" s="159"/>
      <c r="H77" s="159"/>
      <c r="I77" s="159"/>
      <c r="J77" s="159"/>
      <c r="L77" s="159"/>
    </row>
    <row r="78" spans="1:27" s="160" customFormat="1" ht="16.5" customHeight="1">
      <c r="A78" s="200" t="s">
        <v>317</v>
      </c>
      <c r="B78" s="200" t="s">
        <v>318</v>
      </c>
      <c r="C78" s="200" t="s">
        <v>319</v>
      </c>
      <c r="D78" s="159" t="s">
        <v>73</v>
      </c>
      <c r="E78" s="203" t="s">
        <v>73</v>
      </c>
      <c r="F78" s="159">
        <v>559.21745892168042</v>
      </c>
      <c r="G78" s="159">
        <v>827.81625400608993</v>
      </c>
      <c r="H78" s="159">
        <v>836.31897560372954</v>
      </c>
      <c r="I78" s="159">
        <v>848.471</v>
      </c>
      <c r="J78" s="159">
        <v>872.25599999999997</v>
      </c>
      <c r="K78" s="159">
        <v>921.54499999999996</v>
      </c>
      <c r="L78" s="159">
        <v>1002.878</v>
      </c>
      <c r="M78" s="159">
        <v>1092.982</v>
      </c>
      <c r="N78" s="159">
        <v>1159.1410000000001</v>
      </c>
      <c r="O78" s="159">
        <v>1192.5429999999999</v>
      </c>
      <c r="P78" s="159">
        <v>1160.329</v>
      </c>
      <c r="Q78" s="159">
        <f>'ÜE-15'!Q72</f>
        <v>1166.854</v>
      </c>
      <c r="R78" s="159">
        <f>'ÜE-15'!R72</f>
        <v>1172.268</v>
      </c>
      <c r="S78" s="159">
        <f>'ÜE-15'!S72</f>
        <v>1166.895</v>
      </c>
      <c r="T78" s="159">
        <f>'ÜE-15'!T72</f>
        <v>1180.8800000000001</v>
      </c>
      <c r="U78" s="159">
        <f>'ÜE-15'!U72</f>
        <v>1176.0989999999999</v>
      </c>
      <c r="V78" s="159">
        <f>'ÜE-15'!V72</f>
        <v>1201.5039999999999</v>
      </c>
      <c r="W78" s="159">
        <f>'ÜE-15'!W72</f>
        <v>1189.5909999999999</v>
      </c>
      <c r="X78" s="159">
        <f>'ÜE-15'!X72</f>
        <v>1193.1759999999999</v>
      </c>
      <c r="Y78" s="159">
        <f>'ÜE-15'!Y72</f>
        <v>1198.787</v>
      </c>
      <c r="Z78" s="159">
        <f>'ÜE-15'!Z72</f>
        <v>1216.0260000000001</v>
      </c>
      <c r="AA78" s="159">
        <f>'ÜE-15'!AB72</f>
        <v>1277.5619999999999</v>
      </c>
    </row>
    <row r="79" spans="1:27" s="160" customFormat="1" ht="28.5">
      <c r="A79" s="200" t="s">
        <v>320</v>
      </c>
      <c r="B79" s="200" t="s">
        <v>321</v>
      </c>
      <c r="C79" s="200" t="s">
        <v>322</v>
      </c>
      <c r="D79" s="159" t="s">
        <v>73</v>
      </c>
      <c r="E79" s="203" t="s">
        <v>73</v>
      </c>
      <c r="F79" s="159">
        <v>76.306475876252691</v>
      </c>
      <c r="G79" s="159">
        <v>101.74196783500359</v>
      </c>
      <c r="H79" s="159">
        <v>101.74196783500359</v>
      </c>
      <c r="I79" s="159">
        <v>101.74196783500359</v>
      </c>
      <c r="J79" s="159">
        <v>127.17700000000001</v>
      </c>
      <c r="K79" s="159">
        <v>100.50652965414997</v>
      </c>
      <c r="L79" s="159">
        <v>39.156999999999996</v>
      </c>
      <c r="M79" s="205">
        <v>41.5</v>
      </c>
      <c r="N79" s="205">
        <v>39.75</v>
      </c>
      <c r="O79" s="205">
        <v>53.499000000000002</v>
      </c>
      <c r="P79" s="205">
        <v>47.241999999999997</v>
      </c>
      <c r="Q79" s="205">
        <f>'ÜE-15'!Q73</f>
        <v>39.859000000000002</v>
      </c>
      <c r="R79" s="205">
        <f>'ÜE-15'!R73</f>
        <v>45.686999999999998</v>
      </c>
      <c r="S79" s="205">
        <f>'ÜE-15'!S73</f>
        <v>45.613999999999997</v>
      </c>
      <c r="T79" s="205">
        <f>'ÜE-15'!T73</f>
        <v>45.686999999999998</v>
      </c>
      <c r="U79" s="205">
        <f>'ÜE-15'!U73</f>
        <v>43.484000000000002</v>
      </c>
      <c r="V79" s="205">
        <f>'ÜE-15'!V73</f>
        <v>46</v>
      </c>
      <c r="W79" s="205">
        <f>'ÜE-15'!W73</f>
        <v>42.811</v>
      </c>
      <c r="X79" s="205">
        <f>'ÜE-15'!X73</f>
        <v>47</v>
      </c>
      <c r="Y79" s="205">
        <f>'ÜE-15'!Y73</f>
        <v>42.298999999999999</v>
      </c>
      <c r="Z79" s="205">
        <f>'ÜE-15'!Z73</f>
        <v>44</v>
      </c>
      <c r="AA79" s="205">
        <f>'ÜE-15'!AB73</f>
        <v>46.44</v>
      </c>
    </row>
    <row r="80" spans="1:27" s="160" customFormat="1" ht="15.75">
      <c r="A80" s="160" t="s">
        <v>437</v>
      </c>
      <c r="B80" s="160" t="s">
        <v>323</v>
      </c>
      <c r="C80" s="160" t="s">
        <v>324</v>
      </c>
      <c r="D80" s="159" t="s">
        <v>73</v>
      </c>
      <c r="E80" s="203" t="s">
        <v>73</v>
      </c>
      <c r="F80" s="159">
        <v>860.95506638663392</v>
      </c>
      <c r="G80" s="159">
        <v>1288.7073682986561</v>
      </c>
      <c r="H80" s="159">
        <v>1260.5829814756944</v>
      </c>
      <c r="I80" s="159">
        <v>1262.6178208323945</v>
      </c>
      <c r="J80" s="159">
        <v>1224.634</v>
      </c>
      <c r="K80" s="159">
        <v>1155.5550000000001</v>
      </c>
      <c r="L80" s="159">
        <v>1073.0940000000001</v>
      </c>
      <c r="M80" s="159">
        <v>961.495</v>
      </c>
      <c r="N80" s="159">
        <v>840.82600000000002</v>
      </c>
      <c r="O80" s="205">
        <v>887.66099999999994</v>
      </c>
      <c r="P80" s="205">
        <v>822.97500000000002</v>
      </c>
      <c r="Q80" s="205">
        <f>'ÜE-15'!Q74</f>
        <v>843.26599999999996</v>
      </c>
      <c r="R80" s="205">
        <f>'ÜE-15'!R74</f>
        <v>844.32</v>
      </c>
      <c r="S80" s="205">
        <f>'ÜE-15'!S74</f>
        <v>859.298</v>
      </c>
      <c r="T80" s="205">
        <f>'ÜE-15'!T74</f>
        <v>833.33600000000001</v>
      </c>
      <c r="U80" s="205">
        <f>'ÜE-15'!U74</f>
        <v>891.23699999999997</v>
      </c>
      <c r="V80" s="205">
        <f>'ÜE-15'!V74</f>
        <v>0</v>
      </c>
      <c r="W80" s="205">
        <f>'ÜE-15'!W74</f>
        <v>0</v>
      </c>
      <c r="X80" s="205">
        <f>'ÜE-15'!X74</f>
        <v>0</v>
      </c>
      <c r="Y80" s="205">
        <f>'ÜE-15'!Y74</f>
        <v>0</v>
      </c>
      <c r="Z80" s="205">
        <f>'ÜE-15'!Z74</f>
        <v>0</v>
      </c>
      <c r="AA80" s="205">
        <f>'ÜE-15'!AB74</f>
        <v>0</v>
      </c>
    </row>
    <row r="81" spans="1:27" s="160" customFormat="1" ht="14.25" hidden="1" outlineLevel="1">
      <c r="A81" s="217" t="s">
        <v>325</v>
      </c>
      <c r="B81" s="217"/>
      <c r="C81" s="217"/>
      <c r="D81" s="159">
        <v>3740.6887931222427</v>
      </c>
      <c r="E81" s="159">
        <v>3853.1863404140895</v>
      </c>
      <c r="F81" s="159">
        <v>1552.5824291621548</v>
      </c>
      <c r="G81" s="203" t="s">
        <v>73</v>
      </c>
      <c r="H81" s="206" t="s">
        <v>73</v>
      </c>
      <c r="I81" s="206" t="s">
        <v>73</v>
      </c>
      <c r="J81" s="206" t="s">
        <v>73</v>
      </c>
      <c r="K81" s="206" t="s">
        <v>73</v>
      </c>
      <c r="L81" s="206" t="s">
        <v>73</v>
      </c>
      <c r="M81" s="206" t="s">
        <v>73</v>
      </c>
      <c r="N81" s="206" t="s">
        <v>73</v>
      </c>
      <c r="O81" s="206" t="s">
        <v>73</v>
      </c>
      <c r="P81" s="206" t="s">
        <v>73</v>
      </c>
      <c r="Q81" s="206" t="str">
        <f>'ÜE-15'!Q75</f>
        <v>-</v>
      </c>
      <c r="R81" s="206" t="str">
        <f>'ÜE-15'!R75</f>
        <v>-</v>
      </c>
      <c r="S81" s="206" t="str">
        <f>'ÜE-15'!S75</f>
        <v>-</v>
      </c>
      <c r="T81" s="206" t="str">
        <f>'ÜE-15'!T75</f>
        <v>-</v>
      </c>
      <c r="U81" s="206" t="str">
        <f>'ÜE-15'!U75</f>
        <v>-</v>
      </c>
      <c r="V81" s="206" t="str">
        <f>'ÜE-15'!V75</f>
        <v>-</v>
      </c>
      <c r="W81" s="206" t="str">
        <f>'ÜE-15'!W75</f>
        <v>-</v>
      </c>
      <c r="X81" s="206" t="str">
        <f>'ÜE-15'!X75</f>
        <v>-</v>
      </c>
      <c r="Y81" s="206" t="str">
        <f>'ÜE-15'!Y75</f>
        <v>-</v>
      </c>
      <c r="Z81" s="206" t="str">
        <f>'ÜE-15'!Z75</f>
        <v>-</v>
      </c>
      <c r="AA81" s="206" t="str">
        <f>'ÜE-15'!AB75</f>
        <v>-</v>
      </c>
    </row>
    <row r="82" spans="1:27" s="160" customFormat="1" ht="28.5" collapsed="1">
      <c r="A82" s="200" t="s">
        <v>326</v>
      </c>
      <c r="B82" s="200" t="s">
        <v>327</v>
      </c>
      <c r="C82" s="200" t="s">
        <v>328</v>
      </c>
      <c r="D82" s="159">
        <v>1429.0386110767934</v>
      </c>
      <c r="E82" s="159">
        <v>1499.2405688829458</v>
      </c>
      <c r="F82" s="159">
        <v>1566.3902676540481</v>
      </c>
      <c r="G82" s="159">
        <v>1605.0522154313494</v>
      </c>
      <c r="H82" s="159">
        <v>1637.6823179727185</v>
      </c>
      <c r="I82" s="159">
        <v>1667.2601614790374</v>
      </c>
      <c r="J82" s="159">
        <v>1694.569</v>
      </c>
      <c r="K82" s="159">
        <v>1727.694</v>
      </c>
      <c r="L82" s="159">
        <v>1746.4590000000001</v>
      </c>
      <c r="M82" s="159">
        <v>1767.0989999999999</v>
      </c>
      <c r="N82" s="159">
        <v>1741.742</v>
      </c>
      <c r="O82" s="159">
        <v>1819.8520000000001</v>
      </c>
      <c r="P82" s="159">
        <v>1761.61</v>
      </c>
      <c r="Q82" s="159">
        <f>'ÜE-15'!Q76</f>
        <v>1853.491</v>
      </c>
      <c r="R82" s="159">
        <f>'ÜE-15'!R76</f>
        <v>1913.894</v>
      </c>
      <c r="S82" s="159">
        <f>'ÜE-15'!S76</f>
        <v>1910.8989999999999</v>
      </c>
      <c r="T82" s="159">
        <f>'ÜE-15'!T76</f>
        <v>1977.423</v>
      </c>
      <c r="U82" s="159">
        <f>'ÜE-15'!U76</f>
        <v>1984.549</v>
      </c>
      <c r="V82" s="159">
        <f>'ÜE-15'!V76</f>
        <v>2102.1170000000002</v>
      </c>
      <c r="W82" s="159">
        <f>'ÜE-15'!W76</f>
        <v>2054.444</v>
      </c>
      <c r="X82" s="159">
        <f>'ÜE-15'!X76</f>
        <v>2148.9299999999998</v>
      </c>
      <c r="Y82" s="159">
        <f>'ÜE-15'!Y76</f>
        <v>2068.3760000000002</v>
      </c>
      <c r="Z82" s="159">
        <f>'ÜE-15'!Z76</f>
        <v>2141.0819999999999</v>
      </c>
      <c r="AA82" s="159">
        <f>'ÜE-15'!AB76</f>
        <v>2329.9369999999999</v>
      </c>
    </row>
    <row r="83" spans="1:27" s="160" customFormat="1" ht="28.5">
      <c r="A83" s="200" t="s">
        <v>329</v>
      </c>
      <c r="B83" s="200" t="s">
        <v>330</v>
      </c>
      <c r="C83" s="200" t="s">
        <v>331</v>
      </c>
      <c r="D83" s="159">
        <v>1412.105840715682</v>
      </c>
      <c r="E83" s="159">
        <v>1392.9928853295348</v>
      </c>
      <c r="F83" s="159">
        <v>1417.623</v>
      </c>
      <c r="G83" s="159">
        <v>1476.9970000000001</v>
      </c>
      <c r="H83" s="159">
        <v>1537.316</v>
      </c>
      <c r="I83" s="159">
        <v>1361.4469999999999</v>
      </c>
      <c r="J83" s="159">
        <v>1342.8810000000001</v>
      </c>
      <c r="K83" s="159">
        <v>1948.9649999999999</v>
      </c>
      <c r="L83" s="159">
        <v>1828.249</v>
      </c>
      <c r="M83" s="159">
        <v>1635.211</v>
      </c>
      <c r="N83" s="159">
        <f>1005.2+821.379</f>
        <v>1826.5790000000002</v>
      </c>
      <c r="O83" s="159">
        <f>1011.471+621.872</f>
        <v>1633.3429999999998</v>
      </c>
      <c r="P83" s="159">
        <f>895.627+517.268</f>
        <v>1412.895</v>
      </c>
      <c r="Q83" s="159">
        <f>'ÜE-15'!Q77</f>
        <v>1605.7619999999999</v>
      </c>
      <c r="R83" s="159">
        <f>'ÜE-15'!R77</f>
        <v>1688.4359999999999</v>
      </c>
      <c r="S83" s="159">
        <f>'ÜE-15'!S77</f>
        <v>1752.652</v>
      </c>
      <c r="T83" s="159">
        <f>'ÜE-15'!T77</f>
        <v>1758.9159999999999</v>
      </c>
      <c r="U83" s="159">
        <f>'ÜE-15'!U77</f>
        <v>1917.8710000000001</v>
      </c>
      <c r="V83" s="159">
        <f>'ÜE-15'!V77</f>
        <v>1654.076</v>
      </c>
      <c r="W83" s="159">
        <f>'ÜE-15'!W77</f>
        <v>1626.4679999999998</v>
      </c>
      <c r="X83" s="159">
        <f>'ÜE-15'!X77</f>
        <v>1776.1509999999998</v>
      </c>
      <c r="Y83" s="159">
        <f>'ÜE-15'!Y77</f>
        <v>1616.1559999999999</v>
      </c>
      <c r="Z83" s="159">
        <f>'ÜE-15'!Z77</f>
        <v>2114.491</v>
      </c>
      <c r="AA83" s="159">
        <f>'ÜE-15'!AB77</f>
        <v>2326.7150000000001</v>
      </c>
    </row>
    <row r="84" spans="1:27" s="160" customFormat="1" ht="14.25">
      <c r="A84" s="160" t="s">
        <v>332</v>
      </c>
      <c r="B84" s="160" t="s">
        <v>333</v>
      </c>
      <c r="C84" s="160" t="s">
        <v>334</v>
      </c>
      <c r="D84" s="159">
        <v>109.00925125178956</v>
      </c>
      <c r="E84" s="159">
        <v>109.00925125178956</v>
      </c>
      <c r="F84" s="159">
        <v>109.00925125178956</v>
      </c>
      <c r="G84" s="159">
        <v>109.00925125178956</v>
      </c>
      <c r="H84" s="159">
        <v>109.00925125178956</v>
      </c>
      <c r="I84" s="159">
        <v>109.00925125178956</v>
      </c>
      <c r="J84" s="159">
        <v>109.009</v>
      </c>
      <c r="K84" s="159">
        <v>109.00925125178956</v>
      </c>
      <c r="L84" s="159">
        <v>109.01</v>
      </c>
      <c r="M84" s="159">
        <v>109.01</v>
      </c>
      <c r="N84" s="159">
        <v>109.01</v>
      </c>
      <c r="O84" s="159">
        <v>109.01</v>
      </c>
      <c r="P84" s="159">
        <v>109.01</v>
      </c>
      <c r="Q84" s="159">
        <f>'ÜE-15'!Q78</f>
        <v>109.01</v>
      </c>
      <c r="R84" s="159">
        <f>'ÜE-15'!R78</f>
        <v>109.01</v>
      </c>
      <c r="S84" s="159">
        <f>'ÜE-15'!S78</f>
        <v>109.01</v>
      </c>
      <c r="T84" s="159">
        <f>'ÜE-15'!T78</f>
        <v>109.01</v>
      </c>
      <c r="U84" s="159">
        <f>'ÜE-15'!U78</f>
        <v>109.01</v>
      </c>
      <c r="V84" s="159">
        <f>'ÜE-15'!V78</f>
        <v>87.5</v>
      </c>
      <c r="W84" s="159">
        <f>'ÜE-15'!W78</f>
        <v>87.5</v>
      </c>
      <c r="X84" s="159">
        <f>'ÜE-15'!X78</f>
        <v>87.5</v>
      </c>
      <c r="Y84" s="159">
        <f>'ÜE-15'!Y78</f>
        <v>87.5</v>
      </c>
      <c r="Z84" s="159">
        <f>'ÜE-15'!Z78</f>
        <v>80</v>
      </c>
      <c r="AA84" s="159">
        <f>'ÜE-15'!AB78</f>
        <v>80</v>
      </c>
    </row>
    <row r="85" spans="1:27" s="160" customFormat="1" ht="14.25">
      <c r="A85" s="227" t="s">
        <v>335</v>
      </c>
      <c r="B85" s="227" t="s">
        <v>336</v>
      </c>
      <c r="C85" s="240" t="s">
        <v>337</v>
      </c>
      <c r="D85" s="228">
        <v>98.035653292442746</v>
      </c>
      <c r="E85" s="231">
        <v>128.41289797460811</v>
      </c>
      <c r="F85" s="231">
        <v>130.01170032630102</v>
      </c>
      <c r="G85" s="241">
        <v>151.01414940081247</v>
      </c>
      <c r="H85" s="241">
        <v>146.58110651657304</v>
      </c>
      <c r="I85" s="241">
        <v>154.47399999999999</v>
      </c>
      <c r="J85" s="241">
        <v>155.398</v>
      </c>
      <c r="K85" s="242">
        <v>177.98699999999999</v>
      </c>
      <c r="L85" s="242">
        <v>187.142</v>
      </c>
      <c r="M85" s="242">
        <v>196.33600000000001</v>
      </c>
      <c r="N85" s="242">
        <v>208.333</v>
      </c>
      <c r="O85" s="242">
        <v>218.006</v>
      </c>
      <c r="P85" s="242">
        <v>215.79</v>
      </c>
      <c r="Q85" s="228">
        <f>'ÜE-15'!Q79</f>
        <v>224.19200000000001</v>
      </c>
      <c r="R85" s="228">
        <f>'ÜE-15'!R79</f>
        <v>235.85499999999999</v>
      </c>
      <c r="S85" s="228">
        <f>'ÜE-15'!S79</f>
        <v>239.52099999999999</v>
      </c>
      <c r="T85" s="228">
        <f>'ÜE-15'!T79</f>
        <v>246.684</v>
      </c>
      <c r="U85" s="228">
        <f>'ÜE-15'!U79</f>
        <v>74.524000000000001</v>
      </c>
      <c r="V85" s="228">
        <f>'ÜE-15'!V79</f>
        <v>73.224000000000004</v>
      </c>
      <c r="W85" s="228">
        <f>'ÜE-15'!W79</f>
        <v>72.424000000000007</v>
      </c>
      <c r="X85" s="228">
        <f>'ÜE-15'!X79</f>
        <v>72.168000000000006</v>
      </c>
      <c r="Y85" s="228">
        <f>'ÜE-15'!Y79</f>
        <v>72.721999999999994</v>
      </c>
      <c r="Z85" s="228">
        <f>'ÜE-15'!Z79</f>
        <v>74.902000000000001</v>
      </c>
      <c r="AA85" s="228">
        <f>'ÜE-15'!AB79</f>
        <v>77.138000000000005</v>
      </c>
    </row>
    <row r="86" spans="1:27" s="160" customFormat="1" ht="7.5" customHeight="1">
      <c r="D86" s="159"/>
      <c r="E86" s="159"/>
      <c r="F86" s="159"/>
      <c r="G86" s="159"/>
      <c r="H86" s="159"/>
      <c r="I86" s="159"/>
      <c r="J86" s="159"/>
      <c r="L86" s="159"/>
    </row>
    <row r="87" spans="1:27" s="131" customFormat="1" ht="15" collapsed="1">
      <c r="A87" s="187"/>
      <c r="B87" s="188"/>
      <c r="C87" s="188"/>
    </row>
    <row r="88" spans="1:27" s="131" customFormat="1" ht="15">
      <c r="B88" s="135"/>
      <c r="C88" s="135"/>
    </row>
    <row r="89" spans="1:27" s="131" customFormat="1" ht="11.25" customHeight="1">
      <c r="B89" s="135"/>
      <c r="C89" s="135"/>
    </row>
    <row r="90" spans="1:27" s="193" customFormat="1" ht="17.25" customHeight="1">
      <c r="A90" s="191"/>
      <c r="B90" s="191" t="s">
        <v>201</v>
      </c>
      <c r="C90" s="192" t="s">
        <v>202</v>
      </c>
      <c r="D90" s="192">
        <v>1994</v>
      </c>
      <c r="E90" s="192">
        <v>1995</v>
      </c>
      <c r="F90" s="192">
        <v>1996</v>
      </c>
      <c r="G90" s="192">
        <v>1997</v>
      </c>
      <c r="H90" s="192">
        <v>1998</v>
      </c>
      <c r="I90" s="192">
        <v>1999</v>
      </c>
      <c r="J90" s="192">
        <v>2000</v>
      </c>
      <c r="K90" s="191">
        <v>2001</v>
      </c>
      <c r="L90" s="191">
        <v>2002</v>
      </c>
      <c r="M90" s="191">
        <v>2003</v>
      </c>
      <c r="N90" s="191">
        <v>2004</v>
      </c>
      <c r="O90" s="191">
        <v>2005</v>
      </c>
      <c r="P90" s="191">
        <v>2005</v>
      </c>
      <c r="Q90" s="192">
        <v>2006</v>
      </c>
      <c r="R90" s="192">
        <v>2007</v>
      </c>
      <c r="S90" s="192">
        <v>2007</v>
      </c>
      <c r="T90" s="192">
        <v>2008</v>
      </c>
      <c r="U90" s="192">
        <v>2008</v>
      </c>
      <c r="V90" s="192">
        <v>2009</v>
      </c>
      <c r="W90" s="192">
        <v>2009</v>
      </c>
      <c r="X90" s="192">
        <v>2010</v>
      </c>
      <c r="Y90" s="192">
        <v>2010</v>
      </c>
      <c r="Z90" s="192">
        <v>2011</v>
      </c>
      <c r="AA90" s="192">
        <v>2012</v>
      </c>
    </row>
    <row r="91" spans="1:27" s="197" customFormat="1" ht="17.25" customHeight="1">
      <c r="A91" s="194"/>
      <c r="B91" s="194" t="s">
        <v>203</v>
      </c>
      <c r="C91" s="195" t="s">
        <v>204</v>
      </c>
      <c r="D91" s="195"/>
      <c r="E91" s="195"/>
      <c r="F91" s="195"/>
      <c r="G91" s="195"/>
      <c r="H91" s="195"/>
      <c r="I91" s="195"/>
      <c r="J91" s="195"/>
      <c r="K91" s="196"/>
      <c r="L91" s="196"/>
      <c r="M91" s="196"/>
      <c r="N91" s="196"/>
      <c r="O91" s="196" t="s">
        <v>37</v>
      </c>
      <c r="P91" s="196"/>
      <c r="Q91" s="195"/>
      <c r="R91" s="195"/>
      <c r="S91" s="195"/>
      <c r="T91" s="195"/>
      <c r="U91" s="195"/>
      <c r="V91" s="195"/>
      <c r="W91" s="195"/>
      <c r="X91" s="195"/>
      <c r="Y91" s="195"/>
      <c r="Z91" s="195"/>
      <c r="AA91" s="195" t="s">
        <v>37</v>
      </c>
    </row>
    <row r="92" spans="1:27" s="160" customFormat="1" ht="7.5" customHeight="1">
      <c r="D92" s="159"/>
      <c r="E92" s="159"/>
      <c r="F92" s="159"/>
      <c r="G92" s="159"/>
      <c r="H92" s="159"/>
      <c r="I92" s="159"/>
      <c r="J92" s="159"/>
      <c r="L92" s="159"/>
    </row>
    <row r="93" spans="1:27" s="160" customFormat="1" ht="14.25">
      <c r="A93" s="180" t="s">
        <v>338</v>
      </c>
      <c r="B93" s="180" t="s">
        <v>339</v>
      </c>
      <c r="C93" s="180" t="s">
        <v>339</v>
      </c>
      <c r="D93" s="181">
        <v>1487.3948969135847</v>
      </c>
      <c r="E93" s="181">
        <v>2415.7176805738245</v>
      </c>
      <c r="F93" s="181">
        <v>2128.1512757716037</v>
      </c>
      <c r="G93" s="181">
        <v>1798.481</v>
      </c>
      <c r="H93" s="181">
        <v>1693.1220000000001</v>
      </c>
      <c r="I93" s="181">
        <v>1602.7059999999999</v>
      </c>
      <c r="J93" s="181">
        <v>1770.7380000000001</v>
      </c>
      <c r="K93" s="181">
        <v>1728.53</v>
      </c>
      <c r="L93" s="181">
        <v>1797.7349999999999</v>
      </c>
      <c r="M93" s="181">
        <v>1834.7750000000001</v>
      </c>
      <c r="N93" s="181">
        <v>1875.454</v>
      </c>
      <c r="O93" s="181">
        <v>1874.124</v>
      </c>
      <c r="P93" s="181">
        <v>2093.0590000000002</v>
      </c>
      <c r="Q93" s="181">
        <f>'ÜE-15'!Q81</f>
        <v>2107.547</v>
      </c>
      <c r="R93" s="181">
        <f>'ÜE-15'!R81</f>
        <v>2043.5920000000001</v>
      </c>
      <c r="S93" s="181">
        <f>'ÜE-15'!S81</f>
        <v>1817.8579999999999</v>
      </c>
      <c r="T93" s="181">
        <f>'ÜE-15'!T81</f>
        <v>2041.4069999999999</v>
      </c>
      <c r="U93" s="181">
        <f>'ÜE-15'!U81</f>
        <v>1938.539</v>
      </c>
      <c r="V93" s="181">
        <f>'ÜE-15'!V81</f>
        <v>1987.204</v>
      </c>
      <c r="W93" s="181">
        <f>'ÜE-15'!W81</f>
        <v>2012.519</v>
      </c>
      <c r="X93" s="181">
        <f>'ÜE-15'!X81</f>
        <v>1973.7529999999999</v>
      </c>
      <c r="Y93" s="181">
        <f>'ÜE-15'!Y81</f>
        <v>1937.2360000000001</v>
      </c>
      <c r="Z93" s="181">
        <f>'ÜE-15'!Z81</f>
        <v>1900.2070000000001</v>
      </c>
      <c r="AA93" s="181">
        <f>'ÜE-15'!AB81</f>
        <v>1877.23</v>
      </c>
    </row>
    <row r="94" spans="1:27" s="160" customFormat="1" ht="14.25">
      <c r="A94" s="160" t="s">
        <v>208</v>
      </c>
      <c r="D94" s="159"/>
      <c r="E94" s="159"/>
      <c r="F94" s="159"/>
      <c r="G94" s="159"/>
      <c r="H94" s="159"/>
      <c r="I94" s="159"/>
      <c r="J94" s="159"/>
      <c r="L94" s="159"/>
    </row>
    <row r="95" spans="1:27" s="160" customFormat="1" ht="14.25">
      <c r="A95" s="160" t="s">
        <v>340</v>
      </c>
      <c r="B95" s="160" t="s">
        <v>341</v>
      </c>
      <c r="C95" s="160" t="s">
        <v>342</v>
      </c>
      <c r="D95" s="159">
        <v>213.22209544850037</v>
      </c>
      <c r="E95" s="159">
        <v>862.64800000000002</v>
      </c>
      <c r="F95" s="159">
        <v>1024.7370000000001</v>
      </c>
      <c r="G95" s="159">
        <v>922.09500000000003</v>
      </c>
      <c r="H95" s="159">
        <v>950.524</v>
      </c>
      <c r="I95" s="159">
        <v>948.45315872473702</v>
      </c>
      <c r="J95" s="159">
        <v>1214.2739999999999</v>
      </c>
      <c r="K95" s="159">
        <v>1269.3879999999999</v>
      </c>
      <c r="L95" s="159">
        <v>1399.154</v>
      </c>
      <c r="M95" s="159">
        <v>1441.0419999999999</v>
      </c>
      <c r="N95" s="159">
        <v>1529.271</v>
      </c>
      <c r="O95" s="159">
        <v>1503.8620000000001</v>
      </c>
      <c r="P95" s="159">
        <v>1731.2080000000001</v>
      </c>
      <c r="Q95" s="159">
        <f>'ÜE-15'!Q83</f>
        <v>1694.2809999999999</v>
      </c>
      <c r="R95" s="159">
        <f>'ÜE-15'!R83</f>
        <v>1696.7550000000001</v>
      </c>
      <c r="S95" s="159">
        <f>'ÜE-15'!S83</f>
        <v>1435.057</v>
      </c>
      <c r="T95" s="159">
        <f>'ÜE-15'!T83</f>
        <v>1698.376</v>
      </c>
      <c r="U95" s="159">
        <f>'ÜE-15'!U83</f>
        <v>1561.165</v>
      </c>
      <c r="V95" s="159">
        <f>'ÜE-15'!V83</f>
        <v>1683.048</v>
      </c>
      <c r="W95" s="159">
        <f>'ÜE-15'!W83</f>
        <v>1678.1690000000001</v>
      </c>
      <c r="X95" s="159">
        <f>'ÜE-15'!X83</f>
        <v>1676.616</v>
      </c>
      <c r="Y95" s="159">
        <f>'ÜE-15'!Y83</f>
        <v>1616.7904999999998</v>
      </c>
      <c r="Z95" s="159">
        <f>'ÜE-15'!Z83</f>
        <v>1609.2860000000001</v>
      </c>
      <c r="AA95" s="159">
        <f>'ÜE-15'!AB83</f>
        <v>1579.153</v>
      </c>
    </row>
    <row r="96" spans="1:27" s="160" customFormat="1" ht="14.25">
      <c r="A96" s="160" t="s">
        <v>343</v>
      </c>
      <c r="B96" s="160" t="s">
        <v>344</v>
      </c>
      <c r="C96" s="160" t="s">
        <v>345</v>
      </c>
      <c r="D96" s="159">
        <v>145.78170534072657</v>
      </c>
      <c r="E96" s="159">
        <v>163.09899999999999</v>
      </c>
      <c r="F96" s="159">
        <v>286.94799999999998</v>
      </c>
      <c r="G96" s="159">
        <v>273.59399999999999</v>
      </c>
      <c r="H96" s="159">
        <v>276.11799999999999</v>
      </c>
      <c r="I96" s="159">
        <v>262.005</v>
      </c>
      <c r="J96" s="159">
        <v>201.40600000000001</v>
      </c>
      <c r="K96" s="159">
        <v>80.671000000000006</v>
      </c>
      <c r="L96" s="159">
        <v>2.3029999999999999</v>
      </c>
      <c r="M96" s="159">
        <v>23.811</v>
      </c>
      <c r="N96" s="159">
        <v>26.648</v>
      </c>
      <c r="O96" s="205">
        <v>34.232999999999997</v>
      </c>
      <c r="P96" s="205">
        <v>32.183</v>
      </c>
      <c r="Q96" s="205">
        <f>'ÜE-15'!Q84</f>
        <v>37.433</v>
      </c>
      <c r="R96" s="205">
        <f>'ÜE-15'!R84</f>
        <v>5.3440000000000003</v>
      </c>
      <c r="S96" s="205">
        <f>'ÜE-15'!S84</f>
        <v>23.201000000000001</v>
      </c>
      <c r="T96" s="205">
        <f>'ÜE-15'!T84</f>
        <v>3.0310000000000001</v>
      </c>
      <c r="U96" s="205">
        <f>'ÜE-15'!U84</f>
        <v>19.997</v>
      </c>
      <c r="V96" s="205">
        <f>'ÜE-15'!V84</f>
        <v>1.516</v>
      </c>
      <c r="W96" s="205">
        <f>'ÜE-15'!W84</f>
        <v>0.98799999999999999</v>
      </c>
      <c r="X96" s="205">
        <f>'ÜE-15'!X84</f>
        <v>1.512</v>
      </c>
      <c r="Y96" s="205">
        <f>'ÜE-15'!Y84</f>
        <v>1.474</v>
      </c>
      <c r="Z96" s="205">
        <f>'ÜE-15'!Z84</f>
        <v>1.48</v>
      </c>
      <c r="AA96" s="205">
        <f>'ÜE-15'!AB84</f>
        <v>1.518</v>
      </c>
    </row>
    <row r="97" spans="1:27" s="160" customFormat="1" ht="14.25">
      <c r="A97" s="227" t="s">
        <v>346</v>
      </c>
      <c r="B97" s="227" t="s">
        <v>347</v>
      </c>
      <c r="C97" s="227" t="s">
        <v>348</v>
      </c>
      <c r="D97" s="228">
        <v>127.54082396459378</v>
      </c>
      <c r="E97" s="228">
        <v>121.65432439699715</v>
      </c>
      <c r="F97" s="228">
        <v>111.77081895016823</v>
      </c>
      <c r="G97" s="228">
        <v>124.63391059787939</v>
      </c>
      <c r="H97" s="228">
        <v>125.72400311039729</v>
      </c>
      <c r="I97" s="228">
        <v>137.71502074809413</v>
      </c>
      <c r="J97" s="228">
        <v>137.35400000000001</v>
      </c>
      <c r="K97" s="228">
        <v>129.38399999999999</v>
      </c>
      <c r="L97" s="228">
        <v>154.33799999999999</v>
      </c>
      <c r="M97" s="228">
        <v>144.45400000000001</v>
      </c>
      <c r="N97" s="228">
        <v>124.26300000000001</v>
      </c>
      <c r="O97" s="228">
        <v>123.241</v>
      </c>
      <c r="P97" s="228">
        <v>145.071</v>
      </c>
      <c r="Q97" s="228">
        <f>'ÜE-15'!Q85</f>
        <v>187.96199999999999</v>
      </c>
      <c r="R97" s="228">
        <f>'ÜE-15'!R85</f>
        <v>162.512</v>
      </c>
      <c r="S97" s="228">
        <f>'ÜE-15'!S85</f>
        <v>169.35400000000001</v>
      </c>
      <c r="T97" s="228">
        <f>'ÜE-15'!T85</f>
        <v>162.05600000000001</v>
      </c>
      <c r="U97" s="228">
        <f>'ÜE-15'!U85</f>
        <v>175.45099999999999</v>
      </c>
      <c r="V97" s="228">
        <f>'ÜE-15'!V85</f>
        <v>172.39400000000001</v>
      </c>
      <c r="W97" s="228">
        <f>'ÜE-15'!W85</f>
        <v>178.50899999999999</v>
      </c>
      <c r="X97" s="228">
        <f>'ÜE-15'!X85</f>
        <v>169.07900000000001</v>
      </c>
      <c r="Y97" s="228">
        <f>'ÜE-15'!Y85</f>
        <v>173.59100000000001</v>
      </c>
      <c r="Z97" s="228">
        <f>'ÜE-15'!Z85</f>
        <v>169.65899999999999</v>
      </c>
      <c r="AA97" s="228">
        <f>'ÜE-15'!AB85</f>
        <v>168.631</v>
      </c>
    </row>
    <row r="98" spans="1:27" s="160" customFormat="1" ht="14.25" hidden="1" outlineLevel="1">
      <c r="A98" s="217" t="s">
        <v>349</v>
      </c>
      <c r="B98" s="217"/>
      <c r="C98" s="217"/>
      <c r="D98" s="159">
        <v>755.14341983823022</v>
      </c>
      <c r="E98" s="159">
        <v>111.77081895016823</v>
      </c>
      <c r="F98" s="159">
        <v>0.72672834167859712</v>
      </c>
      <c r="G98" s="203" t="s">
        <v>73</v>
      </c>
      <c r="H98" s="159">
        <v>0</v>
      </c>
      <c r="I98" s="206" t="s">
        <v>73</v>
      </c>
      <c r="J98" s="206" t="s">
        <v>73</v>
      </c>
      <c r="K98" s="206" t="s">
        <v>73</v>
      </c>
      <c r="L98" s="206" t="s">
        <v>73</v>
      </c>
      <c r="M98" s="206" t="s">
        <v>73</v>
      </c>
      <c r="N98" s="206" t="s">
        <v>73</v>
      </c>
      <c r="O98" s="206" t="s">
        <v>73</v>
      </c>
      <c r="P98" s="206" t="s">
        <v>73</v>
      </c>
      <c r="Q98" s="206" t="str">
        <f>'ÜE-15'!Q86</f>
        <v>-</v>
      </c>
      <c r="R98" s="206" t="str">
        <f>'ÜE-15'!R86</f>
        <v>-</v>
      </c>
      <c r="S98" s="206">
        <f>'ÜE-15'!S86</f>
        <v>0</v>
      </c>
      <c r="T98" s="206" t="str">
        <f>'ÜE-15'!T86</f>
        <v>-</v>
      </c>
      <c r="U98" s="206">
        <f>'ÜE-15'!U86</f>
        <v>0</v>
      </c>
      <c r="V98" s="206">
        <f>'ÜE-15'!V86</f>
        <v>0</v>
      </c>
      <c r="W98" s="206">
        <f>'ÜE-15'!W86</f>
        <v>0</v>
      </c>
      <c r="X98" s="206">
        <f>'ÜE-15'!X86</f>
        <v>0</v>
      </c>
      <c r="Y98" s="206">
        <f>'ÜE-15'!Y86</f>
        <v>0</v>
      </c>
      <c r="Z98" s="206">
        <f>'ÜE-15'!Z86</f>
        <v>0</v>
      </c>
      <c r="AA98" s="206">
        <f>'ÜE-15'!AB86</f>
        <v>0</v>
      </c>
    </row>
    <row r="99" spans="1:27" s="160" customFormat="1" ht="14.25" hidden="1" outlineLevel="1">
      <c r="A99" s="217" t="s">
        <v>350</v>
      </c>
      <c r="B99" s="217"/>
      <c r="C99" s="217"/>
      <c r="D99" s="159">
        <v>143.02013764234792</v>
      </c>
      <c r="E99" s="159">
        <v>136.62492823557625</v>
      </c>
      <c r="F99" s="159">
        <v>134.37207037637259</v>
      </c>
      <c r="G99" s="203" t="s">
        <v>73</v>
      </c>
      <c r="H99" s="206" t="s">
        <v>73</v>
      </c>
      <c r="I99" s="206" t="s">
        <v>73</v>
      </c>
      <c r="J99" s="206" t="s">
        <v>73</v>
      </c>
      <c r="K99" s="206" t="s">
        <v>73</v>
      </c>
      <c r="L99" s="206" t="s">
        <v>73</v>
      </c>
      <c r="M99" s="206" t="s">
        <v>73</v>
      </c>
      <c r="N99" s="206" t="s">
        <v>73</v>
      </c>
      <c r="O99" s="206" t="s">
        <v>73</v>
      </c>
      <c r="P99" s="206" t="s">
        <v>73</v>
      </c>
      <c r="Q99" s="206" t="str">
        <f>'ÜE-15'!Q87</f>
        <v>-</v>
      </c>
      <c r="R99" s="206" t="str">
        <f>'ÜE-15'!R87</f>
        <v>-</v>
      </c>
      <c r="S99" s="206">
        <f>'ÜE-15'!S87</f>
        <v>0</v>
      </c>
      <c r="T99" s="206" t="str">
        <f>'ÜE-15'!T87</f>
        <v>-</v>
      </c>
      <c r="U99" s="206">
        <f>'ÜE-15'!U87</f>
        <v>0</v>
      </c>
      <c r="V99" s="206">
        <f>'ÜE-15'!V87</f>
        <v>0</v>
      </c>
      <c r="W99" s="206">
        <f>'ÜE-15'!W87</f>
        <v>0</v>
      </c>
      <c r="X99" s="206">
        <f>'ÜE-15'!X87</f>
        <v>0</v>
      </c>
      <c r="Y99" s="206">
        <f>'ÜE-15'!Y87</f>
        <v>0</v>
      </c>
      <c r="Z99" s="206">
        <f>'ÜE-15'!Z87</f>
        <v>0</v>
      </c>
      <c r="AA99" s="206">
        <f>'ÜE-15'!AB87</f>
        <v>0</v>
      </c>
    </row>
    <row r="100" spans="1:27" s="160" customFormat="1" ht="7.5" customHeight="1" collapsed="1">
      <c r="D100" s="159"/>
      <c r="E100" s="159"/>
      <c r="F100" s="159"/>
      <c r="G100" s="159"/>
      <c r="H100" s="159"/>
      <c r="I100" s="159"/>
      <c r="J100" s="159"/>
      <c r="K100" s="180"/>
      <c r="L100" s="159"/>
    </row>
    <row r="101" spans="1:27" s="160" customFormat="1" ht="14.25">
      <c r="A101" s="237" t="s">
        <v>351</v>
      </c>
      <c r="B101" s="237" t="s">
        <v>352</v>
      </c>
      <c r="C101" s="237" t="s">
        <v>352</v>
      </c>
      <c r="D101" s="238">
        <v>19.040282551979242</v>
      </c>
      <c r="E101" s="238">
        <v>14.67991250190766</v>
      </c>
      <c r="F101" s="238">
        <v>10.17419678350036</v>
      </c>
      <c r="G101" s="238">
        <v>5.6529999999999996</v>
      </c>
      <c r="H101" s="238">
        <v>3.1709999999999998</v>
      </c>
      <c r="I101" s="238">
        <v>1.8640000000000001</v>
      </c>
      <c r="J101" s="238">
        <v>2.4460000000000002</v>
      </c>
      <c r="K101" s="238">
        <v>1.079</v>
      </c>
      <c r="L101" s="238">
        <v>1.552</v>
      </c>
      <c r="M101" s="239">
        <v>2.1080000000000001</v>
      </c>
      <c r="N101" s="239">
        <v>1.9179999999999999</v>
      </c>
      <c r="O101" s="239">
        <v>0.21099999999999999</v>
      </c>
      <c r="P101" s="239">
        <v>0.05</v>
      </c>
      <c r="Q101" s="239">
        <f>'ÜE-15'!Q89</f>
        <v>0.11899999999999999</v>
      </c>
      <c r="R101" s="239">
        <f>'ÜE-15'!R89</f>
        <v>0.184</v>
      </c>
      <c r="S101" s="239">
        <f>'ÜE-15'!S89</f>
        <v>3.7999999999999999E-2</v>
      </c>
      <c r="T101" s="239">
        <f>'ÜE-15'!T89</f>
        <v>0.184</v>
      </c>
      <c r="U101" s="239">
        <f>'ÜE-15'!U89</f>
        <v>2.4E-2</v>
      </c>
      <c r="V101" s="239">
        <f>'ÜE-15'!V89</f>
        <v>6.8000000000000005E-2</v>
      </c>
      <c r="W101" s="239">
        <f>'ÜE-15'!W89</f>
        <v>0</v>
      </c>
      <c r="X101" s="239">
        <f>'ÜE-15'!X89</f>
        <v>10.067</v>
      </c>
      <c r="Y101" s="239">
        <f>'ÜE-15'!Y89</f>
        <v>510.32299999999998</v>
      </c>
      <c r="Z101" s="239">
        <f>'ÜE-15'!Z89</f>
        <v>20.443000000000001</v>
      </c>
      <c r="AA101" s="239">
        <f>'ÜE-15'!AB89</f>
        <v>20.053999999999998</v>
      </c>
    </row>
    <row r="102" spans="1:27" s="160" customFormat="1" ht="14.25" hidden="1" outlineLevel="1">
      <c r="A102" s="160" t="s">
        <v>353</v>
      </c>
      <c r="D102" s="159"/>
      <c r="E102" s="159"/>
      <c r="F102" s="159"/>
      <c r="G102" s="159"/>
      <c r="H102" s="159"/>
      <c r="I102" s="159"/>
      <c r="J102" s="159"/>
      <c r="K102" s="159"/>
      <c r="L102" s="159"/>
      <c r="Q102" s="160">
        <f>'ÜE-15'!Q90</f>
        <v>0</v>
      </c>
      <c r="R102" s="160">
        <f>'ÜE-15'!R90</f>
        <v>0</v>
      </c>
      <c r="S102" s="160">
        <f>'ÜE-15'!S90</f>
        <v>0</v>
      </c>
      <c r="T102" s="160">
        <f>'ÜE-15'!T90</f>
        <v>0</v>
      </c>
      <c r="U102" s="160">
        <f>'ÜE-15'!U90</f>
        <v>0</v>
      </c>
      <c r="V102" s="160">
        <f>'ÜE-15'!V90</f>
        <v>0</v>
      </c>
      <c r="W102" s="160">
        <f>'ÜE-15'!W90</f>
        <v>0</v>
      </c>
      <c r="X102" s="160">
        <f>'ÜE-15'!X90</f>
        <v>0</v>
      </c>
      <c r="Y102" s="160">
        <f>'ÜE-15'!Y90</f>
        <v>0</v>
      </c>
      <c r="Z102" s="160">
        <f>'ÜE-15'!Z90</f>
        <v>0</v>
      </c>
      <c r="AA102" s="160">
        <f>'ÜE-15'!AB90</f>
        <v>0</v>
      </c>
    </row>
    <row r="103" spans="1:27" s="160" customFormat="1" ht="27.75" hidden="1" customHeight="1" outlineLevel="1">
      <c r="A103" s="200" t="s">
        <v>438</v>
      </c>
      <c r="B103" s="200" t="s">
        <v>354</v>
      </c>
      <c r="C103" s="200" t="s">
        <v>355</v>
      </c>
      <c r="D103" s="159" t="s">
        <v>73</v>
      </c>
      <c r="E103" s="203" t="s">
        <v>73</v>
      </c>
      <c r="F103" s="203" t="s">
        <v>73</v>
      </c>
      <c r="G103" s="203" t="s">
        <v>73</v>
      </c>
      <c r="H103" s="206" t="s">
        <v>73</v>
      </c>
      <c r="I103" s="159">
        <v>0</v>
      </c>
      <c r="J103" s="159" t="s">
        <v>73</v>
      </c>
      <c r="K103" s="206" t="s">
        <v>73</v>
      </c>
      <c r="L103" s="159">
        <v>0</v>
      </c>
      <c r="M103" s="160">
        <v>0</v>
      </c>
      <c r="N103" s="160">
        <v>0</v>
      </c>
      <c r="O103" s="160">
        <v>0</v>
      </c>
      <c r="P103" s="160">
        <v>0</v>
      </c>
      <c r="Q103" s="160">
        <f>'ÜE-15'!Q91</f>
        <v>0</v>
      </c>
      <c r="R103" s="160">
        <f>'ÜE-15'!R91</f>
        <v>0</v>
      </c>
      <c r="S103" s="160">
        <f>'ÜE-15'!S91</f>
        <v>0</v>
      </c>
      <c r="T103" s="160">
        <f>'ÜE-15'!T91</f>
        <v>0</v>
      </c>
      <c r="U103" s="160">
        <f>'ÜE-15'!U91</f>
        <v>0</v>
      </c>
      <c r="V103" s="160">
        <f>'ÜE-15'!V91</f>
        <v>1E-3</v>
      </c>
      <c r="W103" s="160">
        <f>'ÜE-15'!W91</f>
        <v>0</v>
      </c>
      <c r="X103" s="160">
        <f>'ÜE-15'!X91</f>
        <v>1E-3</v>
      </c>
      <c r="Y103" s="160">
        <f>'ÜE-15'!Y91</f>
        <v>510</v>
      </c>
      <c r="Z103" s="160">
        <f>'ÜE-15'!Z91</f>
        <v>0</v>
      </c>
      <c r="AA103" s="160">
        <f>'ÜE-15'!AB91</f>
        <v>0</v>
      </c>
    </row>
    <row r="104" spans="1:27" s="160" customFormat="1" ht="7.5" customHeight="1" collapsed="1">
      <c r="A104" s="229"/>
      <c r="B104" s="229"/>
      <c r="C104" s="229"/>
      <c r="D104" s="230"/>
      <c r="E104" s="230"/>
      <c r="F104" s="230"/>
      <c r="G104" s="230"/>
      <c r="H104" s="230"/>
      <c r="I104" s="230"/>
      <c r="J104" s="230"/>
      <c r="K104" s="230"/>
      <c r="L104" s="230"/>
      <c r="M104" s="229"/>
      <c r="N104" s="229"/>
      <c r="O104" s="229"/>
      <c r="P104" s="229"/>
      <c r="Q104" s="229"/>
      <c r="R104" s="229"/>
      <c r="S104" s="229"/>
      <c r="T104" s="229"/>
      <c r="U104" s="229"/>
      <c r="V104" s="229"/>
      <c r="W104" s="229"/>
      <c r="X104" s="229"/>
      <c r="Y104" s="229"/>
      <c r="Z104" s="229"/>
      <c r="AA104" s="229"/>
    </row>
    <row r="105" spans="1:27" s="160" customFormat="1" ht="14.25">
      <c r="A105" s="180" t="s">
        <v>356</v>
      </c>
      <c r="B105" s="180" t="s">
        <v>357</v>
      </c>
      <c r="C105" s="180" t="s">
        <v>357</v>
      </c>
      <c r="D105" s="181">
        <v>1526.2021903592217</v>
      </c>
      <c r="E105" s="181">
        <v>1216.3978983016357</v>
      </c>
      <c r="F105" s="181">
        <v>1097.5051416030174</v>
      </c>
      <c r="G105" s="181">
        <v>906.86400000000003</v>
      </c>
      <c r="H105" s="181">
        <v>891.60799999999995</v>
      </c>
      <c r="I105" s="181">
        <v>832.96799999999996</v>
      </c>
      <c r="J105" s="181">
        <v>919.50099999999998</v>
      </c>
      <c r="K105" s="181">
        <v>917.40700000000004</v>
      </c>
      <c r="L105" s="181">
        <v>872.30100000000004</v>
      </c>
      <c r="M105" s="181">
        <v>759.29</v>
      </c>
      <c r="N105" s="181">
        <v>755.75300000000004</v>
      </c>
      <c r="O105" s="181">
        <v>1117.491</v>
      </c>
      <c r="P105" s="181">
        <v>600.66099999999994</v>
      </c>
      <c r="Q105" s="181">
        <f>'ÜE-15'!Q93</f>
        <v>1207.421</v>
      </c>
      <c r="R105" s="181">
        <f>'ÜE-15'!R93</f>
        <v>972.92700000000002</v>
      </c>
      <c r="S105" s="181">
        <f>'ÜE-15'!S93</f>
        <v>726.49400000000003</v>
      </c>
      <c r="T105" s="181">
        <f>'ÜE-15'!T93</f>
        <v>969.904</v>
      </c>
      <c r="U105" s="181">
        <f>'ÜE-15'!U93</f>
        <v>2175.3229999999999</v>
      </c>
      <c r="V105" s="181">
        <f>'ÜE-15'!V93</f>
        <v>11308.611000000001</v>
      </c>
      <c r="W105" s="181">
        <f>'ÜE-15'!W93</f>
        <v>5731.5190000000002</v>
      </c>
      <c r="X105" s="181">
        <f>'ÜE-15'!X93</f>
        <v>1426.1559999999999</v>
      </c>
      <c r="Y105" s="181">
        <f>'ÜE-15'!Y93</f>
        <v>1015.277</v>
      </c>
      <c r="Z105" s="181">
        <f>'ÜE-15'!Z93</f>
        <v>993.87400000000002</v>
      </c>
      <c r="AA105" s="181">
        <f>'ÜE-15'!AB93</f>
        <v>2873.9580000000001</v>
      </c>
    </row>
    <row r="106" spans="1:27" s="160" customFormat="1" ht="14.25">
      <c r="A106" s="160" t="s">
        <v>208</v>
      </c>
      <c r="D106" s="159"/>
      <c r="E106" s="159"/>
      <c r="F106" s="159"/>
      <c r="G106" s="159"/>
      <c r="H106" s="159"/>
      <c r="I106" s="159"/>
      <c r="J106" s="159"/>
      <c r="K106" s="159"/>
      <c r="L106" s="159"/>
    </row>
    <row r="107" spans="1:27" s="160" customFormat="1" ht="14.25" hidden="1" outlineLevel="1">
      <c r="A107" s="217" t="s">
        <v>358</v>
      </c>
      <c r="B107" s="217"/>
      <c r="C107" s="217"/>
      <c r="D107" s="159">
        <v>15.261295175250538</v>
      </c>
      <c r="E107" s="159">
        <v>12.717745979375449</v>
      </c>
      <c r="F107" s="159">
        <v>12.717745979375449</v>
      </c>
      <c r="G107" s="159">
        <v>11.627653466857554</v>
      </c>
      <c r="H107" s="159">
        <v>12.64507314520759</v>
      </c>
      <c r="I107" s="159">
        <v>11.845671969361133</v>
      </c>
      <c r="J107" s="159">
        <v>10</v>
      </c>
      <c r="K107" s="159">
        <v>5.1597712259180391</v>
      </c>
      <c r="L107" s="206" t="s">
        <v>73</v>
      </c>
      <c r="M107" s="219" t="s">
        <v>73</v>
      </c>
      <c r="N107" s="219" t="s">
        <v>73</v>
      </c>
      <c r="O107" s="219" t="s">
        <v>73</v>
      </c>
      <c r="P107" s="219" t="s">
        <v>73</v>
      </c>
      <c r="Q107" s="219" t="str">
        <f>'ÜE-15'!Q95</f>
        <v>-</v>
      </c>
      <c r="R107" s="219" t="str">
        <f>'ÜE-15'!R95</f>
        <v>-</v>
      </c>
      <c r="S107" s="219" t="str">
        <f>'ÜE-15'!S95</f>
        <v>-</v>
      </c>
      <c r="T107" s="219" t="str">
        <f>'ÜE-15'!T95</f>
        <v>-</v>
      </c>
      <c r="U107" s="219" t="str">
        <f>'ÜE-15'!U95</f>
        <v>-</v>
      </c>
      <c r="V107" s="219" t="str">
        <f>'ÜE-15'!V95</f>
        <v>-</v>
      </c>
      <c r="W107" s="219" t="str">
        <f>'ÜE-15'!W95</f>
        <v>-</v>
      </c>
      <c r="X107" s="219" t="str">
        <f>'ÜE-15'!X95</f>
        <v>-</v>
      </c>
      <c r="Y107" s="219" t="str">
        <f>'ÜE-15'!Y95</f>
        <v>-</v>
      </c>
      <c r="Z107" s="219" t="str">
        <f>'ÜE-15'!Z95</f>
        <v>-</v>
      </c>
      <c r="AA107" s="219" t="str">
        <f>'ÜE-15'!AB95</f>
        <v>-</v>
      </c>
    </row>
    <row r="108" spans="1:27" s="160" customFormat="1" ht="14.25" hidden="1" outlineLevel="1">
      <c r="A108" s="217" t="s">
        <v>359</v>
      </c>
      <c r="B108" s="217"/>
      <c r="C108" s="217"/>
      <c r="D108" s="159">
        <v>77.033204217931285</v>
      </c>
      <c r="E108" s="159">
        <v>45.783885525751614</v>
      </c>
      <c r="F108" s="159">
        <v>25.653510461254477</v>
      </c>
      <c r="G108" s="159">
        <v>31.83070136552255</v>
      </c>
      <c r="H108" s="159">
        <v>53.559878781712605</v>
      </c>
      <c r="I108" s="159">
        <v>54.213934289223339</v>
      </c>
      <c r="J108" s="159">
        <v>46</v>
      </c>
      <c r="K108" s="159">
        <v>32.920793878040449</v>
      </c>
      <c r="L108" s="159">
        <v>60</v>
      </c>
      <c r="M108" s="219" t="s">
        <v>73</v>
      </c>
      <c r="N108" s="219" t="s">
        <v>73</v>
      </c>
      <c r="O108" s="199" t="s">
        <v>73</v>
      </c>
      <c r="P108" s="219" t="s">
        <v>73</v>
      </c>
      <c r="Q108" s="219" t="str">
        <f>'ÜE-15'!Q96</f>
        <v>-</v>
      </c>
      <c r="R108" s="219" t="str">
        <f>'ÜE-15'!R96</f>
        <v>-</v>
      </c>
      <c r="S108" s="219" t="str">
        <f>'ÜE-15'!S96</f>
        <v>-</v>
      </c>
      <c r="T108" s="219" t="str">
        <f>'ÜE-15'!T96</f>
        <v>-</v>
      </c>
      <c r="U108" s="219" t="str">
        <f>'ÜE-15'!U96</f>
        <v>-</v>
      </c>
      <c r="V108" s="219" t="str">
        <f>'ÜE-15'!V96</f>
        <v>-</v>
      </c>
      <c r="W108" s="219" t="str">
        <f>'ÜE-15'!W96</f>
        <v>-</v>
      </c>
      <c r="X108" s="219" t="str">
        <f>'ÜE-15'!X96</f>
        <v>-</v>
      </c>
      <c r="Y108" s="219" t="str">
        <f>'ÜE-15'!Y96</f>
        <v>-</v>
      </c>
      <c r="Z108" s="219" t="str">
        <f>'ÜE-15'!Z96</f>
        <v>-</v>
      </c>
      <c r="AA108" s="219" t="str">
        <f>'ÜE-15'!AB96</f>
        <v>-</v>
      </c>
    </row>
    <row r="109" spans="1:27" s="160" customFormat="1" ht="14.25" collapsed="1">
      <c r="A109" s="160" t="s">
        <v>360</v>
      </c>
      <c r="B109" s="217"/>
      <c r="C109" s="217"/>
      <c r="D109" s="159"/>
      <c r="E109" s="159"/>
      <c r="F109" s="159"/>
      <c r="G109" s="159"/>
      <c r="H109" s="159"/>
      <c r="I109" s="159"/>
      <c r="J109" s="159"/>
      <c r="K109" s="207">
        <v>90.641000000000005</v>
      </c>
      <c r="L109" s="207">
        <v>75.680999999999997</v>
      </c>
      <c r="M109" s="207">
        <v>145.88999999999999</v>
      </c>
      <c r="N109" s="207">
        <v>147.75</v>
      </c>
      <c r="O109" s="207"/>
      <c r="P109" s="207">
        <v>118.37</v>
      </c>
      <c r="Q109" s="207">
        <f>'ÜE-15'!Q97</f>
        <v>115.628</v>
      </c>
      <c r="R109" s="207">
        <f>'ÜE-15'!R97</f>
        <v>0</v>
      </c>
      <c r="S109" s="207">
        <f>'ÜE-15'!S97</f>
        <v>134.94300000000001</v>
      </c>
      <c r="T109" s="207">
        <f>'ÜE-15'!T97</f>
        <v>0</v>
      </c>
      <c r="U109" s="207">
        <f>'ÜE-15'!U97</f>
        <v>119.209</v>
      </c>
      <c r="V109" s="207">
        <f>'ÜE-15'!V97</f>
        <v>78.700999999999993</v>
      </c>
      <c r="W109" s="207">
        <f>'ÜE-15'!W97</f>
        <v>58.152000000000001</v>
      </c>
      <c r="X109" s="207">
        <f>'ÜE-15'!X97</f>
        <v>95.701999999999998</v>
      </c>
      <c r="Y109" s="207">
        <f>'ÜE-15'!Y97</f>
        <v>76.941000000000003</v>
      </c>
      <c r="Z109" s="207">
        <f>'ÜE-15'!Z97</f>
        <v>102.35</v>
      </c>
      <c r="AA109" s="207">
        <f>'ÜE-15'!AB97</f>
        <v>95.5</v>
      </c>
    </row>
    <row r="110" spans="1:27" s="160" customFormat="1" ht="14.25">
      <c r="A110" s="160" t="s">
        <v>361</v>
      </c>
      <c r="B110" s="160" t="s">
        <v>362</v>
      </c>
      <c r="C110" s="160" t="s">
        <v>363</v>
      </c>
      <c r="D110" s="159" t="s">
        <v>73</v>
      </c>
      <c r="E110" s="203" t="s">
        <v>73</v>
      </c>
      <c r="F110" s="203" t="s">
        <v>73</v>
      </c>
      <c r="G110" s="199" t="s">
        <v>73</v>
      </c>
      <c r="H110" s="219" t="s">
        <v>73</v>
      </c>
      <c r="I110" s="219" t="s">
        <v>73</v>
      </c>
      <c r="J110" s="219" t="s">
        <v>73</v>
      </c>
      <c r="K110" s="219" t="s">
        <v>73</v>
      </c>
      <c r="L110" s="219" t="s">
        <v>73</v>
      </c>
      <c r="M110" s="205">
        <v>68.281999999999996</v>
      </c>
      <c r="N110" s="205">
        <v>80.766000000000005</v>
      </c>
      <c r="O110" s="205">
        <v>66.808999999999997</v>
      </c>
      <c r="P110" s="205">
        <v>84.296000000000006</v>
      </c>
      <c r="Q110" s="205">
        <f>'ÜE-15'!Q98</f>
        <v>102.89</v>
      </c>
      <c r="R110" s="205">
        <f>'ÜE-15'!R98</f>
        <v>63.014000000000003</v>
      </c>
      <c r="S110" s="205">
        <f>'ÜE-15'!S98</f>
        <v>42.505000000000003</v>
      </c>
      <c r="T110" s="205">
        <f>'ÜE-15'!T98</f>
        <v>72.709999999999994</v>
      </c>
      <c r="U110" s="205">
        <f>'ÜE-15'!U98</f>
        <v>54.398000000000003</v>
      </c>
      <c r="V110" s="205">
        <f>'ÜE-15'!V98</f>
        <v>126.43600000000001</v>
      </c>
      <c r="W110" s="205">
        <f>'ÜE-15'!W98</f>
        <v>96.02</v>
      </c>
      <c r="X110" s="205">
        <f>'ÜE-15'!X98</f>
        <v>108.377</v>
      </c>
      <c r="Y110" s="205">
        <f>'ÜE-15'!Y98</f>
        <v>110.71</v>
      </c>
      <c r="Z110" s="205">
        <f>'ÜE-15'!Z98</f>
        <v>106.13500000000001</v>
      </c>
      <c r="AA110" s="205">
        <f>'ÜE-15'!AB98</f>
        <v>109.748</v>
      </c>
    </row>
    <row r="111" spans="1:27" s="160" customFormat="1" ht="14.25" hidden="1" outlineLevel="1">
      <c r="A111" s="160" t="s">
        <v>364</v>
      </c>
      <c r="B111" s="160" t="s">
        <v>365</v>
      </c>
      <c r="C111" s="160" t="s">
        <v>366</v>
      </c>
      <c r="D111" s="159">
        <v>1026.8671467918577</v>
      </c>
      <c r="E111" s="206">
        <v>734.14097076371877</v>
      </c>
      <c r="F111" s="206">
        <v>698.09524501646035</v>
      </c>
      <c r="G111" s="207">
        <v>596.86198702063177</v>
      </c>
      <c r="H111" s="207">
        <v>501.80591992907131</v>
      </c>
      <c r="I111" s="207">
        <v>546.57238577647286</v>
      </c>
      <c r="J111" s="207">
        <v>599.34199999999998</v>
      </c>
      <c r="K111" s="207">
        <v>534.11400000000003</v>
      </c>
      <c r="L111" s="207">
        <v>532.99099999999999</v>
      </c>
      <c r="M111" s="207">
        <v>380.226</v>
      </c>
      <c r="N111" s="207">
        <v>322.10199999999998</v>
      </c>
      <c r="O111" s="207">
        <f>815.128+20.873</f>
        <v>836.00100000000009</v>
      </c>
      <c r="P111" s="207">
        <f>313.631</f>
        <v>313.63099999999997</v>
      </c>
      <c r="Q111" s="207">
        <f>'ÜE-15'!Q99</f>
        <v>852.601</v>
      </c>
      <c r="R111" s="207">
        <f>'ÜE-15'!R99</f>
        <v>647.50300000000004</v>
      </c>
      <c r="S111" s="207">
        <f>'ÜE-15'!S99</f>
        <v>440.89100000000002</v>
      </c>
      <c r="T111" s="207">
        <f>'ÜE-15'!T99</f>
        <v>657.59700000000009</v>
      </c>
      <c r="U111" s="207">
        <f>'ÜE-15'!U99</f>
        <v>467.37700000000001</v>
      </c>
      <c r="V111" s="207">
        <f>'ÜE-15'!V99</f>
        <v>589.30399999999997</v>
      </c>
      <c r="W111" s="207">
        <f>'ÜE-15'!W99</f>
        <v>517.65700000000004</v>
      </c>
      <c r="X111" s="207">
        <f>'ÜE-15'!X99</f>
        <v>553.654</v>
      </c>
      <c r="Y111" s="207">
        <f>'ÜE-15'!Y99</f>
        <v>171.47900000000001</v>
      </c>
      <c r="Z111" s="207">
        <f>'ÜE-15'!Z99</f>
        <v>543.6049999999999</v>
      </c>
      <c r="AA111" s="207">
        <f>'ÜE-15'!AB99</f>
        <v>569.3549999999999</v>
      </c>
    </row>
    <row r="112" spans="1:27" s="160" customFormat="1" ht="14.25" collapsed="1">
      <c r="A112" s="160" t="s">
        <v>367</v>
      </c>
      <c r="D112" s="159"/>
      <c r="E112" s="206"/>
      <c r="F112" s="206"/>
      <c r="G112" s="207"/>
      <c r="H112" s="207"/>
      <c r="I112" s="207"/>
      <c r="J112" s="207"/>
      <c r="K112" s="207">
        <v>591.57100000000003</v>
      </c>
      <c r="L112" s="207">
        <v>594.16899999999998</v>
      </c>
      <c r="M112" s="207">
        <v>442.94299999999998</v>
      </c>
      <c r="N112" s="207">
        <v>445.53500000000003</v>
      </c>
      <c r="O112" s="207"/>
      <c r="P112" s="207">
        <v>364.29199999999997</v>
      </c>
      <c r="Q112" s="207">
        <f>'ÜE-15'!Q100</f>
        <v>955.60199999999998</v>
      </c>
      <c r="R112" s="207">
        <f>'ÜE-15'!R100</f>
        <v>0</v>
      </c>
      <c r="S112" s="207">
        <f>'ÜE-15'!S100</f>
        <v>527.63900000000001</v>
      </c>
      <c r="T112" s="207">
        <f>'ÜE-15'!T100</f>
        <v>0</v>
      </c>
      <c r="U112" s="207">
        <f>'ÜE-15'!U100</f>
        <v>578.15899999999999</v>
      </c>
      <c r="V112" s="207">
        <f>'ÜE-15'!V100</f>
        <v>0</v>
      </c>
      <c r="W112" s="207">
        <f>'ÜE-15'!W100</f>
        <v>647.96799999999996</v>
      </c>
      <c r="X112" s="207">
        <f>'ÜE-15'!X100</f>
        <v>660.25400000000002</v>
      </c>
      <c r="Y112" s="207">
        <f>'ÜE-15'!Y100</f>
        <v>260.68799999999999</v>
      </c>
      <c r="Z112" s="207">
        <f>'ÜE-15'!Z100</f>
        <v>713.21600000000001</v>
      </c>
      <c r="AA112" s="207">
        <f>'ÜE-15'!AB100</f>
        <v>703.77499999999998</v>
      </c>
    </row>
    <row r="113" spans="1:27" s="160" customFormat="1" ht="14.25">
      <c r="A113" s="227" t="s">
        <v>368</v>
      </c>
      <c r="B113" s="227"/>
      <c r="C113" s="240" t="s">
        <v>369</v>
      </c>
      <c r="D113" s="228"/>
      <c r="E113" s="231"/>
      <c r="F113" s="231"/>
      <c r="G113" s="241"/>
      <c r="H113" s="241"/>
      <c r="I113" s="241"/>
      <c r="J113" s="241"/>
      <c r="K113" s="242" t="s">
        <v>73</v>
      </c>
      <c r="L113" s="242" t="s">
        <v>73</v>
      </c>
      <c r="M113" s="242" t="s">
        <v>73</v>
      </c>
      <c r="N113" s="242" t="s">
        <v>73</v>
      </c>
      <c r="O113" s="242" t="s">
        <v>73</v>
      </c>
      <c r="P113" s="242" t="s">
        <v>73</v>
      </c>
      <c r="Q113" s="242" t="str">
        <f>'ÜE-15'!Q101</f>
        <v>-</v>
      </c>
      <c r="R113" s="242" t="str">
        <f>'ÜE-15'!R101</f>
        <v>-</v>
      </c>
      <c r="S113" s="242" t="str">
        <f>'ÜE-15'!S101</f>
        <v>-</v>
      </c>
      <c r="T113" s="242" t="str">
        <f>'ÜE-15'!T101</f>
        <v>-</v>
      </c>
      <c r="U113" s="242" t="str">
        <f>'ÜE-15'!U101</f>
        <v>-</v>
      </c>
      <c r="V113" s="242">
        <f>'ÜE-15'!V101</f>
        <v>10303.005999999999</v>
      </c>
      <c r="W113" s="242">
        <f>'ÜE-15'!W101</f>
        <v>4895.5649999999996</v>
      </c>
      <c r="X113" s="242">
        <f>'ÜE-15'!X101</f>
        <v>503.00900000000001</v>
      </c>
      <c r="Y113" s="242">
        <f>'ÜE-15'!Y101</f>
        <v>528.14200000000005</v>
      </c>
      <c r="Z113" s="242">
        <f>'ÜE-15'!Z101</f>
        <v>2.8959999999999999</v>
      </c>
      <c r="AA113" s="242">
        <f>'ÜE-15'!AB101</f>
        <v>1892.8320000000001</v>
      </c>
    </row>
    <row r="114" spans="1:27" s="160" customFormat="1" ht="14.25" hidden="1" outlineLevel="1">
      <c r="A114" s="163" t="s">
        <v>370</v>
      </c>
      <c r="B114" s="163" t="s">
        <v>371</v>
      </c>
      <c r="C114" s="163" t="s">
        <v>372</v>
      </c>
      <c r="D114" s="201" t="s">
        <v>73</v>
      </c>
      <c r="E114" s="201">
        <v>51.089002420005372</v>
      </c>
      <c r="F114" s="201">
        <v>54.504625625894782</v>
      </c>
      <c r="G114" s="201">
        <v>63.225365726037943</v>
      </c>
      <c r="H114" s="201">
        <v>64.388131072723695</v>
      </c>
      <c r="I114" s="201">
        <v>67.440390107773808</v>
      </c>
      <c r="J114" s="201">
        <v>63</v>
      </c>
      <c r="K114" s="201">
        <v>74.998364861231224</v>
      </c>
      <c r="L114" s="201">
        <v>83</v>
      </c>
      <c r="M114" s="216">
        <v>72.287999999999997</v>
      </c>
      <c r="N114" s="216">
        <v>50.898000000000003</v>
      </c>
      <c r="O114" s="216">
        <v>2E-3</v>
      </c>
      <c r="P114" s="216">
        <v>0</v>
      </c>
      <c r="Q114" s="216">
        <f>'ÜE-15'!Q102</f>
        <v>0</v>
      </c>
      <c r="R114" s="216">
        <f>'ÜE-15'!R102</f>
        <v>0</v>
      </c>
      <c r="S114" s="216">
        <f>'ÜE-15'!S102</f>
        <v>0</v>
      </c>
      <c r="T114" s="216">
        <f>'ÜE-15'!T102</f>
        <v>0</v>
      </c>
      <c r="U114" s="216">
        <f>'ÜE-15'!U102</f>
        <v>0</v>
      </c>
      <c r="V114" s="216">
        <f>'ÜE-15'!V102</f>
        <v>0</v>
      </c>
      <c r="W114" s="216">
        <f>'ÜE-15'!W102</f>
        <v>0</v>
      </c>
      <c r="X114" s="216">
        <f>'ÜE-15'!X102</f>
        <v>0</v>
      </c>
      <c r="Y114" s="216">
        <f>'ÜE-15'!Y102</f>
        <v>0</v>
      </c>
      <c r="Z114" s="216">
        <f>'ÜE-15'!Z102</f>
        <v>0</v>
      </c>
      <c r="AA114" s="216">
        <f>'ÜE-15'!AB102</f>
        <v>0</v>
      </c>
    </row>
    <row r="115" spans="1:27" s="160" customFormat="1" ht="7.5" customHeight="1" collapsed="1"/>
    <row r="116" spans="1:27" s="160" customFormat="1" ht="14.25">
      <c r="A116" s="180" t="s">
        <v>373</v>
      </c>
      <c r="B116" s="180" t="s">
        <v>374</v>
      </c>
      <c r="C116" s="180" t="s">
        <v>374</v>
      </c>
      <c r="D116" s="181">
        <v>451.9523556899195</v>
      </c>
      <c r="E116" s="181">
        <v>270.70630727527742</v>
      </c>
      <c r="F116" s="181">
        <v>240.76509959811921</v>
      </c>
      <c r="G116" s="181">
        <v>277.596</v>
      </c>
      <c r="H116" s="181">
        <v>314.82900000000001</v>
      </c>
      <c r="I116" s="181">
        <v>339.94400000000002</v>
      </c>
      <c r="J116" s="181">
        <v>311.798</v>
      </c>
      <c r="K116" s="181">
        <v>330.05599999999998</v>
      </c>
      <c r="L116" s="181">
        <v>346.428</v>
      </c>
      <c r="M116" s="181">
        <v>357.27300000000002</v>
      </c>
      <c r="N116" s="181">
        <v>387.78100000000001</v>
      </c>
      <c r="O116" s="181">
        <v>472.58800000000002</v>
      </c>
      <c r="P116" s="181">
        <v>424.75200000000001</v>
      </c>
      <c r="Q116" s="181">
        <f>'ÜE-15'!Q104</f>
        <v>442.24</v>
      </c>
      <c r="R116" s="181">
        <f>'ÜE-15'!R104</f>
        <v>532.02300000000002</v>
      </c>
      <c r="S116" s="181">
        <f>'ÜE-15'!S104</f>
        <v>459.03899999999999</v>
      </c>
      <c r="T116" s="181">
        <f>'ÜE-15'!T104</f>
        <v>546.14300000000003</v>
      </c>
      <c r="U116" s="181">
        <f>'ÜE-15'!U104</f>
        <v>501.20400000000001</v>
      </c>
      <c r="V116" s="181">
        <f>'ÜE-15'!V104</f>
        <v>681.31899999999996</v>
      </c>
      <c r="W116" s="181">
        <f>'ÜE-15'!W104</f>
        <v>623.00400000000002</v>
      </c>
      <c r="X116" s="181">
        <f>'ÜE-15'!X104</f>
        <v>625.84699999999998</v>
      </c>
      <c r="Y116" s="181">
        <f>'ÜE-15'!Y104</f>
        <v>613.73299999999995</v>
      </c>
      <c r="Z116" s="181">
        <f>'ÜE-15'!Z104</f>
        <v>649.45399999999995</v>
      </c>
      <c r="AA116" s="181">
        <f>'ÜE-15'!AB104</f>
        <v>770.44799999999998</v>
      </c>
    </row>
    <row r="117" spans="1:27" s="160" customFormat="1" ht="14.25">
      <c r="A117" s="160" t="s">
        <v>208</v>
      </c>
      <c r="D117" s="159"/>
      <c r="E117" s="159"/>
      <c r="F117" s="159"/>
      <c r="G117" s="159"/>
      <c r="H117" s="159"/>
      <c r="I117" s="159"/>
      <c r="J117" s="159"/>
      <c r="K117" s="159"/>
      <c r="L117" s="159"/>
    </row>
    <row r="118" spans="1:27" s="160" customFormat="1" ht="14.25">
      <c r="A118" s="160" t="s">
        <v>375</v>
      </c>
      <c r="B118" s="160" t="s">
        <v>376</v>
      </c>
      <c r="C118" s="160" t="s">
        <v>377</v>
      </c>
      <c r="D118" s="159">
        <v>11.336962130186114</v>
      </c>
      <c r="E118" s="159">
        <v>10.17419678350036</v>
      </c>
      <c r="F118" s="159">
        <v>11.118943627682535</v>
      </c>
      <c r="G118" s="159">
        <v>12.20903614020043</v>
      </c>
      <c r="H118" s="159">
        <v>12.64507314520759</v>
      </c>
      <c r="I118" s="159">
        <v>12.35438180853615</v>
      </c>
      <c r="J118" s="159">
        <v>10.715999999999999</v>
      </c>
      <c r="K118" s="159">
        <v>17.53</v>
      </c>
      <c r="L118" s="159">
        <v>13.475</v>
      </c>
      <c r="M118" s="205">
        <v>9.2349999999999994</v>
      </c>
      <c r="N118" s="205">
        <v>9.8350000000000009</v>
      </c>
      <c r="O118" s="205">
        <v>53.835999999999999</v>
      </c>
      <c r="P118" s="205">
        <v>36.734999999999999</v>
      </c>
      <c r="Q118" s="205">
        <f>'ÜE-15'!Q106</f>
        <v>40</v>
      </c>
      <c r="R118" s="205">
        <f>'ÜE-15'!R106</f>
        <v>50</v>
      </c>
      <c r="S118" s="205">
        <f>'ÜE-15'!S106</f>
        <v>21</v>
      </c>
      <c r="T118" s="205">
        <f>'ÜE-15'!T106</f>
        <v>37</v>
      </c>
      <c r="U118" s="205">
        <f>'ÜE-15'!U106</f>
        <v>28</v>
      </c>
      <c r="V118" s="205">
        <f>'ÜE-15'!V106</f>
        <v>43</v>
      </c>
      <c r="W118" s="205">
        <f>'ÜE-15'!W106</f>
        <v>25</v>
      </c>
      <c r="X118" s="205">
        <f>'ÜE-15'!X106</f>
        <v>36.5</v>
      </c>
      <c r="Y118" s="205">
        <f>'ÜE-15'!Y106</f>
        <v>26</v>
      </c>
      <c r="Z118" s="205">
        <f>'ÜE-15'!Z106</f>
        <v>22</v>
      </c>
      <c r="AA118" s="205">
        <f>'ÜE-15'!AB106</f>
        <v>20.001000000000001</v>
      </c>
    </row>
    <row r="119" spans="1:27" s="160" customFormat="1" ht="14.25">
      <c r="A119" s="160" t="s">
        <v>378</v>
      </c>
      <c r="B119" s="160" t="s">
        <v>379</v>
      </c>
      <c r="C119" s="160" t="s">
        <v>380</v>
      </c>
      <c r="D119" s="159">
        <v>251.08464204995528</v>
      </c>
      <c r="E119" s="159">
        <v>86.844036830592344</v>
      </c>
      <c r="F119" s="159">
        <v>63.370711394373664</v>
      </c>
      <c r="G119" s="159">
        <v>103.70413435753581</v>
      </c>
      <c r="H119" s="159">
        <v>134.44474321054045</v>
      </c>
      <c r="I119" s="159">
        <v>165.40337056604869</v>
      </c>
      <c r="J119" s="159">
        <v>185.40600000000001</v>
      </c>
      <c r="K119" s="159">
        <v>215.36699999999999</v>
      </c>
      <c r="L119" s="159">
        <v>241.30199999999999</v>
      </c>
      <c r="M119" s="205">
        <v>258.505</v>
      </c>
      <c r="N119" s="205">
        <v>286.45499999999998</v>
      </c>
      <c r="O119" s="205">
        <v>298.22000000000003</v>
      </c>
      <c r="P119" s="205">
        <v>290.33699999999999</v>
      </c>
      <c r="Q119" s="205">
        <f>'ÜE-15'!Q107</f>
        <v>290.678</v>
      </c>
      <c r="R119" s="205">
        <f>'ÜE-15'!R107</f>
        <v>312.86099999999999</v>
      </c>
      <c r="S119" s="205">
        <f>'ÜE-15'!S107</f>
        <v>298.05200000000002</v>
      </c>
      <c r="T119" s="205">
        <f>'ÜE-15'!T107</f>
        <v>323.73899999999998</v>
      </c>
      <c r="U119" s="205">
        <f>'ÜE-15'!U107</f>
        <v>310.22300000000001</v>
      </c>
      <c r="V119" s="205">
        <f>'ÜE-15'!V107</f>
        <v>331.476</v>
      </c>
      <c r="W119" s="205">
        <f>'ÜE-15'!W107</f>
        <v>316.726</v>
      </c>
      <c r="X119" s="205">
        <f>'ÜE-15'!X107</f>
        <v>352.495</v>
      </c>
      <c r="Y119" s="205">
        <f>'ÜE-15'!Y107</f>
        <v>323.17599999999999</v>
      </c>
      <c r="Z119" s="205">
        <f>'ÜE-15'!Z107</f>
        <v>341.56200000000001</v>
      </c>
      <c r="AA119" s="205">
        <f>'ÜE-15'!AB107</f>
        <v>349.83300000000003</v>
      </c>
    </row>
    <row r="120" spans="1:27" s="160" customFormat="1" ht="14.25">
      <c r="A120" s="160" t="s">
        <v>381</v>
      </c>
      <c r="B120" s="160" t="s">
        <v>382</v>
      </c>
      <c r="C120" s="160" t="s">
        <v>383</v>
      </c>
      <c r="D120" s="159"/>
      <c r="E120" s="159"/>
      <c r="F120" s="159"/>
      <c r="G120" s="159"/>
      <c r="H120" s="206" t="s">
        <v>73</v>
      </c>
      <c r="I120" s="206" t="s">
        <v>73</v>
      </c>
      <c r="J120" s="206">
        <v>14.762</v>
      </c>
      <c r="K120" s="159">
        <v>36.445999999999998</v>
      </c>
      <c r="L120" s="159">
        <v>37.432000000000002</v>
      </c>
      <c r="M120" s="205">
        <v>46.780999999999999</v>
      </c>
      <c r="N120" s="205">
        <v>50.195</v>
      </c>
      <c r="O120" s="205"/>
      <c r="P120" s="205">
        <v>48.847999999999999</v>
      </c>
      <c r="Q120" s="205">
        <f>'ÜE-15'!Q108</f>
        <v>56.798999999999999</v>
      </c>
      <c r="R120" s="205">
        <f>'ÜE-15'!R108</f>
        <v>77.731999999999999</v>
      </c>
      <c r="S120" s="205">
        <f>'ÜE-15'!S108</f>
        <v>82.159000000000006</v>
      </c>
      <c r="T120" s="205">
        <f>'ÜE-15'!T108</f>
        <v>84.021000000000001</v>
      </c>
      <c r="U120" s="205">
        <f>'ÜE-15'!U108</f>
        <v>84.185000000000002</v>
      </c>
      <c r="V120" s="205">
        <f>'ÜE-15'!V108</f>
        <v>166.51900000000001</v>
      </c>
      <c r="W120" s="205">
        <f>'ÜE-15'!W108</f>
        <v>111.182</v>
      </c>
      <c r="X120" s="205">
        <f>'ÜE-15'!X108</f>
        <v>97.566000000000003</v>
      </c>
      <c r="Y120" s="205">
        <f>'ÜE-15'!Y108</f>
        <v>151.989</v>
      </c>
      <c r="Z120" s="205">
        <f>'ÜE-15'!Z108</f>
        <v>146.721</v>
      </c>
      <c r="AA120" s="205">
        <f>'ÜE-15'!AB108</f>
        <v>146.52099999999999</v>
      </c>
    </row>
    <row r="121" spans="1:27" s="160" customFormat="1" ht="28.5">
      <c r="A121" s="234" t="s">
        <v>384</v>
      </c>
      <c r="B121" s="234" t="s">
        <v>385</v>
      </c>
      <c r="C121" s="234" t="s">
        <v>386</v>
      </c>
      <c r="D121" s="228"/>
      <c r="E121" s="228"/>
      <c r="F121" s="228"/>
      <c r="G121" s="228"/>
      <c r="H121" s="231" t="s">
        <v>73</v>
      </c>
      <c r="I121" s="231" t="s">
        <v>73</v>
      </c>
      <c r="J121" s="231" t="s">
        <v>73</v>
      </c>
      <c r="K121" s="231" t="s">
        <v>73</v>
      </c>
      <c r="L121" s="231" t="s">
        <v>73</v>
      </c>
      <c r="M121" s="231">
        <v>0.79</v>
      </c>
      <c r="N121" s="231">
        <v>1.429</v>
      </c>
      <c r="O121" s="235"/>
      <c r="P121" s="235">
        <v>8.4009999999999998</v>
      </c>
      <c r="Q121" s="235">
        <f>'ÜE-15'!Q109</f>
        <v>10.185</v>
      </c>
      <c r="R121" s="235">
        <f>'ÜE-15'!R109</f>
        <v>46</v>
      </c>
      <c r="S121" s="235">
        <f>'ÜE-15'!S109</f>
        <v>15.234</v>
      </c>
      <c r="T121" s="235">
        <f>'ÜE-15'!T109</f>
        <v>56</v>
      </c>
      <c r="U121" s="235">
        <f>'ÜE-15'!U109</f>
        <v>12.000999999999999</v>
      </c>
      <c r="V121" s="235">
        <f>'ÜE-15'!V109</f>
        <v>89</v>
      </c>
      <c r="W121" s="235">
        <f>'ÜE-15'!W109</f>
        <v>112.137</v>
      </c>
      <c r="X121" s="235">
        <f>'ÜE-15'!X109</f>
        <v>89</v>
      </c>
      <c r="Y121" s="235">
        <f>'ÜE-15'!Y109</f>
        <v>66.875</v>
      </c>
      <c r="Z121" s="235">
        <f>'ÜE-15'!Z109</f>
        <v>89</v>
      </c>
      <c r="AA121" s="235">
        <f>'ÜE-15'!AB109</f>
        <v>202.62899999999999</v>
      </c>
    </row>
    <row r="122" spans="1:27" s="160" customFormat="1" ht="7.5" customHeight="1">
      <c r="D122" s="159"/>
      <c r="E122" s="159"/>
      <c r="F122" s="159"/>
      <c r="G122" s="159"/>
      <c r="H122" s="159"/>
      <c r="I122" s="159"/>
      <c r="J122" s="159"/>
      <c r="K122" s="159"/>
      <c r="L122" s="159"/>
    </row>
    <row r="123" spans="1:27" s="160" customFormat="1" ht="14.25">
      <c r="A123" s="180" t="s">
        <v>387</v>
      </c>
      <c r="B123" s="180" t="s">
        <v>388</v>
      </c>
      <c r="C123" s="180" t="s">
        <v>388</v>
      </c>
      <c r="D123" s="181">
        <v>266.63662856187727</v>
      </c>
      <c r="E123" s="181">
        <v>441.85083174058701</v>
      </c>
      <c r="F123" s="181">
        <v>415.76128427432536</v>
      </c>
      <c r="G123" s="181">
        <v>325.85700000000003</v>
      </c>
      <c r="H123" s="181">
        <v>226.05199999999999</v>
      </c>
      <c r="I123" s="181">
        <v>258.98599999999999</v>
      </c>
      <c r="J123" s="181">
        <v>446.04599999999999</v>
      </c>
      <c r="K123" s="181">
        <v>274.77499999999998</v>
      </c>
      <c r="L123" s="181">
        <v>179.369</v>
      </c>
      <c r="M123" s="181">
        <v>231.76400000000001</v>
      </c>
      <c r="N123" s="181">
        <v>256.76299999999998</v>
      </c>
      <c r="O123" s="181">
        <v>223.404</v>
      </c>
      <c r="P123" s="181">
        <v>262.45999999999998</v>
      </c>
      <c r="Q123" s="181">
        <f>'ÜE-15'!Q111</f>
        <v>311.08699999999999</v>
      </c>
      <c r="R123" s="181">
        <f>'ÜE-15'!R111</f>
        <v>290.10399999999998</v>
      </c>
      <c r="S123" s="181">
        <f>'ÜE-15'!S111</f>
        <v>300.12700000000001</v>
      </c>
      <c r="T123" s="181">
        <f>'ÜE-15'!T111</f>
        <v>314.21499999999997</v>
      </c>
      <c r="U123" s="181">
        <f>'ÜE-15'!U111</f>
        <v>286.91800000000001</v>
      </c>
      <c r="V123" s="181">
        <f>'ÜE-15'!V111</f>
        <v>334.17099999999999</v>
      </c>
      <c r="W123" s="181">
        <f>'ÜE-15'!W111</f>
        <v>327.43</v>
      </c>
      <c r="X123" s="181">
        <f>'ÜE-15'!X111</f>
        <v>333.25700000000001</v>
      </c>
      <c r="Y123" s="181">
        <f>'ÜE-15'!Y111</f>
        <v>378.08</v>
      </c>
      <c r="Z123" s="181">
        <f>'ÜE-15'!Z111</f>
        <v>345.09</v>
      </c>
      <c r="AA123" s="181">
        <f>'ÜE-15'!AB111</f>
        <v>1338.6759999999999</v>
      </c>
    </row>
    <row r="124" spans="1:27" s="160" customFormat="1" ht="14.25">
      <c r="A124" s="160" t="s">
        <v>208</v>
      </c>
      <c r="D124" s="159"/>
      <c r="E124" s="159"/>
      <c r="F124" s="159"/>
      <c r="G124" s="159"/>
      <c r="H124" s="159"/>
      <c r="I124" s="159"/>
      <c r="J124" s="159"/>
      <c r="K124" s="206"/>
      <c r="L124" s="159"/>
      <c r="M124" s="219"/>
      <c r="N124" s="219"/>
    </row>
    <row r="125" spans="1:27" s="160" customFormat="1" ht="14.25" hidden="1" outlineLevel="1">
      <c r="A125" s="217" t="s">
        <v>389</v>
      </c>
      <c r="B125" s="217"/>
      <c r="C125" s="217"/>
      <c r="D125" s="159">
        <v>22.455905757868649</v>
      </c>
      <c r="E125" s="159">
        <v>17.950190039461347</v>
      </c>
      <c r="F125" s="159">
        <v>17.29613453195061</v>
      </c>
      <c r="G125" s="203" t="s">
        <v>73</v>
      </c>
      <c r="H125" s="206" t="s">
        <v>73</v>
      </c>
      <c r="I125" s="206" t="s">
        <v>73</v>
      </c>
      <c r="J125" s="206" t="s">
        <v>73</v>
      </c>
      <c r="K125" s="209" t="s">
        <v>73</v>
      </c>
      <c r="L125" s="206" t="s">
        <v>73</v>
      </c>
      <c r="M125" s="209" t="s">
        <v>73</v>
      </c>
      <c r="N125" s="209" t="s">
        <v>73</v>
      </c>
      <c r="O125" s="209" t="s">
        <v>73</v>
      </c>
      <c r="P125" s="209" t="s">
        <v>73</v>
      </c>
      <c r="Q125" s="209" t="str">
        <f>'ÜE-15'!Q113</f>
        <v>-</v>
      </c>
      <c r="R125" s="209" t="str">
        <f>'ÜE-15'!R113</f>
        <v>-</v>
      </c>
      <c r="S125" s="209">
        <f>'ÜE-15'!S113</f>
        <v>0</v>
      </c>
      <c r="T125" s="209" t="str">
        <f>'ÜE-15'!T113</f>
        <v>-</v>
      </c>
      <c r="U125" s="209">
        <f>'ÜE-15'!U113</f>
        <v>0</v>
      </c>
      <c r="V125" s="209">
        <f>'ÜE-15'!V113</f>
        <v>0</v>
      </c>
      <c r="W125" s="209">
        <f>'ÜE-15'!W113</f>
        <v>0</v>
      </c>
      <c r="X125" s="209">
        <f>'ÜE-15'!X113</f>
        <v>0</v>
      </c>
      <c r="Y125" s="209">
        <f>'ÜE-15'!Y113</f>
        <v>0</v>
      </c>
      <c r="Z125" s="209">
        <f>'ÜE-15'!Z113</f>
        <v>0</v>
      </c>
      <c r="AA125" s="209">
        <f>'ÜE-15'!AB113</f>
        <v>0</v>
      </c>
    </row>
    <row r="126" spans="1:27" s="160" customFormat="1" ht="14.25" collapsed="1">
      <c r="A126" s="160" t="s">
        <v>390</v>
      </c>
      <c r="B126" s="160" t="s">
        <v>391</v>
      </c>
      <c r="C126" s="160" t="s">
        <v>392</v>
      </c>
      <c r="D126" s="159">
        <v>70.3473034744882</v>
      </c>
      <c r="E126" s="159">
        <v>207.55361438340734</v>
      </c>
      <c r="F126" s="159">
        <v>208.64370689592522</v>
      </c>
      <c r="G126" s="159">
        <v>147.08981635574804</v>
      </c>
      <c r="H126" s="159">
        <v>66.859007434430936</v>
      </c>
      <c r="I126" s="159">
        <v>102.68671467918577</v>
      </c>
      <c r="J126" s="159">
        <v>79.847999999999999</v>
      </c>
      <c r="K126" s="159">
        <v>79.431407745470665</v>
      </c>
      <c r="L126" s="159">
        <v>66.605000000000004</v>
      </c>
      <c r="M126" s="205">
        <v>119.288</v>
      </c>
      <c r="N126" s="205">
        <v>126.589</v>
      </c>
      <c r="O126" s="205">
        <v>109.999</v>
      </c>
      <c r="P126" s="205">
        <v>143.15</v>
      </c>
      <c r="Q126" s="205">
        <f>'ÜE-15'!Q114</f>
        <v>162.56700000000001</v>
      </c>
      <c r="R126" s="205">
        <f>'ÜE-15'!R114</f>
        <v>179.352</v>
      </c>
      <c r="S126" s="205">
        <f>'ÜE-15'!S114</f>
        <v>174.76300000000001</v>
      </c>
      <c r="T126" s="205">
        <f>'ÜE-15'!T114</f>
        <v>203.989</v>
      </c>
      <c r="U126" s="205">
        <f>'ÜE-15'!U114</f>
        <v>175.84899999999999</v>
      </c>
      <c r="V126" s="205">
        <f>'ÜE-15'!V114</f>
        <v>250.91200000000001</v>
      </c>
      <c r="W126" s="205">
        <f>'ÜE-15'!W114</f>
        <v>244.428</v>
      </c>
      <c r="X126" s="205">
        <f>'ÜE-15'!X114</f>
        <v>251.57900000000001</v>
      </c>
      <c r="Y126" s="205">
        <f>'ÜE-15'!Y114</f>
        <v>252.005</v>
      </c>
      <c r="Z126" s="205">
        <f>'ÜE-15'!Z114</f>
        <v>269.464</v>
      </c>
      <c r="AA126" s="205">
        <f>'ÜE-15'!AB114</f>
        <v>367.40699999999998</v>
      </c>
    </row>
    <row r="127" spans="1:27" s="160" customFormat="1" ht="14.25">
      <c r="A127" s="227" t="s">
        <v>393</v>
      </c>
      <c r="B127" s="227" t="s">
        <v>394</v>
      </c>
      <c r="C127" s="227" t="s">
        <v>395</v>
      </c>
      <c r="D127" s="228">
        <v>55.376699635909098</v>
      </c>
      <c r="E127" s="228">
        <v>48.545453224130284</v>
      </c>
      <c r="F127" s="228">
        <v>49.490200068312461</v>
      </c>
      <c r="G127" s="228">
        <v>50.725638249166074</v>
      </c>
      <c r="H127" s="228">
        <v>55.158681133405516</v>
      </c>
      <c r="I127" s="228">
        <v>52.17909493252327</v>
      </c>
      <c r="J127" s="228">
        <v>54.988</v>
      </c>
      <c r="K127" s="231">
        <v>49.707999999999998</v>
      </c>
      <c r="L127" s="228">
        <v>51.072000000000003</v>
      </c>
      <c r="M127" s="241">
        <v>56.404000000000003</v>
      </c>
      <c r="N127" s="241">
        <v>78.206999999999994</v>
      </c>
      <c r="O127" s="235">
        <v>65.706999999999994</v>
      </c>
      <c r="P127" s="235">
        <v>73.296000000000006</v>
      </c>
      <c r="Q127" s="235">
        <f>'ÜE-15'!Q116</f>
        <v>68.150999999999996</v>
      </c>
      <c r="R127" s="235">
        <f>'ÜE-15'!R116</f>
        <v>63.195999999999998</v>
      </c>
      <c r="S127" s="235">
        <f>'ÜE-15'!S116</f>
        <v>79.013000000000005</v>
      </c>
      <c r="T127" s="235">
        <f>'ÜE-15'!T116</f>
        <v>62.701999999999998</v>
      </c>
      <c r="U127" s="235">
        <f>'ÜE-15'!U116</f>
        <v>65.043000000000006</v>
      </c>
      <c r="V127" s="235">
        <f>'ÜE-15'!V116</f>
        <v>64.602999999999994</v>
      </c>
      <c r="W127" s="235">
        <f>'ÜE-15'!W116</f>
        <v>64.355000000000004</v>
      </c>
      <c r="X127" s="235">
        <f>'ÜE-15'!X116</f>
        <v>64.602999999999994</v>
      </c>
      <c r="Y127" s="235">
        <f>'ÜE-15'!Y116</f>
        <v>58.829000000000001</v>
      </c>
      <c r="Z127" s="235">
        <f>'ÜE-15'!Z116</f>
        <v>59.814</v>
      </c>
      <c r="AA127" s="235">
        <f>'ÜE-15'!AB116</f>
        <v>56.2</v>
      </c>
    </row>
    <row r="128" spans="1:27" s="160" customFormat="1" ht="7.5" customHeight="1">
      <c r="D128" s="159"/>
      <c r="E128" s="159"/>
      <c r="F128" s="159"/>
      <c r="G128" s="159"/>
      <c r="H128" s="159"/>
      <c r="I128" s="159"/>
      <c r="J128" s="159"/>
      <c r="K128" s="159"/>
      <c r="L128" s="159"/>
    </row>
    <row r="129" spans="1:27" s="160" customFormat="1" ht="14.25">
      <c r="A129" s="180" t="s">
        <v>396</v>
      </c>
      <c r="B129" s="180" t="s">
        <v>397</v>
      </c>
      <c r="C129" s="180" t="s">
        <v>397</v>
      </c>
      <c r="D129" s="181">
        <v>1491.9732854661597</v>
      </c>
      <c r="E129" s="181">
        <v>1506.6531979680674</v>
      </c>
      <c r="F129" s="181">
        <v>1521.9144931433179</v>
      </c>
      <c r="G129" s="181">
        <v>1555.36</v>
      </c>
      <c r="H129" s="181">
        <v>1574.7719999999999</v>
      </c>
      <c r="I129" s="181">
        <v>1622.242</v>
      </c>
      <c r="J129" s="181">
        <v>1690.5450000000001</v>
      </c>
      <c r="K129" s="181">
        <v>1627.41</v>
      </c>
      <c r="L129" s="181">
        <v>1624.327</v>
      </c>
      <c r="M129" s="181">
        <v>1720.94</v>
      </c>
      <c r="N129" s="181">
        <v>1766.0309999999999</v>
      </c>
      <c r="O129" s="181">
        <v>1769.405</v>
      </c>
      <c r="P129" s="181">
        <v>1760.9259999999999</v>
      </c>
      <c r="Q129" s="181">
        <f>'ÜE-15'!Q118</f>
        <v>1699.1030000000001</v>
      </c>
      <c r="R129" s="181">
        <f>'ÜE-15'!R118</f>
        <v>2215.8539999999998</v>
      </c>
      <c r="S129" s="181">
        <f>'ÜE-15'!S118</f>
        <v>2156.9670000000001</v>
      </c>
      <c r="T129" s="181">
        <f>'ÜE-15'!T118</f>
        <v>2002.059</v>
      </c>
      <c r="U129" s="181">
        <f>'ÜE-15'!U118</f>
        <v>2147.3710000000001</v>
      </c>
      <c r="V129" s="181">
        <f>'ÜE-15'!V118</f>
        <v>2086.0160000000001</v>
      </c>
      <c r="W129" s="181">
        <f>'ÜE-15'!W118</f>
        <v>1987.355</v>
      </c>
      <c r="X129" s="181">
        <f>'ÜE-15'!X118</f>
        <v>2096.8760000000002</v>
      </c>
      <c r="Y129" s="181">
        <f>'ÜE-15'!Y118</f>
        <v>2009.0519999999999</v>
      </c>
      <c r="Z129" s="181">
        <f>'ÜE-15'!Z118</f>
        <v>2035.915</v>
      </c>
      <c r="AA129" s="181">
        <f>'ÜE-15'!AB118</f>
        <v>2073.2139999999999</v>
      </c>
    </row>
    <row r="130" spans="1:27" s="160" customFormat="1" ht="14.25">
      <c r="A130" s="160" t="s">
        <v>208</v>
      </c>
      <c r="D130" s="159"/>
      <c r="E130" s="159"/>
      <c r="F130" s="159"/>
      <c r="G130" s="159"/>
      <c r="H130" s="159"/>
      <c r="I130" s="159"/>
      <c r="J130" s="159"/>
      <c r="L130" s="159"/>
    </row>
    <row r="131" spans="1:27" s="160" customFormat="1" ht="14.25">
      <c r="A131" s="227" t="s">
        <v>398</v>
      </c>
      <c r="B131" s="227" t="s">
        <v>399</v>
      </c>
      <c r="C131" s="227" t="s">
        <v>400</v>
      </c>
      <c r="D131" s="228">
        <v>1346.6276171304403</v>
      </c>
      <c r="E131" s="228">
        <v>1368.9381772199733</v>
      </c>
      <c r="F131" s="228">
        <v>1391.2487373095062</v>
      </c>
      <c r="G131" s="228">
        <v>1426.4950618809182</v>
      </c>
      <c r="H131" s="228">
        <v>1440.084881870308</v>
      </c>
      <c r="I131" s="228">
        <v>1493.2813964811812</v>
      </c>
      <c r="J131" s="228">
        <v>1607.963</v>
      </c>
      <c r="K131" s="228">
        <v>1548.8340000000001</v>
      </c>
      <c r="L131" s="228">
        <v>1545.287</v>
      </c>
      <c r="M131" s="228">
        <v>1649.5640000000001</v>
      </c>
      <c r="N131" s="228">
        <v>1697.4770000000001</v>
      </c>
      <c r="O131" s="228">
        <v>1701.751</v>
      </c>
      <c r="P131" s="228">
        <v>1685.43</v>
      </c>
      <c r="Q131" s="228">
        <f>'ÜE-15'!Q120</f>
        <v>1629.1489999999999</v>
      </c>
      <c r="R131" s="228">
        <f>'ÜE-15'!R120</f>
        <v>2142.6590000000001</v>
      </c>
      <c r="S131" s="228">
        <f>'ÜE-15'!S120</f>
        <v>2085.2190000000001</v>
      </c>
      <c r="T131" s="228">
        <f>'ÜE-15'!T120</f>
        <v>1928.6420000000001</v>
      </c>
      <c r="U131" s="228">
        <f>'ÜE-15'!U120</f>
        <v>2063.2719999999999</v>
      </c>
      <c r="V131" s="228">
        <f>'ÜE-15'!V120</f>
        <v>1996.451</v>
      </c>
      <c r="W131" s="228">
        <f>'ÜE-15'!W120</f>
        <v>1902.2180000000001</v>
      </c>
      <c r="X131" s="228">
        <f>'ÜE-15'!X120</f>
        <v>1998.2449999999999</v>
      </c>
      <c r="Y131" s="228">
        <f>'ÜE-15'!Y120</f>
        <v>1917.2470000000001</v>
      </c>
      <c r="Z131" s="228">
        <f>'ÜE-15'!Z120</f>
        <v>1939.0319999999999</v>
      </c>
      <c r="AA131" s="228">
        <f>'ÜE-15'!AB120</f>
        <v>1971.992</v>
      </c>
    </row>
    <row r="132" spans="1:27" s="160" customFormat="1" ht="8.25" customHeight="1">
      <c r="D132" s="159"/>
      <c r="E132" s="159"/>
      <c r="F132" s="159"/>
      <c r="G132" s="159"/>
      <c r="H132" s="159"/>
      <c r="I132" s="159"/>
      <c r="J132" s="159"/>
      <c r="L132" s="159"/>
    </row>
    <row r="133" spans="1:27" s="160" customFormat="1" ht="14.25">
      <c r="A133" s="180" t="s">
        <v>401</v>
      </c>
      <c r="B133" s="180" t="s">
        <v>402</v>
      </c>
      <c r="C133" s="180" t="s">
        <v>402</v>
      </c>
      <c r="D133" s="181">
        <v>1786.2982638459916</v>
      </c>
      <c r="E133" s="181">
        <v>1910.932174443871</v>
      </c>
      <c r="F133" s="181">
        <v>1963.2566150447301</v>
      </c>
      <c r="G133" s="181">
        <v>2007.375</v>
      </c>
      <c r="H133" s="181">
        <v>2103.41</v>
      </c>
      <c r="I133" s="181">
        <v>2194.3029999999999</v>
      </c>
      <c r="J133" s="181">
        <v>2165.8649999999998</v>
      </c>
      <c r="K133" s="181">
        <v>2231.3939999999998</v>
      </c>
      <c r="L133" s="181">
        <v>2253.4250000000002</v>
      </c>
      <c r="M133" s="181">
        <v>2343.8620000000001</v>
      </c>
      <c r="N133" s="181">
        <v>2418.8220000000001</v>
      </c>
      <c r="O133" s="181">
        <v>2491.652</v>
      </c>
      <c r="P133" s="181">
        <v>2543.335</v>
      </c>
      <c r="Q133" s="181">
        <f>'ÜE-15'!Q122</f>
        <v>2687.7440000000001</v>
      </c>
      <c r="R133" s="181">
        <f>'ÜE-15'!R122</f>
        <v>2667.0569999999998</v>
      </c>
      <c r="S133" s="181">
        <f>'ÜE-15'!S122</f>
        <v>2750.3890000000001</v>
      </c>
      <c r="T133" s="181">
        <f>'ÜE-15'!T122</f>
        <v>2677.0479999999998</v>
      </c>
      <c r="U133" s="181">
        <f>'ÜE-15'!U122</f>
        <v>2888.127</v>
      </c>
      <c r="V133" s="181">
        <f>'ÜE-15'!V122</f>
        <v>2998.7730000000001</v>
      </c>
      <c r="W133" s="181">
        <f>'ÜE-15'!W122</f>
        <v>2980.9520000000002</v>
      </c>
      <c r="X133" s="181">
        <f>'ÜE-15'!X122</f>
        <v>3042.8719999999998</v>
      </c>
      <c r="Y133" s="181">
        <f>'ÜE-15'!Y122</f>
        <v>2985.0419999999999</v>
      </c>
      <c r="Z133" s="181">
        <f>'ÜE-15'!Z122</f>
        <v>3023.627</v>
      </c>
      <c r="AA133" s="181">
        <f>'ÜE-15'!AB122</f>
        <v>3165.922</v>
      </c>
    </row>
    <row r="134" spans="1:27" s="160" customFormat="1" ht="14.25">
      <c r="A134" s="160" t="s">
        <v>208</v>
      </c>
      <c r="D134" s="159"/>
      <c r="E134" s="159"/>
      <c r="F134" s="159"/>
      <c r="G134" s="159"/>
      <c r="H134" s="159"/>
      <c r="I134" s="159"/>
      <c r="J134" s="159"/>
      <c r="L134" s="159"/>
    </row>
    <row r="135" spans="1:27" s="160" customFormat="1" ht="14.25">
      <c r="A135" s="160" t="s">
        <v>403</v>
      </c>
      <c r="B135" s="160" t="s">
        <v>404</v>
      </c>
      <c r="C135" s="160" t="s">
        <v>405</v>
      </c>
      <c r="D135" s="159">
        <v>611.39655385420372</v>
      </c>
      <c r="E135" s="159">
        <v>671.86035188186304</v>
      </c>
      <c r="F135" s="159">
        <v>680.0723821428312</v>
      </c>
      <c r="G135" s="159">
        <v>692.6447824538709</v>
      </c>
      <c r="H135" s="159">
        <v>723.45806414104334</v>
      </c>
      <c r="I135" s="159">
        <v>753.25392614986583</v>
      </c>
      <c r="J135" s="159">
        <v>760.96600000000001</v>
      </c>
      <c r="K135" s="159">
        <v>816.28200000000004</v>
      </c>
      <c r="L135" s="159">
        <v>827.84500000000003</v>
      </c>
      <c r="M135" s="159">
        <v>865.35500000000002</v>
      </c>
      <c r="N135" s="159">
        <v>879.85599999999999</v>
      </c>
      <c r="O135" s="205">
        <v>921.89499999999998</v>
      </c>
      <c r="P135" s="205">
        <v>937.42100000000005</v>
      </c>
      <c r="Q135" s="205">
        <f>'ÜE-15'!Q124</f>
        <v>946.19299999999998</v>
      </c>
      <c r="R135" s="205">
        <f>'ÜE-15'!R124</f>
        <v>978.99900000000002</v>
      </c>
      <c r="S135" s="205">
        <f>'ÜE-15'!S124</f>
        <v>1029.3330000000001</v>
      </c>
      <c r="T135" s="205">
        <f>'ÜE-15'!T124</f>
        <v>985.64700000000005</v>
      </c>
      <c r="U135" s="205">
        <f>'ÜE-15'!U124</f>
        <v>1057.153</v>
      </c>
      <c r="V135" s="205">
        <f>'ÜE-15'!V124</f>
        <v>1110.394</v>
      </c>
      <c r="W135" s="205">
        <f>'ÜE-15'!W124</f>
        <v>1102.4110000000001</v>
      </c>
      <c r="X135" s="205">
        <f>'ÜE-15'!X124</f>
        <v>1104.9359999999999</v>
      </c>
      <c r="Y135" s="205">
        <f>'ÜE-15'!Y124</f>
        <v>1111.6610000000001</v>
      </c>
      <c r="Z135" s="205">
        <f>'ÜE-15'!Z124</f>
        <v>1090.069</v>
      </c>
      <c r="AA135" s="205">
        <f>'ÜE-15'!AB124</f>
        <v>1118.9870000000001</v>
      </c>
    </row>
    <row r="136" spans="1:27" s="160" customFormat="1" ht="14.25">
      <c r="A136" s="227" t="s">
        <v>406</v>
      </c>
      <c r="B136" s="227" t="s">
        <v>407</v>
      </c>
      <c r="C136" s="227" t="s">
        <v>407</v>
      </c>
      <c r="D136" s="228">
        <v>1130.3532626468898</v>
      </c>
      <c r="E136" s="228">
        <v>1191.4711161820599</v>
      </c>
      <c r="F136" s="228">
        <v>1222.4297435375681</v>
      </c>
      <c r="G136" s="228">
        <v>1253.9697535664193</v>
      </c>
      <c r="H136" s="228">
        <v>1307.665</v>
      </c>
      <c r="I136" s="228">
        <v>1363.423</v>
      </c>
      <c r="J136" s="228">
        <v>1341.375</v>
      </c>
      <c r="K136" s="228">
        <v>1333.175</v>
      </c>
      <c r="L136" s="228">
        <v>1342.5509999999999</v>
      </c>
      <c r="M136" s="228">
        <v>1379.693</v>
      </c>
      <c r="N136" s="228">
        <v>1434.46</v>
      </c>
      <c r="O136" s="228">
        <v>1460.7239999999999</v>
      </c>
      <c r="P136" s="228">
        <v>1491.9849999999999</v>
      </c>
      <c r="Q136" s="228">
        <f>'ÜE-15'!Q125</f>
        <v>1625.3050000000001</v>
      </c>
      <c r="R136" s="228">
        <f>'ÜE-15'!R125</f>
        <v>1566.912</v>
      </c>
      <c r="S136" s="228">
        <f>'ÜE-15'!S125</f>
        <v>1594.59</v>
      </c>
      <c r="T136" s="228">
        <f>'ÜE-15'!T125</f>
        <v>1572.749</v>
      </c>
      <c r="U136" s="228">
        <f>'ÜE-15'!U125</f>
        <v>1696.931</v>
      </c>
      <c r="V136" s="228">
        <f>'ÜE-15'!V125</f>
        <v>1752.8630000000001</v>
      </c>
      <c r="W136" s="228">
        <f>'ÜE-15'!W125</f>
        <v>1744.0630000000001</v>
      </c>
      <c r="X136" s="228">
        <f>'ÜE-15'!X125</f>
        <v>1794.0239999999999</v>
      </c>
      <c r="Y136" s="228">
        <f>'ÜE-15'!Y125</f>
        <v>1737.5409999999999</v>
      </c>
      <c r="Z136" s="228">
        <f>'ÜE-15'!Z125</f>
        <v>1796.798</v>
      </c>
      <c r="AA136" s="228">
        <f>'ÜE-15'!AB125</f>
        <v>1901.095</v>
      </c>
    </row>
    <row r="137" spans="1:27" s="160" customFormat="1" ht="7.5" customHeight="1">
      <c r="D137" s="159"/>
      <c r="E137" s="159"/>
      <c r="F137" s="159"/>
      <c r="G137" s="159"/>
      <c r="H137" s="159"/>
      <c r="I137" s="159"/>
      <c r="J137" s="159"/>
      <c r="L137" s="159"/>
    </row>
    <row r="138" spans="1:27" s="131" customFormat="1" ht="15" collapsed="1">
      <c r="A138" s="187"/>
      <c r="B138" s="188"/>
      <c r="C138" s="188"/>
    </row>
    <row r="139" spans="1:27" s="131" customFormat="1" ht="15">
      <c r="B139" s="135"/>
      <c r="C139" s="135"/>
    </row>
    <row r="140" spans="1:27" s="131" customFormat="1" ht="11.25" customHeight="1">
      <c r="B140" s="135"/>
      <c r="C140" s="135"/>
    </row>
    <row r="141" spans="1:27" s="193" customFormat="1" ht="17.25" customHeight="1">
      <c r="A141" s="191"/>
      <c r="B141" s="191" t="s">
        <v>201</v>
      </c>
      <c r="C141" s="192" t="s">
        <v>202</v>
      </c>
      <c r="D141" s="192">
        <v>1994</v>
      </c>
      <c r="E141" s="192">
        <v>1995</v>
      </c>
      <c r="F141" s="192">
        <v>1996</v>
      </c>
      <c r="G141" s="192">
        <v>1997</v>
      </c>
      <c r="H141" s="192">
        <v>1998</v>
      </c>
      <c r="I141" s="192">
        <v>1999</v>
      </c>
      <c r="J141" s="192">
        <v>2000</v>
      </c>
      <c r="K141" s="191">
        <v>2001</v>
      </c>
      <c r="L141" s="191">
        <v>2002</v>
      </c>
      <c r="M141" s="191">
        <v>2003</v>
      </c>
      <c r="N141" s="191">
        <v>2004</v>
      </c>
      <c r="O141" s="191">
        <v>2005</v>
      </c>
      <c r="P141" s="191">
        <v>2005</v>
      </c>
      <c r="Q141" s="192">
        <v>2006</v>
      </c>
      <c r="R141" s="192">
        <v>2007</v>
      </c>
      <c r="S141" s="192">
        <v>2007</v>
      </c>
      <c r="T141" s="192">
        <v>2008</v>
      </c>
      <c r="U141" s="192">
        <v>2008</v>
      </c>
      <c r="V141" s="192">
        <v>2009</v>
      </c>
      <c r="W141" s="192">
        <v>2009</v>
      </c>
      <c r="X141" s="192">
        <v>2010</v>
      </c>
      <c r="Y141" s="192">
        <v>2010</v>
      </c>
      <c r="Z141" s="192">
        <v>2011</v>
      </c>
      <c r="AA141" s="192">
        <v>2012</v>
      </c>
    </row>
    <row r="142" spans="1:27" s="197" customFormat="1" ht="17.25" customHeight="1">
      <c r="A142" s="194"/>
      <c r="B142" s="194" t="s">
        <v>203</v>
      </c>
      <c r="C142" s="195" t="s">
        <v>204</v>
      </c>
      <c r="D142" s="195"/>
      <c r="E142" s="195"/>
      <c r="F142" s="195"/>
      <c r="G142" s="195"/>
      <c r="H142" s="195"/>
      <c r="I142" s="195"/>
      <c r="J142" s="195"/>
      <c r="K142" s="196"/>
      <c r="L142" s="196"/>
      <c r="M142" s="196"/>
      <c r="N142" s="196"/>
      <c r="O142" s="196" t="s">
        <v>37</v>
      </c>
      <c r="P142" s="196"/>
      <c r="Q142" s="195"/>
      <c r="R142" s="195"/>
      <c r="S142" s="195"/>
      <c r="T142" s="195"/>
      <c r="U142" s="195"/>
      <c r="V142" s="195"/>
      <c r="W142" s="195"/>
      <c r="X142" s="195"/>
      <c r="Y142" s="195"/>
      <c r="Z142" s="195"/>
      <c r="AA142" s="195" t="s">
        <v>37</v>
      </c>
    </row>
    <row r="143" spans="1:27" s="160" customFormat="1" ht="7.5" customHeight="1" collapsed="1">
      <c r="D143" s="159"/>
      <c r="E143" s="159"/>
      <c r="F143" s="159"/>
      <c r="G143" s="159"/>
      <c r="H143" s="159"/>
      <c r="I143" s="159"/>
      <c r="J143" s="159"/>
      <c r="K143" s="180"/>
      <c r="L143" s="159"/>
    </row>
    <row r="144" spans="1:27" s="160" customFormat="1" ht="14.25">
      <c r="A144" s="180" t="s">
        <v>408</v>
      </c>
      <c r="B144" s="180" t="s">
        <v>409</v>
      </c>
      <c r="C144" s="180" t="s">
        <v>409</v>
      </c>
      <c r="D144" s="181">
        <v>13715.035282660987</v>
      </c>
      <c r="E144" s="181">
        <v>13939.667013073842</v>
      </c>
      <c r="F144" s="181">
        <v>13816.777250495992</v>
      </c>
      <c r="G144" s="181">
        <v>14270.300999999999</v>
      </c>
      <c r="H144" s="181">
        <v>15175.358</v>
      </c>
      <c r="I144" s="181">
        <v>15653.464</v>
      </c>
      <c r="J144" s="181">
        <v>17458.575000000001</v>
      </c>
      <c r="K144" s="181">
        <v>17702.617999999999</v>
      </c>
      <c r="L144" s="181">
        <v>18297.825000000001</v>
      </c>
      <c r="M144" s="181">
        <v>17012.748</v>
      </c>
      <c r="N144" s="181">
        <v>17382.083999999999</v>
      </c>
      <c r="O144" s="181">
        <v>17488.166000000001</v>
      </c>
      <c r="P144" s="181">
        <v>18851.024000000001</v>
      </c>
      <c r="Q144" s="181">
        <f>'ÜE-15'!Q127</f>
        <v>21365.813999999998</v>
      </c>
      <c r="R144" s="181">
        <f>'ÜE-15'!R127</f>
        <v>19480.740000000002</v>
      </c>
      <c r="S144" s="181">
        <f>'ÜE-15'!S127</f>
        <v>22902.278999999999</v>
      </c>
      <c r="T144" s="181">
        <f>'ÜE-15'!T127</f>
        <v>19448.441999999999</v>
      </c>
      <c r="U144" s="181">
        <f>'ÜE-15'!U127</f>
        <v>28184.399000000001</v>
      </c>
      <c r="V144" s="181">
        <f>'ÜE-15'!V127</f>
        <v>16719.842000000001</v>
      </c>
      <c r="W144" s="181">
        <f>'ÜE-15'!W127</f>
        <v>14685.159</v>
      </c>
      <c r="X144" s="181">
        <f>'ÜE-15'!X127</f>
        <v>17838.594000000001</v>
      </c>
      <c r="Y144" s="181">
        <f>'ÜE-15'!Y127</f>
        <v>14926.566000000001</v>
      </c>
      <c r="Z144" s="181">
        <f>'ÜE-15'!Z127</f>
        <v>17501.527999999998</v>
      </c>
      <c r="AA144" s="181">
        <f>'ÜE-15'!AB127</f>
        <v>17911.989000000001</v>
      </c>
    </row>
    <row r="145" spans="1:28" s="160" customFormat="1" ht="14.25">
      <c r="A145" s="160" t="s">
        <v>208</v>
      </c>
      <c r="D145" s="159"/>
      <c r="E145" s="159"/>
      <c r="F145" s="159"/>
      <c r="G145" s="159"/>
      <c r="H145" s="159"/>
      <c r="I145" s="159"/>
      <c r="J145" s="159"/>
      <c r="L145" s="159"/>
    </row>
    <row r="146" spans="1:28" s="160" customFormat="1" ht="30">
      <c r="A146" s="200" t="s">
        <v>439</v>
      </c>
      <c r="B146" s="200" t="s">
        <v>410</v>
      </c>
      <c r="C146" s="200"/>
      <c r="D146" s="159">
        <v>6256.7676576818812</v>
      </c>
      <c r="E146" s="159">
        <v>7153.7684498157741</v>
      </c>
      <c r="F146" s="159">
        <v>7275.4954470469393</v>
      </c>
      <c r="G146" s="159">
        <v>7268.5188549668246</v>
      </c>
      <c r="H146" s="159">
        <v>7758.4791029265343</v>
      </c>
      <c r="I146" s="159">
        <v>8280.3179999999993</v>
      </c>
      <c r="J146" s="159">
        <v>9239.9549999999999</v>
      </c>
      <c r="K146" s="159">
        <v>8195.3680000000004</v>
      </c>
      <c r="L146" s="159">
        <v>8485.5030000000006</v>
      </c>
      <c r="M146" s="159">
        <v>8343.8790000000008</v>
      </c>
      <c r="N146" s="159">
        <v>8677.3119999999999</v>
      </c>
      <c r="O146" s="159">
        <v>8815.7060000000001</v>
      </c>
      <c r="P146" s="159">
        <v>9608.9349999999995</v>
      </c>
      <c r="Q146" s="159">
        <f>'ÜE-15'!Q129</f>
        <v>11608.808000000001</v>
      </c>
      <c r="R146" s="159">
        <f>'ÜE-15'!R129</f>
        <v>10250.147000000001</v>
      </c>
      <c r="S146" s="159">
        <f>'ÜE-15'!S129</f>
        <v>11977.083000000001</v>
      </c>
      <c r="T146" s="159">
        <f>'ÜE-15'!T129</f>
        <v>9802.5419999999995</v>
      </c>
      <c r="U146" s="159">
        <f>'ÜE-15'!U129</f>
        <v>11051.468999999999</v>
      </c>
      <c r="V146" s="159">
        <f>'ÜE-15'!V129</f>
        <v>7438.8810000000003</v>
      </c>
      <c r="W146" s="159">
        <f>'ÜE-15'!W129</f>
        <v>6727.6660000000002</v>
      </c>
      <c r="X146" s="159">
        <f>'ÜE-15'!X129</f>
        <v>8080.2269999999999</v>
      </c>
      <c r="Y146" s="159">
        <f>'ÜE-15'!Y129</f>
        <v>5742.7650000000003</v>
      </c>
      <c r="Z146" s="159">
        <f>'ÜE-15'!Z129</f>
        <v>7770.8829999999998</v>
      </c>
      <c r="AA146" s="159">
        <f>'ÜE-15'!AB129</f>
        <v>7947.1459999999997</v>
      </c>
    </row>
    <row r="147" spans="1:28" s="160" customFormat="1" ht="14.25">
      <c r="A147" s="160" t="s">
        <v>164</v>
      </c>
      <c r="B147" s="160" t="s">
        <v>411</v>
      </c>
      <c r="D147" s="159">
        <v>3022.3905002071174</v>
      </c>
      <c r="E147" s="159">
        <v>3100.0050870983914</v>
      </c>
      <c r="F147" s="159">
        <v>3143.4634419307718</v>
      </c>
      <c r="G147" s="159">
        <v>3131.3649999999998</v>
      </c>
      <c r="H147" s="159">
        <v>3188.3969999999999</v>
      </c>
      <c r="I147" s="159">
        <v>3328.5749999999998</v>
      </c>
      <c r="J147" s="159">
        <v>3457.8850000000002</v>
      </c>
      <c r="K147" s="159">
        <v>3587.1880000000001</v>
      </c>
      <c r="L147" s="159">
        <v>3687.6680000000001</v>
      </c>
      <c r="M147" s="159">
        <v>3801.9760000000001</v>
      </c>
      <c r="N147" s="159">
        <v>3917.529</v>
      </c>
      <c r="O147" s="159">
        <v>4190.1180000000004</v>
      </c>
      <c r="P147" s="159">
        <v>3971.4749999999999</v>
      </c>
      <c r="Q147" s="159">
        <f>'ÜE-15'!Q130</f>
        <v>4073.4740000000002</v>
      </c>
      <c r="R147" s="159">
        <f>'ÜE-15'!R130</f>
        <v>4183.6450000000004</v>
      </c>
      <c r="S147" s="159">
        <f>'ÜE-15'!S130</f>
        <v>4133.4139999999998</v>
      </c>
      <c r="T147" s="159">
        <f>'ÜE-15'!T130</f>
        <v>4259.7439999999997</v>
      </c>
      <c r="U147" s="159">
        <f>'ÜE-15'!U130</f>
        <v>4290.1959999999999</v>
      </c>
      <c r="V147" s="159">
        <f>'ÜE-15'!V130</f>
        <v>4562.2240000000002</v>
      </c>
      <c r="W147" s="159">
        <f>'ÜE-15'!W130</f>
        <v>4432.1779999999999</v>
      </c>
      <c r="X147" s="159">
        <f>'ÜE-15'!X130</f>
        <v>4553.3980000000001</v>
      </c>
      <c r="Y147" s="159">
        <f>'ÜE-15'!Y130</f>
        <v>4542.1409999999996</v>
      </c>
      <c r="Z147" s="159">
        <f>'ÜE-15'!Z130</f>
        <v>4708.3149999999996</v>
      </c>
      <c r="AA147" s="159">
        <f>'ÜE-15'!AB130</f>
        <v>5215.4340000000002</v>
      </c>
    </row>
    <row r="148" spans="1:28" s="160" customFormat="1" ht="103.5" customHeight="1">
      <c r="A148" s="200" t="s">
        <v>442</v>
      </c>
      <c r="B148" s="200" t="s">
        <v>412</v>
      </c>
      <c r="C148" s="200" t="s">
        <v>413</v>
      </c>
      <c r="D148" s="159">
        <v>175.06885751037404</v>
      </c>
      <c r="E148" s="159">
        <v>179.93793739962064</v>
      </c>
      <c r="F148" s="159">
        <v>363.94555351264142</v>
      </c>
      <c r="G148" s="159">
        <v>595.19051183477097</v>
      </c>
      <c r="H148" s="159">
        <v>784.2125535053741</v>
      </c>
      <c r="I148" s="159">
        <v>828.54298234776854</v>
      </c>
      <c r="J148" s="159">
        <v>844.245</v>
      </c>
      <c r="K148" s="159">
        <v>1051.9580000000001</v>
      </c>
      <c r="L148" s="159">
        <v>1073.4100000000001</v>
      </c>
      <c r="M148" s="159">
        <v>989.928</v>
      </c>
      <c r="N148" s="159">
        <v>1035.9459999999999</v>
      </c>
      <c r="O148" s="159">
        <v>1194.7550000000001</v>
      </c>
      <c r="P148" s="159">
        <v>1315.01</v>
      </c>
      <c r="Q148" s="159">
        <f>'ÜE-15'!Q131</f>
        <v>1401.6410000000001</v>
      </c>
      <c r="R148" s="159">
        <f>'ÜE-15'!R131</f>
        <v>1567.029</v>
      </c>
      <c r="S148" s="159">
        <f>'ÜE-15'!S131</f>
        <v>1647.4010000000001</v>
      </c>
      <c r="T148" s="159">
        <f>'ÜE-15'!T131</f>
        <v>1744.25</v>
      </c>
      <c r="U148" s="159">
        <f>'ÜE-15'!U131</f>
        <v>1572.6420000000001</v>
      </c>
      <c r="V148" s="159">
        <f>'ÜE-15'!V131</f>
        <v>116.423</v>
      </c>
      <c r="W148" s="159">
        <f>'ÜE-15'!W131</f>
        <v>108.31</v>
      </c>
      <c r="X148" s="159">
        <f>'ÜE-15'!X131</f>
        <v>104.03400000000001</v>
      </c>
      <c r="Y148" s="159">
        <f>'ÜE-15'!Y131</f>
        <v>114.633</v>
      </c>
      <c r="Z148" s="159">
        <f>'ÜE-15'!Z131</f>
        <v>136.43100000000001</v>
      </c>
      <c r="AA148" s="159">
        <f>'ÜE-15'!AB131</f>
        <v>141.72</v>
      </c>
    </row>
    <row r="149" spans="1:28" s="160" customFormat="1" ht="14.25">
      <c r="A149" s="160" t="s">
        <v>414</v>
      </c>
      <c r="B149" s="160" t="s">
        <v>415</v>
      </c>
      <c r="C149" s="160" t="s">
        <v>416</v>
      </c>
      <c r="D149" s="159">
        <v>386.47413210467795</v>
      </c>
      <c r="E149" s="159">
        <v>244.54408697484791</v>
      </c>
      <c r="F149" s="159">
        <v>225.43113158870082</v>
      </c>
      <c r="G149" s="159">
        <v>260.16874632093777</v>
      </c>
      <c r="H149" s="159">
        <v>245.48883381903011</v>
      </c>
      <c r="I149" s="159">
        <v>253.84620974833396</v>
      </c>
      <c r="J149" s="159">
        <v>276.64400000000001</v>
      </c>
      <c r="K149" s="159">
        <v>253.94499999999999</v>
      </c>
      <c r="L149" s="159">
        <f>284.779837+154.571598+500</f>
        <v>939.35143500000004</v>
      </c>
      <c r="M149" s="159">
        <v>570.65800000000002</v>
      </c>
      <c r="N149" s="159">
        <v>250.233</v>
      </c>
      <c r="O149" s="205">
        <v>251.24</v>
      </c>
      <c r="P149" s="205">
        <v>266.07499999999999</v>
      </c>
      <c r="Q149" s="205">
        <f>'ÜE-15'!Q132</f>
        <v>267.18700000000001</v>
      </c>
      <c r="R149" s="205">
        <f>'ÜE-15'!R132</f>
        <v>301.51</v>
      </c>
      <c r="S149" s="205">
        <f>'ÜE-15'!S132</f>
        <v>315.54199999999997</v>
      </c>
      <c r="T149" s="205">
        <f>'ÜE-15'!T132</f>
        <v>319.11</v>
      </c>
      <c r="U149" s="205">
        <f>'ÜE-15'!U132</f>
        <v>336.27199999999999</v>
      </c>
      <c r="V149" s="205">
        <f>'ÜE-15'!V132</f>
        <v>307.01</v>
      </c>
      <c r="W149" s="205">
        <f>'ÜE-15'!W132</f>
        <v>305.84699999999998</v>
      </c>
      <c r="X149" s="205">
        <f>'ÜE-15'!X132</f>
        <v>297.11</v>
      </c>
      <c r="Y149" s="205">
        <f>'ÜE-15'!Y132</f>
        <v>352.7</v>
      </c>
      <c r="Z149" s="205">
        <f>'ÜE-15'!Z132</f>
        <v>321.31400000000002</v>
      </c>
      <c r="AA149" s="205">
        <f>'ÜE-15'!AB132</f>
        <v>351.27300000000002</v>
      </c>
    </row>
    <row r="150" spans="1:28" s="160" customFormat="1" ht="28.5" customHeight="1">
      <c r="A150" s="200" t="s">
        <v>417</v>
      </c>
      <c r="B150" s="200" t="s">
        <v>418</v>
      </c>
      <c r="C150" s="200" t="s">
        <v>419</v>
      </c>
      <c r="D150" s="159">
        <v>210.09716357928241</v>
      </c>
      <c r="E150" s="159">
        <v>224.63173041285435</v>
      </c>
      <c r="F150" s="159">
        <v>238.22155040224413</v>
      </c>
      <c r="G150" s="159">
        <v>189.45807867561027</v>
      </c>
      <c r="H150" s="159">
        <v>158.49945132010203</v>
      </c>
      <c r="I150" s="159">
        <v>129.06695348211883</v>
      </c>
      <c r="J150" s="159">
        <v>114</v>
      </c>
      <c r="K150" s="159">
        <v>4.1423515475680031</v>
      </c>
      <c r="L150" s="159">
        <v>5</v>
      </c>
      <c r="M150" s="159">
        <v>4.4589999999999996</v>
      </c>
      <c r="N150" s="159">
        <v>6.9139999999999997</v>
      </c>
      <c r="O150" s="205">
        <v>6.9889999999999999</v>
      </c>
      <c r="P150" s="205">
        <v>9.016</v>
      </c>
      <c r="Q150" s="205">
        <f>'ÜE-15'!Q133</f>
        <v>5.4370000000000003</v>
      </c>
      <c r="R150" s="205">
        <f>'ÜE-15'!R133</f>
        <v>3.649</v>
      </c>
      <c r="S150" s="205">
        <f>'ÜE-15'!S133</f>
        <v>7.9569999999999999</v>
      </c>
      <c r="T150" s="205">
        <f>'ÜE-15'!T133</f>
        <v>3.649</v>
      </c>
      <c r="U150" s="205">
        <f>'ÜE-15'!U133</f>
        <v>29.847000000000001</v>
      </c>
      <c r="V150" s="205">
        <f>'ÜE-15'!V133</f>
        <v>3.149</v>
      </c>
      <c r="W150" s="205">
        <f>'ÜE-15'!W133</f>
        <v>16.010999999999999</v>
      </c>
      <c r="X150" s="205">
        <f>'ÜE-15'!X133</f>
        <v>3.145</v>
      </c>
      <c r="Y150" s="205">
        <f>'ÜE-15'!Y133</f>
        <v>20.891999999999999</v>
      </c>
      <c r="Z150" s="205">
        <f>'ÜE-15'!Z133</f>
        <v>3.0659999999999998</v>
      </c>
      <c r="AA150" s="205">
        <f>'ÜE-15'!AB133</f>
        <v>5.4359999999999999</v>
      </c>
    </row>
    <row r="151" spans="1:28" s="160" customFormat="1" ht="14.25">
      <c r="A151" s="160" t="s">
        <v>420</v>
      </c>
      <c r="B151" s="160" t="s">
        <v>421</v>
      </c>
      <c r="D151" s="159">
        <v>259.3693451450913</v>
      </c>
      <c r="E151" s="159">
        <v>231.7536681613046</v>
      </c>
      <c r="F151" s="159">
        <v>195.85328808238191</v>
      </c>
      <c r="G151" s="159">
        <v>37.499182430615612</v>
      </c>
      <c r="H151" s="159">
        <v>37.717200933119187</v>
      </c>
      <c r="I151" s="159">
        <v>163.19200000000001</v>
      </c>
      <c r="J151" s="159">
        <v>184.56200000000001</v>
      </c>
      <c r="K151" s="159">
        <v>215.59399999999999</v>
      </c>
      <c r="L151" s="159">
        <v>224.12</v>
      </c>
      <c r="M151" s="159">
        <v>254.34100000000001</v>
      </c>
      <c r="N151" s="159">
        <v>236.96199999999999</v>
      </c>
      <c r="O151" s="159">
        <v>258.846</v>
      </c>
      <c r="P151" s="159">
        <v>222.98699999999999</v>
      </c>
      <c r="Q151" s="159">
        <f>'ÜE-15'!Q134</f>
        <v>300.24900000000002</v>
      </c>
      <c r="R151" s="159">
        <f>'ÜE-15'!R134</f>
        <v>277.70600000000002</v>
      </c>
      <c r="S151" s="159">
        <f>'ÜE-15'!S134</f>
        <v>298.46899999999999</v>
      </c>
      <c r="T151" s="159">
        <f>'ÜE-15'!T134</f>
        <v>288.84699999999998</v>
      </c>
      <c r="U151" s="159">
        <f>'ÜE-15'!U134</f>
        <v>274.464</v>
      </c>
      <c r="V151" s="159">
        <f>'ÜE-15'!V134</f>
        <v>699.48699999999997</v>
      </c>
      <c r="W151" s="159">
        <f>'ÜE-15'!W134</f>
        <v>282.26600000000002</v>
      </c>
      <c r="X151" s="159">
        <f>'ÜE-15'!X134</f>
        <v>720.31399999999996</v>
      </c>
      <c r="Y151" s="159">
        <f>'ÜE-15'!Y134</f>
        <v>582.79499999999996</v>
      </c>
      <c r="Z151" s="159">
        <f>'ÜE-15'!Z134</f>
        <v>527.38</v>
      </c>
      <c r="AA151" s="159">
        <f>'ÜE-15'!AB134</f>
        <v>314.10599999999999</v>
      </c>
    </row>
    <row r="152" spans="1:28" s="160" customFormat="1" ht="14.25">
      <c r="A152" s="227" t="s">
        <v>422</v>
      </c>
      <c r="B152" s="227" t="s">
        <v>423</v>
      </c>
      <c r="C152" s="227"/>
      <c r="D152" s="228">
        <v>1517.9174872640858</v>
      </c>
      <c r="E152" s="228">
        <v>870.87</v>
      </c>
      <c r="F152" s="228">
        <v>429.07100000000003</v>
      </c>
      <c r="G152" s="228">
        <v>460.63299999999998</v>
      </c>
      <c r="H152" s="228">
        <v>1086.9380000000001</v>
      </c>
      <c r="I152" s="228">
        <v>670.55700000000002</v>
      </c>
      <c r="J152" s="228">
        <v>1207.269</v>
      </c>
      <c r="K152" s="228">
        <v>1761.796</v>
      </c>
      <c r="L152" s="228">
        <v>1662.329</v>
      </c>
      <c r="M152" s="235">
        <v>621.01</v>
      </c>
      <c r="N152" s="235">
        <v>893.29600000000005</v>
      </c>
      <c r="O152" s="235">
        <v>0.252</v>
      </c>
      <c r="P152" s="235">
        <v>972.23500000000001</v>
      </c>
      <c r="Q152" s="235">
        <f>'ÜE-15'!Q135</f>
        <v>1092.6030000000001</v>
      </c>
      <c r="R152" s="235">
        <f>'ÜE-15'!R135</f>
        <v>12.956</v>
      </c>
      <c r="S152" s="235">
        <f>'ÜE-15'!S135</f>
        <v>1899.778</v>
      </c>
      <c r="T152" s="235">
        <f>'ÜE-15'!T135</f>
        <v>9.2870000000000008</v>
      </c>
      <c r="U152" s="235">
        <f>'ÜE-15'!U135</f>
        <v>7917.3779999999997</v>
      </c>
      <c r="V152" s="235">
        <f>'ÜE-15'!V135</f>
        <v>6.3559999999999999</v>
      </c>
      <c r="W152" s="235">
        <f>'ÜE-15'!W135</f>
        <v>16.155999999999999</v>
      </c>
      <c r="X152" s="235">
        <f>'ÜE-15'!X135</f>
        <v>5.0000000000000001E-3</v>
      </c>
      <c r="Y152" s="235">
        <f>'ÜE-15'!Y135</f>
        <v>31.209</v>
      </c>
      <c r="Z152" s="235">
        <f>'ÜE-15'!Z135</f>
        <v>17.100999999999999</v>
      </c>
      <c r="AA152" s="235">
        <f>'ÜE-15'!AB135</f>
        <v>21.491</v>
      </c>
    </row>
    <row r="153" spans="1:28" s="160" customFormat="1" ht="15.75" hidden="1" outlineLevel="1">
      <c r="A153" s="220" t="s">
        <v>440</v>
      </c>
      <c r="B153" s="220"/>
      <c r="C153" s="220"/>
      <c r="D153" s="201">
        <v>28.778442330472444</v>
      </c>
      <c r="E153" s="201">
        <v>28.197059657129568</v>
      </c>
      <c r="F153" s="201">
        <v>0.21801850250357913</v>
      </c>
      <c r="G153" s="201">
        <v>14.67991250190766</v>
      </c>
      <c r="H153" s="201">
        <v>5.668481065093057</v>
      </c>
      <c r="I153" s="201">
        <v>47.528033545780247</v>
      </c>
      <c r="J153" s="201">
        <v>186</v>
      </c>
      <c r="K153" s="201">
        <v>96.727542277421264</v>
      </c>
      <c r="L153" s="201">
        <v>62</v>
      </c>
      <c r="M153" s="211" t="s">
        <v>73</v>
      </c>
      <c r="N153" s="211" t="s">
        <v>73</v>
      </c>
      <c r="O153" s="211" t="s">
        <v>73</v>
      </c>
      <c r="P153" s="211" t="s">
        <v>73</v>
      </c>
      <c r="Q153" s="211" t="str">
        <f>'ÜE-15'!Q136</f>
        <v>-</v>
      </c>
      <c r="R153" s="211" t="str">
        <f>'ÜE-15'!R136</f>
        <v>-</v>
      </c>
      <c r="S153" s="211" t="str">
        <f>'ÜE-15'!S136</f>
        <v>-</v>
      </c>
      <c r="T153" s="211" t="str">
        <f>'ÜE-15'!T136</f>
        <v>-</v>
      </c>
      <c r="U153" s="211" t="str">
        <f>'ÜE-15'!U136</f>
        <v>-</v>
      </c>
      <c r="V153" s="211" t="str">
        <f>'ÜE-15'!V136</f>
        <v>-</v>
      </c>
      <c r="W153" s="211" t="str">
        <f>'ÜE-15'!W136</f>
        <v>-</v>
      </c>
      <c r="X153" s="211" t="str">
        <f>'ÜE-15'!X136</f>
        <v>-</v>
      </c>
      <c r="Y153" s="211" t="str">
        <f>'ÜE-15'!Y136</f>
        <v>-</v>
      </c>
      <c r="Z153" s="211" t="str">
        <f>'ÜE-15'!Z136</f>
        <v>-</v>
      </c>
      <c r="AA153" s="211" t="str">
        <f>'ÜE-15'!AB136</f>
        <v>-</v>
      </c>
    </row>
    <row r="154" spans="1:28" s="160" customFormat="1" ht="7.5" customHeight="1" collapsed="1"/>
    <row r="155" spans="1:28" s="224" customFormat="1" ht="22.5" customHeight="1">
      <c r="A155" s="243" t="s">
        <v>734</v>
      </c>
      <c r="B155" s="243"/>
      <c r="C155" s="243"/>
      <c r="D155" s="244">
        <v>53156.326533578482</v>
      </c>
      <c r="E155" s="244">
        <v>55565.120999999999</v>
      </c>
      <c r="F155" s="244">
        <v>54852.578000000001</v>
      </c>
      <c r="G155" s="244">
        <v>60524.544999999998</v>
      </c>
      <c r="H155" s="244">
        <v>56510.404000000002</v>
      </c>
      <c r="I155" s="244">
        <v>57249.06</v>
      </c>
      <c r="J155" s="244">
        <v>58246.877</v>
      </c>
      <c r="K155" s="244">
        <v>60409.125999999997</v>
      </c>
      <c r="L155" s="244">
        <v>61818.061999999998</v>
      </c>
      <c r="M155" s="244">
        <v>61387.15</v>
      </c>
      <c r="N155" s="244">
        <v>64977.383000000002</v>
      </c>
      <c r="O155" s="244">
        <v>64419.764999999999</v>
      </c>
      <c r="P155" s="244">
        <v>66041.23</v>
      </c>
      <c r="Q155" s="244">
        <f>'ÜE-15'!Q138</f>
        <v>70561.244000000006</v>
      </c>
      <c r="R155" s="244">
        <f>'ÜE-15'!R138</f>
        <v>69574.502999999997</v>
      </c>
      <c r="S155" s="244">
        <f>'ÜE-15'!S138</f>
        <v>72331.915999999997</v>
      </c>
      <c r="T155" s="244">
        <f>'ÜE-15'!T138</f>
        <v>69868.851999999999</v>
      </c>
      <c r="U155" s="244">
        <f>'ÜE-15'!U138</f>
        <v>80298.267000000007</v>
      </c>
      <c r="V155" s="244">
        <f>'ÜE-15'!V138</f>
        <v>77469.873000000007</v>
      </c>
      <c r="W155" s="244">
        <f>'ÜE-15'!W138</f>
        <v>69456.578999999998</v>
      </c>
      <c r="X155" s="244">
        <f>'ÜE-15'!X138</f>
        <v>70767.407000000007</v>
      </c>
      <c r="Y155" s="244">
        <f>'ÜE-15'!Y138</f>
        <v>67286.862999999998</v>
      </c>
      <c r="Z155" s="244">
        <f>'ÜE-15'!Z138</f>
        <v>70162.049999999988</v>
      </c>
      <c r="AA155" s="244">
        <f>'ÜE-15'!AB138</f>
        <v>76479.911999999997</v>
      </c>
      <c r="AB155" s="223"/>
    </row>
    <row r="156" spans="1:28" s="160" customFormat="1" ht="14.25"/>
    <row r="157" spans="1:28" s="160" customFormat="1" ht="14.25">
      <c r="A157" s="198" t="s">
        <v>735</v>
      </c>
      <c r="B157" s="180"/>
      <c r="C157" s="180"/>
      <c r="D157" s="181"/>
      <c r="E157" s="181"/>
      <c r="F157" s="181"/>
      <c r="G157" s="181"/>
      <c r="H157" s="181"/>
      <c r="I157" s="181"/>
      <c r="J157" s="181"/>
      <c r="K157" s="181"/>
    </row>
    <row r="158" spans="1:28" s="160" customFormat="1" ht="14.25" hidden="1" outlineLevel="1">
      <c r="A158" s="180" t="s">
        <v>356</v>
      </c>
      <c r="B158" s="180"/>
      <c r="C158" s="180"/>
      <c r="D158" s="181">
        <v>90.986388378160356</v>
      </c>
      <c r="E158" s="181">
        <v>316.05415579602186</v>
      </c>
      <c r="F158" s="181">
        <v>138.80511326061205</v>
      </c>
      <c r="G158" s="225" t="s">
        <v>73</v>
      </c>
      <c r="H158" s="209" t="s">
        <v>73</v>
      </c>
      <c r="I158" s="209" t="s">
        <v>73</v>
      </c>
      <c r="J158" s="209" t="s">
        <v>73</v>
      </c>
      <c r="K158" s="209" t="s">
        <v>73</v>
      </c>
      <c r="L158" s="209" t="s">
        <v>73</v>
      </c>
      <c r="M158" s="209" t="s">
        <v>73</v>
      </c>
      <c r="N158" s="209" t="s">
        <v>73</v>
      </c>
      <c r="O158" s="209" t="s">
        <v>73</v>
      </c>
      <c r="P158" s="209" t="s">
        <v>73</v>
      </c>
      <c r="Q158" s="181" t="str">
        <f>'ÜE-15'!Q141</f>
        <v>-</v>
      </c>
      <c r="R158" s="181">
        <f>'ÜE-15'!R141</f>
        <v>1E-3</v>
      </c>
      <c r="S158" s="181">
        <f>'ÜE-15'!S141</f>
        <v>0</v>
      </c>
      <c r="T158" s="181">
        <f>'ÜE-15'!T141</f>
        <v>1E-3</v>
      </c>
      <c r="U158" s="181">
        <f>'ÜE-15'!U141</f>
        <v>0</v>
      </c>
      <c r="V158" s="181">
        <f>'ÜE-15'!V141</f>
        <v>0</v>
      </c>
      <c r="W158" s="181">
        <f>'ÜE-15'!W141</f>
        <v>0</v>
      </c>
      <c r="X158" s="181">
        <f>'ÜE-15'!X141</f>
        <v>0</v>
      </c>
      <c r="Y158" s="181">
        <f>'ÜE-15'!Y141</f>
        <v>0</v>
      </c>
      <c r="Z158" s="181">
        <f>'ÜE-15'!Z141</f>
        <v>0</v>
      </c>
      <c r="AA158" s="181">
        <f>'ÜE-15'!AB141</f>
        <v>0</v>
      </c>
    </row>
    <row r="159" spans="1:28" s="160" customFormat="1" ht="14.25" hidden="1" outlineLevel="1">
      <c r="A159" s="160" t="s">
        <v>208</v>
      </c>
      <c r="D159" s="159"/>
      <c r="E159" s="159"/>
      <c r="F159" s="159"/>
      <c r="G159" s="203"/>
      <c r="H159" s="203"/>
      <c r="I159" s="203"/>
      <c r="J159" s="203"/>
      <c r="K159" s="285"/>
      <c r="L159" s="285"/>
      <c r="M159" s="226"/>
      <c r="N159" s="226"/>
      <c r="Q159" s="160">
        <f>'ÜE-15'!Q142</f>
        <v>0</v>
      </c>
      <c r="R159" s="160">
        <f>'ÜE-15'!R142</f>
        <v>0</v>
      </c>
      <c r="S159" s="160">
        <f>'ÜE-15'!S142</f>
        <v>0</v>
      </c>
      <c r="T159" s="160">
        <f>'ÜE-15'!T142</f>
        <v>0</v>
      </c>
      <c r="U159" s="160">
        <f>'ÜE-15'!U142</f>
        <v>0</v>
      </c>
      <c r="V159" s="160">
        <f>'ÜE-15'!V142</f>
        <v>0</v>
      </c>
      <c r="W159" s="160">
        <f>'ÜE-15'!W142</f>
        <v>0</v>
      </c>
      <c r="X159" s="160">
        <f>'ÜE-15'!X142</f>
        <v>0</v>
      </c>
      <c r="Y159" s="160">
        <f>'ÜE-15'!Y142</f>
        <v>0</v>
      </c>
      <c r="Z159" s="160">
        <f>'ÜE-15'!Z142</f>
        <v>0</v>
      </c>
      <c r="AA159" s="160">
        <f>'ÜE-15'!AB142</f>
        <v>0</v>
      </c>
    </row>
    <row r="160" spans="1:28" s="160" customFormat="1" ht="14.25" hidden="1" outlineLevel="1">
      <c r="A160" s="163" t="s">
        <v>424</v>
      </c>
      <c r="B160" s="163"/>
      <c r="C160" s="163"/>
      <c r="D160" s="201">
        <v>90.986388378160356</v>
      </c>
      <c r="E160" s="201">
        <v>316.05415579602186</v>
      </c>
      <c r="F160" s="201">
        <v>138.80511326061205</v>
      </c>
      <c r="G160" s="210" t="s">
        <v>73</v>
      </c>
      <c r="H160" s="204" t="s">
        <v>73</v>
      </c>
      <c r="I160" s="204" t="s">
        <v>73</v>
      </c>
      <c r="J160" s="204" t="s">
        <v>73</v>
      </c>
      <c r="K160" s="211" t="s">
        <v>73</v>
      </c>
      <c r="L160" s="211" t="s">
        <v>73</v>
      </c>
      <c r="M160" s="211" t="s">
        <v>73</v>
      </c>
      <c r="N160" s="211" t="s">
        <v>73</v>
      </c>
      <c r="O160" s="211" t="s">
        <v>73</v>
      </c>
      <c r="P160" s="211" t="s">
        <v>73</v>
      </c>
      <c r="Q160" s="211" t="str">
        <f>'ÜE-15'!Q143</f>
        <v>-</v>
      </c>
      <c r="R160" s="211" t="str">
        <f>'ÜE-15'!R143</f>
        <v>-</v>
      </c>
      <c r="S160" s="211">
        <f>'ÜE-15'!S143</f>
        <v>0</v>
      </c>
      <c r="T160" s="211" t="str">
        <f>'ÜE-15'!T143</f>
        <v>-</v>
      </c>
      <c r="U160" s="211">
        <f>'ÜE-15'!U143</f>
        <v>0</v>
      </c>
      <c r="V160" s="211">
        <f>'ÜE-15'!V143</f>
        <v>0</v>
      </c>
      <c r="W160" s="211">
        <f>'ÜE-15'!W143</f>
        <v>0</v>
      </c>
      <c r="X160" s="211">
        <f>'ÜE-15'!X143</f>
        <v>0</v>
      </c>
      <c r="Y160" s="211">
        <f>'ÜE-15'!Y143</f>
        <v>0</v>
      </c>
      <c r="Z160" s="211">
        <f>'ÜE-15'!Z143</f>
        <v>0</v>
      </c>
      <c r="AA160" s="211">
        <f>'ÜE-15'!AB143</f>
        <v>0</v>
      </c>
    </row>
    <row r="161" spans="1:28" s="160" customFormat="1" ht="14.25" hidden="1" outlineLevel="1">
      <c r="D161" s="159"/>
      <c r="E161" s="159"/>
      <c r="F161" s="159"/>
      <c r="G161" s="159"/>
      <c r="H161" s="159"/>
      <c r="I161" s="159"/>
      <c r="J161" s="159"/>
      <c r="L161" s="159"/>
      <c r="Q161" s="160">
        <f>'ÜE-15'!Q144</f>
        <v>0</v>
      </c>
      <c r="R161" s="160">
        <f>'ÜE-15'!R144</f>
        <v>0</v>
      </c>
      <c r="S161" s="160">
        <f>'ÜE-15'!S144</f>
        <v>0</v>
      </c>
      <c r="T161" s="160">
        <f>'ÜE-15'!T144</f>
        <v>0</v>
      </c>
      <c r="U161" s="160">
        <f>'ÜE-15'!U144</f>
        <v>0</v>
      </c>
      <c r="V161" s="160">
        <f>'ÜE-15'!V144</f>
        <v>0</v>
      </c>
      <c r="W161" s="160">
        <f>'ÜE-15'!W144</f>
        <v>0</v>
      </c>
      <c r="X161" s="160">
        <f>'ÜE-15'!X144</f>
        <v>0</v>
      </c>
      <c r="Y161" s="160">
        <f>'ÜE-15'!Y144</f>
        <v>0</v>
      </c>
      <c r="Z161" s="160">
        <f>'ÜE-15'!Z144</f>
        <v>0</v>
      </c>
      <c r="AA161" s="160">
        <f>'ÜE-15'!AB144</f>
        <v>0</v>
      </c>
    </row>
    <row r="162" spans="1:28" s="160" customFormat="1" ht="14.25" collapsed="1">
      <c r="A162" s="180" t="s">
        <v>408</v>
      </c>
      <c r="B162" s="180" t="s">
        <v>409</v>
      </c>
      <c r="C162" s="180" t="s">
        <v>409</v>
      </c>
      <c r="D162" s="181">
        <v>8709.1124466763067</v>
      </c>
      <c r="E162" s="181">
        <v>14570.249195148361</v>
      </c>
      <c r="F162" s="181">
        <v>9325.3780804197577</v>
      </c>
      <c r="G162" s="181">
        <v>12160.636032644636</v>
      </c>
      <c r="H162" s="181">
        <v>24886.637999999999</v>
      </c>
      <c r="I162" s="181">
        <v>30654.845000000001</v>
      </c>
      <c r="J162" s="181">
        <v>63418.226999999999</v>
      </c>
      <c r="K162" s="181">
        <v>37114.080999999998</v>
      </c>
      <c r="L162" s="181">
        <v>34696.983</v>
      </c>
      <c r="M162" s="181">
        <v>51622.906999999999</v>
      </c>
      <c r="N162" s="181">
        <v>30226.097000000002</v>
      </c>
      <c r="O162" s="181">
        <v>49104.309000000001</v>
      </c>
      <c r="P162" s="181">
        <v>32270.65</v>
      </c>
      <c r="Q162" s="181">
        <f>'ÜE-15'!Q145</f>
        <v>39089.796000000002</v>
      </c>
      <c r="R162" s="181">
        <f>'ÜE-15'!R145</f>
        <v>87530.259000000005</v>
      </c>
      <c r="S162" s="181">
        <f>'ÜE-15'!S145</f>
        <v>57130.428999999996</v>
      </c>
      <c r="T162" s="181">
        <f>'ÜE-15'!T145</f>
        <v>77813.236000000004</v>
      </c>
      <c r="U162" s="181">
        <f>'ÜE-15'!U145</f>
        <v>42190.436999999998</v>
      </c>
      <c r="V162" s="181">
        <f>'ÜE-15'!V145</f>
        <v>101769.356</v>
      </c>
      <c r="W162" s="181">
        <f>'ÜE-15'!W145</f>
        <v>45265.752999999997</v>
      </c>
      <c r="X162" s="181">
        <f>'ÜE-15'!X145</f>
        <v>96251.191000000006</v>
      </c>
      <c r="Y162" s="181">
        <f>'ÜE-15'!Y145</f>
        <v>47031.430999999997</v>
      </c>
      <c r="Z162" s="181">
        <f>'ÜE-15'!Z145</f>
        <v>71605.81</v>
      </c>
      <c r="AA162" s="181">
        <f>'ÜE-15'!AB145</f>
        <v>82219.737999999998</v>
      </c>
    </row>
    <row r="163" spans="1:28" s="160" customFormat="1" ht="14.25">
      <c r="A163" s="160" t="s">
        <v>208</v>
      </c>
      <c r="D163" s="159"/>
      <c r="E163" s="159"/>
      <c r="F163" s="159"/>
      <c r="G163" s="159"/>
      <c r="H163" s="159"/>
      <c r="I163" s="159"/>
      <c r="J163" s="159"/>
      <c r="L163" s="159"/>
    </row>
    <row r="164" spans="1:28" s="160" customFormat="1" ht="28.5">
      <c r="A164" s="234" t="s">
        <v>428</v>
      </c>
      <c r="B164" s="234" t="s">
        <v>425</v>
      </c>
      <c r="C164" s="234"/>
      <c r="D164" s="228">
        <v>6453.8563839451172</v>
      </c>
      <c r="E164" s="228">
        <v>10208.571034061757</v>
      </c>
      <c r="F164" s="228">
        <v>9075.0201667114816</v>
      </c>
      <c r="G164" s="228">
        <v>8317.2605248432083</v>
      </c>
      <c r="H164" s="228">
        <v>21173.44825330843</v>
      </c>
      <c r="I164" s="228">
        <v>19577.189450811391</v>
      </c>
      <c r="J164" s="228">
        <v>24184</v>
      </c>
      <c r="K164" s="236">
        <v>14450</v>
      </c>
      <c r="L164" s="228">
        <v>20369</v>
      </c>
      <c r="M164" s="236">
        <v>51623</v>
      </c>
      <c r="N164" s="236">
        <v>30226.097000000002</v>
      </c>
      <c r="O164" s="228">
        <f t="shared" ref="O164:P164" si="0">O166</f>
        <v>49104.309000000001</v>
      </c>
      <c r="P164" s="228">
        <f t="shared" si="0"/>
        <v>32270.65</v>
      </c>
      <c r="Q164" s="228">
        <f>'ÜE-15'!Q147</f>
        <v>39089.796000000002</v>
      </c>
      <c r="R164" s="228">
        <f>'ÜE-15'!R147</f>
        <v>87530.259000000005</v>
      </c>
      <c r="S164" s="228">
        <f>'ÜE-15'!S147</f>
        <v>57130.428999999996</v>
      </c>
      <c r="T164" s="228">
        <f>'ÜE-15'!T147</f>
        <v>77813.236000000004</v>
      </c>
      <c r="U164" s="228">
        <f>'ÜE-15'!U147</f>
        <v>42190.436999999998</v>
      </c>
      <c r="V164" s="228">
        <f>'ÜE-15'!V147</f>
        <v>101769.356</v>
      </c>
      <c r="W164" s="228">
        <f>'ÜE-15'!W147</f>
        <v>45265.752999999997</v>
      </c>
      <c r="X164" s="228">
        <f>'ÜE-15'!X147</f>
        <v>96251.191000000006</v>
      </c>
      <c r="Y164" s="228">
        <f>'ÜE-15'!Y147</f>
        <v>47031.430999999997</v>
      </c>
      <c r="Z164" s="228">
        <f>'ÜE-15'!Z147</f>
        <v>71605.81</v>
      </c>
      <c r="AA164" s="228">
        <f>'ÜE-15'!AB147</f>
        <v>82219.737999999998</v>
      </c>
    </row>
    <row r="165" spans="1:28" s="160" customFormat="1" ht="15.75" hidden="1">
      <c r="A165" s="217" t="s">
        <v>441</v>
      </c>
      <c r="B165" s="217"/>
      <c r="C165" s="217"/>
      <c r="D165" s="159">
        <v>2255.2560627311905</v>
      </c>
      <c r="E165" s="159">
        <v>4361.6781610866037</v>
      </c>
      <c r="F165" s="159">
        <v>250.3579137082767</v>
      </c>
      <c r="G165" s="159">
        <v>3843.3755078014283</v>
      </c>
      <c r="H165" s="159">
        <v>3713.2184618067918</v>
      </c>
      <c r="I165" s="159">
        <v>11077.665457875191</v>
      </c>
      <c r="J165" s="159">
        <v>39234</v>
      </c>
      <c r="K165" s="206">
        <v>22664.476791930407</v>
      </c>
      <c r="L165" s="159">
        <v>14328</v>
      </c>
      <c r="M165" s="209" t="s">
        <v>73</v>
      </c>
      <c r="N165" s="209" t="s">
        <v>73</v>
      </c>
      <c r="O165" s="209" t="s">
        <v>73</v>
      </c>
      <c r="P165" s="209" t="s">
        <v>73</v>
      </c>
      <c r="Q165" s="209" t="str">
        <f>'ÜE-15'!Q148</f>
        <v>-</v>
      </c>
      <c r="R165" s="209" t="str">
        <f>'ÜE-15'!R148</f>
        <v>-</v>
      </c>
      <c r="S165" s="209" t="str">
        <f>'ÜE-15'!S148</f>
        <v>-</v>
      </c>
      <c r="T165" s="209" t="str">
        <f>'ÜE-15'!T148</f>
        <v>-</v>
      </c>
      <c r="U165" s="209" t="str">
        <f>'ÜE-15'!U148</f>
        <v>-</v>
      </c>
      <c r="V165" s="209" t="str">
        <f>'ÜE-15'!V148</f>
        <v>-</v>
      </c>
      <c r="W165" s="209" t="str">
        <f>'ÜE-15'!W148</f>
        <v>-</v>
      </c>
      <c r="X165" s="209" t="str">
        <f>'ÜE-15'!X148</f>
        <v>-</v>
      </c>
      <c r="Y165" s="209" t="str">
        <f>'ÜE-15'!Y148</f>
        <v>-</v>
      </c>
      <c r="Z165" s="209" t="str">
        <f>'ÜE-15'!Z148</f>
        <v>-</v>
      </c>
      <c r="AA165" s="209" t="str">
        <f>'ÜE-15'!AB148</f>
        <v>-</v>
      </c>
    </row>
    <row r="166" spans="1:28" s="224" customFormat="1" ht="22.5" customHeight="1">
      <c r="A166" s="245" t="s">
        <v>736</v>
      </c>
      <c r="B166" s="245"/>
      <c r="C166" s="245"/>
      <c r="D166" s="246">
        <v>8800.0988350544667</v>
      </c>
      <c r="E166" s="246">
        <v>14886.303350944383</v>
      </c>
      <c r="F166" s="246">
        <v>9464.1831936803701</v>
      </c>
      <c r="G166" s="246">
        <v>12160.636032644636</v>
      </c>
      <c r="H166" s="246">
        <v>24886.666715115221</v>
      </c>
      <c r="I166" s="246">
        <v>30654.854908686582</v>
      </c>
      <c r="J166" s="246">
        <f t="shared" ref="J166:P166" si="1">J162</f>
        <v>63418.226999999999</v>
      </c>
      <c r="K166" s="246">
        <f t="shared" si="1"/>
        <v>37114.080999999998</v>
      </c>
      <c r="L166" s="246">
        <f t="shared" si="1"/>
        <v>34696.983</v>
      </c>
      <c r="M166" s="246">
        <f t="shared" si="1"/>
        <v>51622.906999999999</v>
      </c>
      <c r="N166" s="246">
        <f t="shared" si="1"/>
        <v>30226.097000000002</v>
      </c>
      <c r="O166" s="246">
        <f t="shared" si="1"/>
        <v>49104.309000000001</v>
      </c>
      <c r="P166" s="246">
        <f t="shared" si="1"/>
        <v>32270.65</v>
      </c>
      <c r="Q166" s="246">
        <f>'ÜE-15'!Q149</f>
        <v>39089.796000000002</v>
      </c>
      <c r="R166" s="246">
        <f>'ÜE-15'!R149</f>
        <v>87530.259000000005</v>
      </c>
      <c r="S166" s="246">
        <f>'ÜE-15'!S149</f>
        <v>57130.428999999996</v>
      </c>
      <c r="T166" s="246">
        <f>'ÜE-15'!T149</f>
        <v>77813.236000000004</v>
      </c>
      <c r="U166" s="246">
        <f>'ÜE-15'!U149</f>
        <v>42190.436999999998</v>
      </c>
      <c r="V166" s="246">
        <f>'ÜE-15'!V149</f>
        <v>101769.356</v>
      </c>
      <c r="W166" s="246">
        <f>'ÜE-15'!W149</f>
        <v>45265.752999999997</v>
      </c>
      <c r="X166" s="246">
        <f>'ÜE-15'!X149</f>
        <v>96251.191000000006</v>
      </c>
      <c r="Y166" s="246">
        <f>'ÜE-15'!Y149</f>
        <v>47031.430999999997</v>
      </c>
      <c r="Z166" s="246">
        <f>'ÜE-15'!Z149</f>
        <v>71605.81</v>
      </c>
      <c r="AA166" s="246">
        <f>'ÜE-15'!AB149</f>
        <v>82219.737999999998</v>
      </c>
      <c r="AB166" s="223"/>
    </row>
    <row r="167" spans="1:28" s="224" customFormat="1" ht="22.5" customHeight="1">
      <c r="A167" s="221" t="s">
        <v>737</v>
      </c>
      <c r="B167" s="221"/>
      <c r="C167" s="221"/>
      <c r="D167" s="222">
        <v>61956.425368632947</v>
      </c>
      <c r="E167" s="222">
        <v>70451.443645850741</v>
      </c>
      <c r="F167" s="222">
        <v>64316.766349570862</v>
      </c>
      <c r="G167" s="222">
        <v>72685.188549668237</v>
      </c>
      <c r="H167" s="222">
        <v>81397.062564042935</v>
      </c>
      <c r="I167" s="222">
        <v>87903.897444096423</v>
      </c>
      <c r="J167" s="222">
        <f t="shared" ref="J167:P167" si="2">J155+J166</f>
        <v>121665.10399999999</v>
      </c>
      <c r="K167" s="222">
        <f t="shared" si="2"/>
        <v>97523.206999999995</v>
      </c>
      <c r="L167" s="222">
        <f t="shared" si="2"/>
        <v>96515.044999999998</v>
      </c>
      <c r="M167" s="222">
        <f t="shared" si="2"/>
        <v>113010.057</v>
      </c>
      <c r="N167" s="222">
        <f t="shared" si="2"/>
        <v>95203.48000000001</v>
      </c>
      <c r="O167" s="222">
        <f t="shared" si="2"/>
        <v>113524.07399999999</v>
      </c>
      <c r="P167" s="222">
        <f t="shared" si="2"/>
        <v>98311.88</v>
      </c>
      <c r="Q167" s="222">
        <f>'ÜE-15'!Q150</f>
        <v>109651.04000000001</v>
      </c>
      <c r="R167" s="222">
        <f>'ÜE-15'!R150</f>
        <v>157104.76199999999</v>
      </c>
      <c r="S167" s="222">
        <f>'ÜE-15'!S150</f>
        <v>129462.345</v>
      </c>
      <c r="T167" s="222">
        <f>'ÜE-15'!T150</f>
        <v>147682.08799999999</v>
      </c>
      <c r="U167" s="222">
        <f>'ÜE-15'!U150</f>
        <v>122488.704</v>
      </c>
      <c r="V167" s="222">
        <f>'ÜE-15'!V150</f>
        <v>179239.22899999999</v>
      </c>
      <c r="W167" s="222">
        <f>'ÜE-15'!W150</f>
        <v>114722.33199999999</v>
      </c>
      <c r="X167" s="222">
        <f>'ÜE-15'!X150</f>
        <v>167018.598</v>
      </c>
      <c r="Y167" s="222">
        <f>'ÜE-15'!Y150</f>
        <v>114318.29399999999</v>
      </c>
      <c r="Z167" s="222">
        <f>'ÜE-15'!Z150</f>
        <v>141767.85999999999</v>
      </c>
      <c r="AA167" s="222">
        <f>'ÜE-15'!AB150</f>
        <v>158699.65</v>
      </c>
      <c r="AB167" s="223"/>
    </row>
    <row r="168" spans="1:28" s="131" customFormat="1" ht="15">
      <c r="B168" s="135"/>
      <c r="C168" s="135"/>
    </row>
    <row r="169" spans="1:28" s="131" customFormat="1" ht="15">
      <c r="A169" s="109" t="s">
        <v>168</v>
      </c>
      <c r="B169" s="135"/>
      <c r="C169" s="135"/>
    </row>
    <row r="170" spans="1:28" s="131" customFormat="1" ht="15">
      <c r="A170" s="248" t="s">
        <v>448</v>
      </c>
      <c r="B170" s="135"/>
      <c r="C170" s="135"/>
      <c r="M170" s="144"/>
    </row>
    <row r="171" spans="1:28" s="131" customFormat="1" ht="15">
      <c r="A171" s="248" t="s">
        <v>447</v>
      </c>
      <c r="B171" s="135"/>
      <c r="C171" s="135"/>
    </row>
    <row r="172" spans="1:28" s="131" customFormat="1" ht="15">
      <c r="A172" s="248" t="s">
        <v>449</v>
      </c>
      <c r="B172" s="135"/>
      <c r="C172" s="135"/>
    </row>
    <row r="173" spans="1:28" s="131" customFormat="1" ht="15">
      <c r="A173" s="248" t="s">
        <v>450</v>
      </c>
      <c r="B173" s="135"/>
      <c r="C173" s="135"/>
    </row>
    <row r="174" spans="1:28" s="131" customFormat="1" ht="15" hidden="1">
      <c r="A174" s="248" t="s">
        <v>445</v>
      </c>
      <c r="B174" s="135"/>
      <c r="C174" s="135"/>
    </row>
    <row r="175" spans="1:28" s="131" customFormat="1" ht="15">
      <c r="A175" s="248" t="s">
        <v>446</v>
      </c>
      <c r="B175" s="135"/>
      <c r="C175" s="135"/>
    </row>
    <row r="176" spans="1:28" s="131" customFormat="1" ht="15">
      <c r="B176" s="135"/>
      <c r="C176" s="135"/>
    </row>
    <row r="177" spans="1:3" s="131" customFormat="1" ht="15">
      <c r="B177" s="132"/>
      <c r="C177" s="132"/>
    </row>
    <row r="178" spans="1:3" s="131" customFormat="1" ht="15">
      <c r="B178" s="135"/>
      <c r="C178" s="135"/>
    </row>
    <row r="179" spans="1:3" s="131" customFormat="1" ht="15">
      <c r="B179" s="135"/>
      <c r="C179" s="135"/>
    </row>
    <row r="180" spans="1:3" s="131" customFormat="1" ht="15">
      <c r="A180" s="130"/>
      <c r="B180" s="135"/>
      <c r="C180" s="135"/>
    </row>
    <row r="181" spans="1:3" ht="15">
      <c r="A181" s="131"/>
    </row>
    <row r="182" spans="1:3">
      <c r="B182" s="184"/>
      <c r="C182" s="184"/>
    </row>
    <row r="183" spans="1:3">
      <c r="A183" s="184"/>
    </row>
    <row r="184" spans="1:3">
      <c r="B184" s="184"/>
      <c r="C184" s="184"/>
    </row>
    <row r="185" spans="1:3">
      <c r="A185" s="184"/>
    </row>
    <row r="186" spans="1:3">
      <c r="B186" s="184"/>
      <c r="C186" s="184"/>
    </row>
    <row r="187" spans="1:3">
      <c r="A187" s="184" t="s">
        <v>426</v>
      </c>
      <c r="B187" s="184"/>
      <c r="C187" s="184"/>
    </row>
    <row r="188" spans="1:3" hidden="1" outlineLevel="1">
      <c r="A188" s="184" t="s">
        <v>427</v>
      </c>
      <c r="B188" s="184"/>
      <c r="C188" s="184"/>
    </row>
    <row r="189" spans="1:3" collapsed="1"/>
  </sheetData>
  <printOptions horizontalCentered="1"/>
  <pageMargins left="0.19685039370078741" right="0.19685039370078741" top="0.24" bottom="0.17" header="0.15748031496062992" footer="0.11811023622047245"/>
  <pageSetup paperSize="9" scale="95" orientation="landscape" cellComments="asDisplayed" horizontalDpi="300" verticalDpi="300" r:id="rId1"/>
  <headerFooter alignWithMargins="0"/>
  <rowBreaks count="2" manualBreakCount="2">
    <brk id="48" max="16383" man="1"/>
    <brk id="9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tabColor rgb="FF92D050"/>
    <pageSetUpPr fitToPage="1"/>
  </sheetPr>
  <dimension ref="A1:J88"/>
  <sheetViews>
    <sheetView zoomScaleNormal="100" workbookViewId="0"/>
  </sheetViews>
  <sheetFormatPr baseColWidth="10" defaultRowHeight="12.75"/>
  <cols>
    <col min="1" max="1" width="3.5703125" style="185" customWidth="1"/>
    <col min="2" max="2" width="45.85546875" customWidth="1"/>
    <col min="3" max="5" width="6.28515625" style="185" customWidth="1"/>
    <col min="6" max="6" width="1.7109375" style="185" customWidth="1"/>
    <col min="7" max="7" width="6.28515625" style="185" hidden="1" customWidth="1"/>
    <col min="8" max="8" width="7.85546875" style="185" bestFit="1" customWidth="1"/>
    <col min="9" max="10" width="6.28515625" style="185" customWidth="1"/>
    <col min="11" max="229" width="11.42578125" style="185"/>
    <col min="230" max="230" width="59.5703125" style="185" customWidth="1"/>
    <col min="231" max="239" width="0" style="185" hidden="1" customWidth="1"/>
    <col min="240" max="240" width="6.5703125" style="185" customWidth="1"/>
    <col min="241" max="241" width="6.85546875" style="185" bestFit="1" customWidth="1"/>
    <col min="242" max="243" width="7.7109375" style="185" bestFit="1" customWidth="1"/>
    <col min="244" max="244" width="0" style="185" hidden="1" customWidth="1"/>
    <col min="245" max="245" width="9" style="185" customWidth="1"/>
    <col min="246" max="246" width="8" style="185" bestFit="1" customWidth="1"/>
    <col min="247" max="247" width="0" style="185" hidden="1" customWidth="1"/>
    <col min="248" max="248" width="8" style="185" customWidth="1"/>
    <col min="249" max="249" width="0" style="185" hidden="1" customWidth="1"/>
    <col min="250" max="250" width="8" style="185" bestFit="1" customWidth="1"/>
    <col min="251" max="251" width="0" style="185" hidden="1" customWidth="1"/>
    <col min="252" max="252" width="8" style="185" customWidth="1"/>
    <col min="253" max="253" width="0" style="185" hidden="1" customWidth="1"/>
    <col min="254" max="256" width="8" style="185" bestFit="1" customWidth="1"/>
    <col min="257" max="257" width="17.42578125" style="185" bestFit="1" customWidth="1"/>
    <col min="258" max="485" width="11.42578125" style="185"/>
    <col min="486" max="486" width="59.5703125" style="185" customWidth="1"/>
    <col min="487" max="495" width="0" style="185" hidden="1" customWidth="1"/>
    <col min="496" max="496" width="6.5703125" style="185" customWidth="1"/>
    <col min="497" max="497" width="6.85546875" style="185" bestFit="1" customWidth="1"/>
    <col min="498" max="499" width="7.7109375" style="185" bestFit="1" customWidth="1"/>
    <col min="500" max="500" width="0" style="185" hidden="1" customWidth="1"/>
    <col min="501" max="501" width="9" style="185" customWidth="1"/>
    <col min="502" max="502" width="8" style="185" bestFit="1" customWidth="1"/>
    <col min="503" max="503" width="0" style="185" hidden="1" customWidth="1"/>
    <col min="504" max="504" width="8" style="185" customWidth="1"/>
    <col min="505" max="505" width="0" style="185" hidden="1" customWidth="1"/>
    <col min="506" max="506" width="8" style="185" bestFit="1" customWidth="1"/>
    <col min="507" max="507" width="0" style="185" hidden="1" customWidth="1"/>
    <col min="508" max="508" width="8" style="185" customWidth="1"/>
    <col min="509" max="509" width="0" style="185" hidden="1" customWidth="1"/>
    <col min="510" max="512" width="8" style="185" bestFit="1" customWidth="1"/>
    <col min="513" max="513" width="17.42578125" style="185" bestFit="1" customWidth="1"/>
    <col min="514" max="741" width="11.42578125" style="185"/>
    <col min="742" max="742" width="59.5703125" style="185" customWidth="1"/>
    <col min="743" max="751" width="0" style="185" hidden="1" customWidth="1"/>
    <col min="752" max="752" width="6.5703125" style="185" customWidth="1"/>
    <col min="753" max="753" width="6.85546875" style="185" bestFit="1" customWidth="1"/>
    <col min="754" max="755" width="7.7109375" style="185" bestFit="1" customWidth="1"/>
    <col min="756" max="756" width="0" style="185" hidden="1" customWidth="1"/>
    <col min="757" max="757" width="9" style="185" customWidth="1"/>
    <col min="758" max="758" width="8" style="185" bestFit="1" customWidth="1"/>
    <col min="759" max="759" width="0" style="185" hidden="1" customWidth="1"/>
    <col min="760" max="760" width="8" style="185" customWidth="1"/>
    <col min="761" max="761" width="0" style="185" hidden="1" customWidth="1"/>
    <col min="762" max="762" width="8" style="185" bestFit="1" customWidth="1"/>
    <col min="763" max="763" width="0" style="185" hidden="1" customWidth="1"/>
    <col min="764" max="764" width="8" style="185" customWidth="1"/>
    <col min="765" max="765" width="0" style="185" hidden="1" customWidth="1"/>
    <col min="766" max="768" width="8" style="185" bestFit="1" customWidth="1"/>
    <col min="769" max="769" width="17.42578125" style="185" bestFit="1" customWidth="1"/>
    <col min="770" max="997" width="11.42578125" style="185"/>
    <col min="998" max="998" width="59.5703125" style="185" customWidth="1"/>
    <col min="999" max="1007" width="0" style="185" hidden="1" customWidth="1"/>
    <col min="1008" max="1008" width="6.5703125" style="185" customWidth="1"/>
    <col min="1009" max="1009" width="6.85546875" style="185" bestFit="1" customWidth="1"/>
    <col min="1010" max="1011" width="7.7109375" style="185" bestFit="1" customWidth="1"/>
    <col min="1012" max="1012" width="0" style="185" hidden="1" customWidth="1"/>
    <col min="1013" max="1013" width="9" style="185" customWidth="1"/>
    <col min="1014" max="1014" width="8" style="185" bestFit="1" customWidth="1"/>
    <col min="1015" max="1015" width="0" style="185" hidden="1" customWidth="1"/>
    <col min="1016" max="1016" width="8" style="185" customWidth="1"/>
    <col min="1017" max="1017" width="0" style="185" hidden="1" customWidth="1"/>
    <col min="1018" max="1018" width="8" style="185" bestFit="1" customWidth="1"/>
    <col min="1019" max="1019" width="0" style="185" hidden="1" customWidth="1"/>
    <col min="1020" max="1020" width="8" style="185" customWidth="1"/>
    <col min="1021" max="1021" width="0" style="185" hidden="1" customWidth="1"/>
    <col min="1022" max="1024" width="8" style="185" bestFit="1" customWidth="1"/>
    <col min="1025" max="1025" width="17.42578125" style="185" bestFit="1" customWidth="1"/>
    <col min="1026" max="1253" width="11.42578125" style="185"/>
    <col min="1254" max="1254" width="59.5703125" style="185" customWidth="1"/>
    <col min="1255" max="1263" width="0" style="185" hidden="1" customWidth="1"/>
    <col min="1264" max="1264" width="6.5703125" style="185" customWidth="1"/>
    <col min="1265" max="1265" width="6.85546875" style="185" bestFit="1" customWidth="1"/>
    <col min="1266" max="1267" width="7.7109375" style="185" bestFit="1" customWidth="1"/>
    <col min="1268" max="1268" width="0" style="185" hidden="1" customWidth="1"/>
    <col min="1269" max="1269" width="9" style="185" customWidth="1"/>
    <col min="1270" max="1270" width="8" style="185" bestFit="1" customWidth="1"/>
    <col min="1271" max="1271" width="0" style="185" hidden="1" customWidth="1"/>
    <col min="1272" max="1272" width="8" style="185" customWidth="1"/>
    <col min="1273" max="1273" width="0" style="185" hidden="1" customWidth="1"/>
    <col min="1274" max="1274" width="8" style="185" bestFit="1" customWidth="1"/>
    <col min="1275" max="1275" width="0" style="185" hidden="1" customWidth="1"/>
    <col min="1276" max="1276" width="8" style="185" customWidth="1"/>
    <col min="1277" max="1277" width="0" style="185" hidden="1" customWidth="1"/>
    <col min="1278" max="1280" width="8" style="185" bestFit="1" customWidth="1"/>
    <col min="1281" max="1281" width="17.42578125" style="185" bestFit="1" customWidth="1"/>
    <col min="1282" max="1509" width="11.42578125" style="185"/>
    <col min="1510" max="1510" width="59.5703125" style="185" customWidth="1"/>
    <col min="1511" max="1519" width="0" style="185" hidden="1" customWidth="1"/>
    <col min="1520" max="1520" width="6.5703125" style="185" customWidth="1"/>
    <col min="1521" max="1521" width="6.85546875" style="185" bestFit="1" customWidth="1"/>
    <col min="1522" max="1523" width="7.7109375" style="185" bestFit="1" customWidth="1"/>
    <col min="1524" max="1524" width="0" style="185" hidden="1" customWidth="1"/>
    <col min="1525" max="1525" width="9" style="185" customWidth="1"/>
    <col min="1526" max="1526" width="8" style="185" bestFit="1" customWidth="1"/>
    <col min="1527" max="1527" width="0" style="185" hidden="1" customWidth="1"/>
    <col min="1528" max="1528" width="8" style="185" customWidth="1"/>
    <col min="1529" max="1529" width="0" style="185" hidden="1" customWidth="1"/>
    <col min="1530" max="1530" width="8" style="185" bestFit="1" customWidth="1"/>
    <col min="1531" max="1531" width="0" style="185" hidden="1" customWidth="1"/>
    <col min="1532" max="1532" width="8" style="185" customWidth="1"/>
    <col min="1533" max="1533" width="0" style="185" hidden="1" customWidth="1"/>
    <col min="1534" max="1536" width="8" style="185" bestFit="1" customWidth="1"/>
    <col min="1537" max="1537" width="17.42578125" style="185" bestFit="1" customWidth="1"/>
    <col min="1538" max="1765" width="11.42578125" style="185"/>
    <col min="1766" max="1766" width="59.5703125" style="185" customWidth="1"/>
    <col min="1767" max="1775" width="0" style="185" hidden="1" customWidth="1"/>
    <col min="1776" max="1776" width="6.5703125" style="185" customWidth="1"/>
    <col min="1777" max="1777" width="6.85546875" style="185" bestFit="1" customWidth="1"/>
    <col min="1778" max="1779" width="7.7109375" style="185" bestFit="1" customWidth="1"/>
    <col min="1780" max="1780" width="0" style="185" hidden="1" customWidth="1"/>
    <col min="1781" max="1781" width="9" style="185" customWidth="1"/>
    <col min="1782" max="1782" width="8" style="185" bestFit="1" customWidth="1"/>
    <col min="1783" max="1783" width="0" style="185" hidden="1" customWidth="1"/>
    <col min="1784" max="1784" width="8" style="185" customWidth="1"/>
    <col min="1785" max="1785" width="0" style="185" hidden="1" customWidth="1"/>
    <col min="1786" max="1786" width="8" style="185" bestFit="1" customWidth="1"/>
    <col min="1787" max="1787" width="0" style="185" hidden="1" customWidth="1"/>
    <col min="1788" max="1788" width="8" style="185" customWidth="1"/>
    <col min="1789" max="1789" width="0" style="185" hidden="1" customWidth="1"/>
    <col min="1790" max="1792" width="8" style="185" bestFit="1" customWidth="1"/>
    <col min="1793" max="1793" width="17.42578125" style="185" bestFit="1" customWidth="1"/>
    <col min="1794" max="2021" width="11.42578125" style="185"/>
    <col min="2022" max="2022" width="59.5703125" style="185" customWidth="1"/>
    <col min="2023" max="2031" width="0" style="185" hidden="1" customWidth="1"/>
    <col min="2032" max="2032" width="6.5703125" style="185" customWidth="1"/>
    <col min="2033" max="2033" width="6.85546875" style="185" bestFit="1" customWidth="1"/>
    <col min="2034" max="2035" width="7.7109375" style="185" bestFit="1" customWidth="1"/>
    <col min="2036" max="2036" width="0" style="185" hidden="1" customWidth="1"/>
    <col min="2037" max="2037" width="9" style="185" customWidth="1"/>
    <col min="2038" max="2038" width="8" style="185" bestFit="1" customWidth="1"/>
    <col min="2039" max="2039" width="0" style="185" hidden="1" customWidth="1"/>
    <col min="2040" max="2040" width="8" style="185" customWidth="1"/>
    <col min="2041" max="2041" width="0" style="185" hidden="1" customWidth="1"/>
    <col min="2042" max="2042" width="8" style="185" bestFit="1" customWidth="1"/>
    <col min="2043" max="2043" width="0" style="185" hidden="1" customWidth="1"/>
    <col min="2044" max="2044" width="8" style="185" customWidth="1"/>
    <col min="2045" max="2045" width="0" style="185" hidden="1" customWidth="1"/>
    <col min="2046" max="2048" width="8" style="185" bestFit="1" customWidth="1"/>
    <col min="2049" max="2049" width="17.42578125" style="185" bestFit="1" customWidth="1"/>
    <col min="2050" max="2277" width="11.42578125" style="185"/>
    <col min="2278" max="2278" width="59.5703125" style="185" customWidth="1"/>
    <col min="2279" max="2287" width="0" style="185" hidden="1" customWidth="1"/>
    <col min="2288" max="2288" width="6.5703125" style="185" customWidth="1"/>
    <col min="2289" max="2289" width="6.85546875" style="185" bestFit="1" customWidth="1"/>
    <col min="2290" max="2291" width="7.7109375" style="185" bestFit="1" customWidth="1"/>
    <col min="2292" max="2292" width="0" style="185" hidden="1" customWidth="1"/>
    <col min="2293" max="2293" width="9" style="185" customWidth="1"/>
    <col min="2294" max="2294" width="8" style="185" bestFit="1" customWidth="1"/>
    <col min="2295" max="2295" width="0" style="185" hidden="1" customWidth="1"/>
    <col min="2296" max="2296" width="8" style="185" customWidth="1"/>
    <col min="2297" max="2297" width="0" style="185" hidden="1" customWidth="1"/>
    <col min="2298" max="2298" width="8" style="185" bestFit="1" customWidth="1"/>
    <col min="2299" max="2299" width="0" style="185" hidden="1" customWidth="1"/>
    <col min="2300" max="2300" width="8" style="185" customWidth="1"/>
    <col min="2301" max="2301" width="0" style="185" hidden="1" customWidth="1"/>
    <col min="2302" max="2304" width="8" style="185" bestFit="1" customWidth="1"/>
    <col min="2305" max="2305" width="17.42578125" style="185" bestFit="1" customWidth="1"/>
    <col min="2306" max="2533" width="11.42578125" style="185"/>
    <col min="2534" max="2534" width="59.5703125" style="185" customWidth="1"/>
    <col min="2535" max="2543" width="0" style="185" hidden="1" customWidth="1"/>
    <col min="2544" max="2544" width="6.5703125" style="185" customWidth="1"/>
    <col min="2545" max="2545" width="6.85546875" style="185" bestFit="1" customWidth="1"/>
    <col min="2546" max="2547" width="7.7109375" style="185" bestFit="1" customWidth="1"/>
    <col min="2548" max="2548" width="0" style="185" hidden="1" customWidth="1"/>
    <col min="2549" max="2549" width="9" style="185" customWidth="1"/>
    <col min="2550" max="2550" width="8" style="185" bestFit="1" customWidth="1"/>
    <col min="2551" max="2551" width="0" style="185" hidden="1" customWidth="1"/>
    <col min="2552" max="2552" width="8" style="185" customWidth="1"/>
    <col min="2553" max="2553" width="0" style="185" hidden="1" customWidth="1"/>
    <col min="2554" max="2554" width="8" style="185" bestFit="1" customWidth="1"/>
    <col min="2555" max="2555" width="0" style="185" hidden="1" customWidth="1"/>
    <col min="2556" max="2556" width="8" style="185" customWidth="1"/>
    <col min="2557" max="2557" width="0" style="185" hidden="1" customWidth="1"/>
    <col min="2558" max="2560" width="8" style="185" bestFit="1" customWidth="1"/>
    <col min="2561" max="2561" width="17.42578125" style="185" bestFit="1" customWidth="1"/>
    <col min="2562" max="2789" width="11.42578125" style="185"/>
    <col min="2790" max="2790" width="59.5703125" style="185" customWidth="1"/>
    <col min="2791" max="2799" width="0" style="185" hidden="1" customWidth="1"/>
    <col min="2800" max="2800" width="6.5703125" style="185" customWidth="1"/>
    <col min="2801" max="2801" width="6.85546875" style="185" bestFit="1" customWidth="1"/>
    <col min="2802" max="2803" width="7.7109375" style="185" bestFit="1" customWidth="1"/>
    <col min="2804" max="2804" width="0" style="185" hidden="1" customWidth="1"/>
    <col min="2805" max="2805" width="9" style="185" customWidth="1"/>
    <col min="2806" max="2806" width="8" style="185" bestFit="1" customWidth="1"/>
    <col min="2807" max="2807" width="0" style="185" hidden="1" customWidth="1"/>
    <col min="2808" max="2808" width="8" style="185" customWidth="1"/>
    <col min="2809" max="2809" width="0" style="185" hidden="1" customWidth="1"/>
    <col min="2810" max="2810" width="8" style="185" bestFit="1" customWidth="1"/>
    <col min="2811" max="2811" width="0" style="185" hidden="1" customWidth="1"/>
    <col min="2812" max="2812" width="8" style="185" customWidth="1"/>
    <col min="2813" max="2813" width="0" style="185" hidden="1" customWidth="1"/>
    <col min="2814" max="2816" width="8" style="185" bestFit="1" customWidth="1"/>
    <col min="2817" max="2817" width="17.42578125" style="185" bestFit="1" customWidth="1"/>
    <col min="2818" max="3045" width="11.42578125" style="185"/>
    <col min="3046" max="3046" width="59.5703125" style="185" customWidth="1"/>
    <col min="3047" max="3055" width="0" style="185" hidden="1" customWidth="1"/>
    <col min="3056" max="3056" width="6.5703125" style="185" customWidth="1"/>
    <col min="3057" max="3057" width="6.85546875" style="185" bestFit="1" customWidth="1"/>
    <col min="3058" max="3059" width="7.7109375" style="185" bestFit="1" customWidth="1"/>
    <col min="3060" max="3060" width="0" style="185" hidden="1" customWidth="1"/>
    <col min="3061" max="3061" width="9" style="185" customWidth="1"/>
    <col min="3062" max="3062" width="8" style="185" bestFit="1" customWidth="1"/>
    <col min="3063" max="3063" width="0" style="185" hidden="1" customWidth="1"/>
    <col min="3064" max="3064" width="8" style="185" customWidth="1"/>
    <col min="3065" max="3065" width="0" style="185" hidden="1" customWidth="1"/>
    <col min="3066" max="3066" width="8" style="185" bestFit="1" customWidth="1"/>
    <col min="3067" max="3067" width="0" style="185" hidden="1" customWidth="1"/>
    <col min="3068" max="3068" width="8" style="185" customWidth="1"/>
    <col min="3069" max="3069" width="0" style="185" hidden="1" customWidth="1"/>
    <col min="3070" max="3072" width="8" style="185" bestFit="1" customWidth="1"/>
    <col min="3073" max="3073" width="17.42578125" style="185" bestFit="1" customWidth="1"/>
    <col min="3074" max="3301" width="11.42578125" style="185"/>
    <col min="3302" max="3302" width="59.5703125" style="185" customWidth="1"/>
    <col min="3303" max="3311" width="0" style="185" hidden="1" customWidth="1"/>
    <col min="3312" max="3312" width="6.5703125" style="185" customWidth="1"/>
    <col min="3313" max="3313" width="6.85546875" style="185" bestFit="1" customWidth="1"/>
    <col min="3314" max="3315" width="7.7109375" style="185" bestFit="1" customWidth="1"/>
    <col min="3316" max="3316" width="0" style="185" hidden="1" customWidth="1"/>
    <col min="3317" max="3317" width="9" style="185" customWidth="1"/>
    <col min="3318" max="3318" width="8" style="185" bestFit="1" customWidth="1"/>
    <col min="3319" max="3319" width="0" style="185" hidden="1" customWidth="1"/>
    <col min="3320" max="3320" width="8" style="185" customWidth="1"/>
    <col min="3321" max="3321" width="0" style="185" hidden="1" customWidth="1"/>
    <col min="3322" max="3322" width="8" style="185" bestFit="1" customWidth="1"/>
    <col min="3323" max="3323" width="0" style="185" hidden="1" customWidth="1"/>
    <col min="3324" max="3324" width="8" style="185" customWidth="1"/>
    <col min="3325" max="3325" width="0" style="185" hidden="1" customWidth="1"/>
    <col min="3326" max="3328" width="8" style="185" bestFit="1" customWidth="1"/>
    <col min="3329" max="3329" width="17.42578125" style="185" bestFit="1" customWidth="1"/>
    <col min="3330" max="3557" width="11.42578125" style="185"/>
    <col min="3558" max="3558" width="59.5703125" style="185" customWidth="1"/>
    <col min="3559" max="3567" width="0" style="185" hidden="1" customWidth="1"/>
    <col min="3568" max="3568" width="6.5703125" style="185" customWidth="1"/>
    <col min="3569" max="3569" width="6.85546875" style="185" bestFit="1" customWidth="1"/>
    <col min="3570" max="3571" width="7.7109375" style="185" bestFit="1" customWidth="1"/>
    <col min="3572" max="3572" width="0" style="185" hidden="1" customWidth="1"/>
    <col min="3573" max="3573" width="9" style="185" customWidth="1"/>
    <col min="3574" max="3574" width="8" style="185" bestFit="1" customWidth="1"/>
    <col min="3575" max="3575" width="0" style="185" hidden="1" customWidth="1"/>
    <col min="3576" max="3576" width="8" style="185" customWidth="1"/>
    <col min="3577" max="3577" width="0" style="185" hidden="1" customWidth="1"/>
    <col min="3578" max="3578" width="8" style="185" bestFit="1" customWidth="1"/>
    <col min="3579" max="3579" width="0" style="185" hidden="1" customWidth="1"/>
    <col min="3580" max="3580" width="8" style="185" customWidth="1"/>
    <col min="3581" max="3581" width="0" style="185" hidden="1" customWidth="1"/>
    <col min="3582" max="3584" width="8" style="185" bestFit="1" customWidth="1"/>
    <col min="3585" max="3585" width="17.42578125" style="185" bestFit="1" customWidth="1"/>
    <col min="3586" max="3813" width="11.42578125" style="185"/>
    <col min="3814" max="3814" width="59.5703125" style="185" customWidth="1"/>
    <col min="3815" max="3823" width="0" style="185" hidden="1" customWidth="1"/>
    <col min="3824" max="3824" width="6.5703125" style="185" customWidth="1"/>
    <col min="3825" max="3825" width="6.85546875" style="185" bestFit="1" customWidth="1"/>
    <col min="3826" max="3827" width="7.7109375" style="185" bestFit="1" customWidth="1"/>
    <col min="3828" max="3828" width="0" style="185" hidden="1" customWidth="1"/>
    <col min="3829" max="3829" width="9" style="185" customWidth="1"/>
    <col min="3830" max="3830" width="8" style="185" bestFit="1" customWidth="1"/>
    <col min="3831" max="3831" width="0" style="185" hidden="1" customWidth="1"/>
    <col min="3832" max="3832" width="8" style="185" customWidth="1"/>
    <col min="3833" max="3833" width="0" style="185" hidden="1" customWidth="1"/>
    <col min="3834" max="3834" width="8" style="185" bestFit="1" customWidth="1"/>
    <col min="3835" max="3835" width="0" style="185" hidden="1" customWidth="1"/>
    <col min="3836" max="3836" width="8" style="185" customWidth="1"/>
    <col min="3837" max="3837" width="0" style="185" hidden="1" customWidth="1"/>
    <col min="3838" max="3840" width="8" style="185" bestFit="1" customWidth="1"/>
    <col min="3841" max="3841" width="17.42578125" style="185" bestFit="1" customWidth="1"/>
    <col min="3842" max="4069" width="11.42578125" style="185"/>
    <col min="4070" max="4070" width="59.5703125" style="185" customWidth="1"/>
    <col min="4071" max="4079" width="0" style="185" hidden="1" customWidth="1"/>
    <col min="4080" max="4080" width="6.5703125" style="185" customWidth="1"/>
    <col min="4081" max="4081" width="6.85546875" style="185" bestFit="1" customWidth="1"/>
    <col min="4082" max="4083" width="7.7109375" style="185" bestFit="1" customWidth="1"/>
    <col min="4084" max="4084" width="0" style="185" hidden="1" customWidth="1"/>
    <col min="4085" max="4085" width="9" style="185" customWidth="1"/>
    <col min="4086" max="4086" width="8" style="185" bestFit="1" customWidth="1"/>
    <col min="4087" max="4087" width="0" style="185" hidden="1" customWidth="1"/>
    <col min="4088" max="4088" width="8" style="185" customWidth="1"/>
    <col min="4089" max="4089" width="0" style="185" hidden="1" customWidth="1"/>
    <col min="4090" max="4090" width="8" style="185" bestFit="1" customWidth="1"/>
    <col min="4091" max="4091" width="0" style="185" hidden="1" customWidth="1"/>
    <col min="4092" max="4092" width="8" style="185" customWidth="1"/>
    <col min="4093" max="4093" width="0" style="185" hidden="1" customWidth="1"/>
    <col min="4094" max="4096" width="8" style="185" bestFit="1" customWidth="1"/>
    <col min="4097" max="4097" width="17.42578125" style="185" bestFit="1" customWidth="1"/>
    <col min="4098" max="4325" width="11.42578125" style="185"/>
    <col min="4326" max="4326" width="59.5703125" style="185" customWidth="1"/>
    <col min="4327" max="4335" width="0" style="185" hidden="1" customWidth="1"/>
    <col min="4336" max="4336" width="6.5703125" style="185" customWidth="1"/>
    <col min="4337" max="4337" width="6.85546875" style="185" bestFit="1" customWidth="1"/>
    <col min="4338" max="4339" width="7.7109375" style="185" bestFit="1" customWidth="1"/>
    <col min="4340" max="4340" width="0" style="185" hidden="1" customWidth="1"/>
    <col min="4341" max="4341" width="9" style="185" customWidth="1"/>
    <col min="4342" max="4342" width="8" style="185" bestFit="1" customWidth="1"/>
    <col min="4343" max="4343" width="0" style="185" hidden="1" customWidth="1"/>
    <col min="4344" max="4344" width="8" style="185" customWidth="1"/>
    <col min="4345" max="4345" width="0" style="185" hidden="1" customWidth="1"/>
    <col min="4346" max="4346" width="8" style="185" bestFit="1" customWidth="1"/>
    <col min="4347" max="4347" width="0" style="185" hidden="1" customWidth="1"/>
    <col min="4348" max="4348" width="8" style="185" customWidth="1"/>
    <col min="4349" max="4349" width="0" style="185" hidden="1" customWidth="1"/>
    <col min="4350" max="4352" width="8" style="185" bestFit="1" customWidth="1"/>
    <col min="4353" max="4353" width="17.42578125" style="185" bestFit="1" customWidth="1"/>
    <col min="4354" max="4581" width="11.42578125" style="185"/>
    <col min="4582" max="4582" width="59.5703125" style="185" customWidth="1"/>
    <col min="4583" max="4591" width="0" style="185" hidden="1" customWidth="1"/>
    <col min="4592" max="4592" width="6.5703125" style="185" customWidth="1"/>
    <col min="4593" max="4593" width="6.85546875" style="185" bestFit="1" customWidth="1"/>
    <col min="4594" max="4595" width="7.7109375" style="185" bestFit="1" customWidth="1"/>
    <col min="4596" max="4596" width="0" style="185" hidden="1" customWidth="1"/>
    <col min="4597" max="4597" width="9" style="185" customWidth="1"/>
    <col min="4598" max="4598" width="8" style="185" bestFit="1" customWidth="1"/>
    <col min="4599" max="4599" width="0" style="185" hidden="1" customWidth="1"/>
    <col min="4600" max="4600" width="8" style="185" customWidth="1"/>
    <col min="4601" max="4601" width="0" style="185" hidden="1" customWidth="1"/>
    <col min="4602" max="4602" width="8" style="185" bestFit="1" customWidth="1"/>
    <col min="4603" max="4603" width="0" style="185" hidden="1" customWidth="1"/>
    <col min="4604" max="4604" width="8" style="185" customWidth="1"/>
    <col min="4605" max="4605" width="0" style="185" hidden="1" customWidth="1"/>
    <col min="4606" max="4608" width="8" style="185" bestFit="1" customWidth="1"/>
    <col min="4609" max="4609" width="17.42578125" style="185" bestFit="1" customWidth="1"/>
    <col min="4610" max="4837" width="11.42578125" style="185"/>
    <col min="4838" max="4838" width="59.5703125" style="185" customWidth="1"/>
    <col min="4839" max="4847" width="0" style="185" hidden="1" customWidth="1"/>
    <col min="4848" max="4848" width="6.5703125" style="185" customWidth="1"/>
    <col min="4849" max="4849" width="6.85546875" style="185" bestFit="1" customWidth="1"/>
    <col min="4850" max="4851" width="7.7109375" style="185" bestFit="1" customWidth="1"/>
    <col min="4852" max="4852" width="0" style="185" hidden="1" customWidth="1"/>
    <col min="4853" max="4853" width="9" style="185" customWidth="1"/>
    <col min="4854" max="4854" width="8" style="185" bestFit="1" customWidth="1"/>
    <col min="4855" max="4855" width="0" style="185" hidden="1" customWidth="1"/>
    <col min="4856" max="4856" width="8" style="185" customWidth="1"/>
    <col min="4857" max="4857" width="0" style="185" hidden="1" customWidth="1"/>
    <col min="4858" max="4858" width="8" style="185" bestFit="1" customWidth="1"/>
    <col min="4859" max="4859" width="0" style="185" hidden="1" customWidth="1"/>
    <col min="4860" max="4860" width="8" style="185" customWidth="1"/>
    <col min="4861" max="4861" width="0" style="185" hidden="1" customWidth="1"/>
    <col min="4862" max="4864" width="8" style="185" bestFit="1" customWidth="1"/>
    <col min="4865" max="4865" width="17.42578125" style="185" bestFit="1" customWidth="1"/>
    <col min="4866" max="5093" width="11.42578125" style="185"/>
    <col min="5094" max="5094" width="59.5703125" style="185" customWidth="1"/>
    <col min="5095" max="5103" width="0" style="185" hidden="1" customWidth="1"/>
    <col min="5104" max="5104" width="6.5703125" style="185" customWidth="1"/>
    <col min="5105" max="5105" width="6.85546875" style="185" bestFit="1" customWidth="1"/>
    <col min="5106" max="5107" width="7.7109375" style="185" bestFit="1" customWidth="1"/>
    <col min="5108" max="5108" width="0" style="185" hidden="1" customWidth="1"/>
    <col min="5109" max="5109" width="9" style="185" customWidth="1"/>
    <col min="5110" max="5110" width="8" style="185" bestFit="1" customWidth="1"/>
    <col min="5111" max="5111" width="0" style="185" hidden="1" customWidth="1"/>
    <col min="5112" max="5112" width="8" style="185" customWidth="1"/>
    <col min="5113" max="5113" width="0" style="185" hidden="1" customWidth="1"/>
    <col min="5114" max="5114" width="8" style="185" bestFit="1" customWidth="1"/>
    <col min="5115" max="5115" width="0" style="185" hidden="1" customWidth="1"/>
    <col min="5116" max="5116" width="8" style="185" customWidth="1"/>
    <col min="5117" max="5117" width="0" style="185" hidden="1" customWidth="1"/>
    <col min="5118" max="5120" width="8" style="185" bestFit="1" customWidth="1"/>
    <col min="5121" max="5121" width="17.42578125" style="185" bestFit="1" customWidth="1"/>
    <col min="5122" max="5349" width="11.42578125" style="185"/>
    <col min="5350" max="5350" width="59.5703125" style="185" customWidth="1"/>
    <col min="5351" max="5359" width="0" style="185" hidden="1" customWidth="1"/>
    <col min="5360" max="5360" width="6.5703125" style="185" customWidth="1"/>
    <col min="5361" max="5361" width="6.85546875" style="185" bestFit="1" customWidth="1"/>
    <col min="5362" max="5363" width="7.7109375" style="185" bestFit="1" customWidth="1"/>
    <col min="5364" max="5364" width="0" style="185" hidden="1" customWidth="1"/>
    <col min="5365" max="5365" width="9" style="185" customWidth="1"/>
    <col min="5366" max="5366" width="8" style="185" bestFit="1" customWidth="1"/>
    <col min="5367" max="5367" width="0" style="185" hidden="1" customWidth="1"/>
    <col min="5368" max="5368" width="8" style="185" customWidth="1"/>
    <col min="5369" max="5369" width="0" style="185" hidden="1" customWidth="1"/>
    <col min="5370" max="5370" width="8" style="185" bestFit="1" customWidth="1"/>
    <col min="5371" max="5371" width="0" style="185" hidden="1" customWidth="1"/>
    <col min="5372" max="5372" width="8" style="185" customWidth="1"/>
    <col min="5373" max="5373" width="0" style="185" hidden="1" customWidth="1"/>
    <col min="5374" max="5376" width="8" style="185" bestFit="1" customWidth="1"/>
    <col min="5377" max="5377" width="17.42578125" style="185" bestFit="1" customWidth="1"/>
    <col min="5378" max="5605" width="11.42578125" style="185"/>
    <col min="5606" max="5606" width="59.5703125" style="185" customWidth="1"/>
    <col min="5607" max="5615" width="0" style="185" hidden="1" customWidth="1"/>
    <col min="5616" max="5616" width="6.5703125" style="185" customWidth="1"/>
    <col min="5617" max="5617" width="6.85546875" style="185" bestFit="1" customWidth="1"/>
    <col min="5618" max="5619" width="7.7109375" style="185" bestFit="1" customWidth="1"/>
    <col min="5620" max="5620" width="0" style="185" hidden="1" customWidth="1"/>
    <col min="5621" max="5621" width="9" style="185" customWidth="1"/>
    <col min="5622" max="5622" width="8" style="185" bestFit="1" customWidth="1"/>
    <col min="5623" max="5623" width="0" style="185" hidden="1" customWidth="1"/>
    <col min="5624" max="5624" width="8" style="185" customWidth="1"/>
    <col min="5625" max="5625" width="0" style="185" hidden="1" customWidth="1"/>
    <col min="5626" max="5626" width="8" style="185" bestFit="1" customWidth="1"/>
    <col min="5627" max="5627" width="0" style="185" hidden="1" customWidth="1"/>
    <col min="5628" max="5628" width="8" style="185" customWidth="1"/>
    <col min="5629" max="5629" width="0" style="185" hidden="1" customWidth="1"/>
    <col min="5630" max="5632" width="8" style="185" bestFit="1" customWidth="1"/>
    <col min="5633" max="5633" width="17.42578125" style="185" bestFit="1" customWidth="1"/>
    <col min="5634" max="5861" width="11.42578125" style="185"/>
    <col min="5862" max="5862" width="59.5703125" style="185" customWidth="1"/>
    <col min="5863" max="5871" width="0" style="185" hidden="1" customWidth="1"/>
    <col min="5872" max="5872" width="6.5703125" style="185" customWidth="1"/>
    <col min="5873" max="5873" width="6.85546875" style="185" bestFit="1" customWidth="1"/>
    <col min="5874" max="5875" width="7.7109375" style="185" bestFit="1" customWidth="1"/>
    <col min="5876" max="5876" width="0" style="185" hidden="1" customWidth="1"/>
    <col min="5877" max="5877" width="9" style="185" customWidth="1"/>
    <col min="5878" max="5878" width="8" style="185" bestFit="1" customWidth="1"/>
    <col min="5879" max="5879" width="0" style="185" hidden="1" customWidth="1"/>
    <col min="5880" max="5880" width="8" style="185" customWidth="1"/>
    <col min="5881" max="5881" width="0" style="185" hidden="1" customWidth="1"/>
    <col min="5882" max="5882" width="8" style="185" bestFit="1" customWidth="1"/>
    <col min="5883" max="5883" width="0" style="185" hidden="1" customWidth="1"/>
    <col min="5884" max="5884" width="8" style="185" customWidth="1"/>
    <col min="5885" max="5885" width="0" style="185" hidden="1" customWidth="1"/>
    <col min="5886" max="5888" width="8" style="185" bestFit="1" customWidth="1"/>
    <col min="5889" max="5889" width="17.42578125" style="185" bestFit="1" customWidth="1"/>
    <col min="5890" max="6117" width="11.42578125" style="185"/>
    <col min="6118" max="6118" width="59.5703125" style="185" customWidth="1"/>
    <col min="6119" max="6127" width="0" style="185" hidden="1" customWidth="1"/>
    <col min="6128" max="6128" width="6.5703125" style="185" customWidth="1"/>
    <col min="6129" max="6129" width="6.85546875" style="185" bestFit="1" customWidth="1"/>
    <col min="6130" max="6131" width="7.7109375" style="185" bestFit="1" customWidth="1"/>
    <col min="6132" max="6132" width="0" style="185" hidden="1" customWidth="1"/>
    <col min="6133" max="6133" width="9" style="185" customWidth="1"/>
    <col min="6134" max="6134" width="8" style="185" bestFit="1" customWidth="1"/>
    <col min="6135" max="6135" width="0" style="185" hidden="1" customWidth="1"/>
    <col min="6136" max="6136" width="8" style="185" customWidth="1"/>
    <col min="6137" max="6137" width="0" style="185" hidden="1" customWidth="1"/>
    <col min="6138" max="6138" width="8" style="185" bestFit="1" customWidth="1"/>
    <col min="6139" max="6139" width="0" style="185" hidden="1" customWidth="1"/>
    <col min="6140" max="6140" width="8" style="185" customWidth="1"/>
    <col min="6141" max="6141" width="0" style="185" hidden="1" customWidth="1"/>
    <col min="6142" max="6144" width="8" style="185" bestFit="1" customWidth="1"/>
    <col min="6145" max="6145" width="17.42578125" style="185" bestFit="1" customWidth="1"/>
    <col min="6146" max="6373" width="11.42578125" style="185"/>
    <col min="6374" max="6374" width="59.5703125" style="185" customWidth="1"/>
    <col min="6375" max="6383" width="0" style="185" hidden="1" customWidth="1"/>
    <col min="6384" max="6384" width="6.5703125" style="185" customWidth="1"/>
    <col min="6385" max="6385" width="6.85546875" style="185" bestFit="1" customWidth="1"/>
    <col min="6386" max="6387" width="7.7109375" style="185" bestFit="1" customWidth="1"/>
    <col min="6388" max="6388" width="0" style="185" hidden="1" customWidth="1"/>
    <col min="6389" max="6389" width="9" style="185" customWidth="1"/>
    <col min="6390" max="6390" width="8" style="185" bestFit="1" customWidth="1"/>
    <col min="6391" max="6391" width="0" style="185" hidden="1" customWidth="1"/>
    <col min="6392" max="6392" width="8" style="185" customWidth="1"/>
    <col min="6393" max="6393" width="0" style="185" hidden="1" customWidth="1"/>
    <col min="6394" max="6394" width="8" style="185" bestFit="1" customWidth="1"/>
    <col min="6395" max="6395" width="0" style="185" hidden="1" customWidth="1"/>
    <col min="6396" max="6396" width="8" style="185" customWidth="1"/>
    <col min="6397" max="6397" width="0" style="185" hidden="1" customWidth="1"/>
    <col min="6398" max="6400" width="8" style="185" bestFit="1" customWidth="1"/>
    <col min="6401" max="6401" width="17.42578125" style="185" bestFit="1" customWidth="1"/>
    <col min="6402" max="6629" width="11.42578125" style="185"/>
    <col min="6630" max="6630" width="59.5703125" style="185" customWidth="1"/>
    <col min="6631" max="6639" width="0" style="185" hidden="1" customWidth="1"/>
    <col min="6640" max="6640" width="6.5703125" style="185" customWidth="1"/>
    <col min="6641" max="6641" width="6.85546875" style="185" bestFit="1" customWidth="1"/>
    <col min="6642" max="6643" width="7.7109375" style="185" bestFit="1" customWidth="1"/>
    <col min="6644" max="6644" width="0" style="185" hidden="1" customWidth="1"/>
    <col min="6645" max="6645" width="9" style="185" customWidth="1"/>
    <col min="6646" max="6646" width="8" style="185" bestFit="1" customWidth="1"/>
    <col min="6647" max="6647" width="0" style="185" hidden="1" customWidth="1"/>
    <col min="6648" max="6648" width="8" style="185" customWidth="1"/>
    <col min="6649" max="6649" width="0" style="185" hidden="1" customWidth="1"/>
    <col min="6650" max="6650" width="8" style="185" bestFit="1" customWidth="1"/>
    <col min="6651" max="6651" width="0" style="185" hidden="1" customWidth="1"/>
    <col min="6652" max="6652" width="8" style="185" customWidth="1"/>
    <col min="6653" max="6653" width="0" style="185" hidden="1" customWidth="1"/>
    <col min="6654" max="6656" width="8" style="185" bestFit="1" customWidth="1"/>
    <col min="6657" max="6657" width="17.42578125" style="185" bestFit="1" customWidth="1"/>
    <col min="6658" max="6885" width="11.42578125" style="185"/>
    <col min="6886" max="6886" width="59.5703125" style="185" customWidth="1"/>
    <col min="6887" max="6895" width="0" style="185" hidden="1" customWidth="1"/>
    <col min="6896" max="6896" width="6.5703125" style="185" customWidth="1"/>
    <col min="6897" max="6897" width="6.85546875" style="185" bestFit="1" customWidth="1"/>
    <col min="6898" max="6899" width="7.7109375" style="185" bestFit="1" customWidth="1"/>
    <col min="6900" max="6900" width="0" style="185" hidden="1" customWidth="1"/>
    <col min="6901" max="6901" width="9" style="185" customWidth="1"/>
    <col min="6902" max="6902" width="8" style="185" bestFit="1" customWidth="1"/>
    <col min="6903" max="6903" width="0" style="185" hidden="1" customWidth="1"/>
    <col min="6904" max="6904" width="8" style="185" customWidth="1"/>
    <col min="6905" max="6905" width="0" style="185" hidden="1" customWidth="1"/>
    <col min="6906" max="6906" width="8" style="185" bestFit="1" customWidth="1"/>
    <col min="6907" max="6907" width="0" style="185" hidden="1" customWidth="1"/>
    <col min="6908" max="6908" width="8" style="185" customWidth="1"/>
    <col min="6909" max="6909" width="0" style="185" hidden="1" customWidth="1"/>
    <col min="6910" max="6912" width="8" style="185" bestFit="1" customWidth="1"/>
    <col min="6913" max="6913" width="17.42578125" style="185" bestFit="1" customWidth="1"/>
    <col min="6914" max="7141" width="11.42578125" style="185"/>
    <col min="7142" max="7142" width="59.5703125" style="185" customWidth="1"/>
    <col min="7143" max="7151" width="0" style="185" hidden="1" customWidth="1"/>
    <col min="7152" max="7152" width="6.5703125" style="185" customWidth="1"/>
    <col min="7153" max="7153" width="6.85546875" style="185" bestFit="1" customWidth="1"/>
    <col min="7154" max="7155" width="7.7109375" style="185" bestFit="1" customWidth="1"/>
    <col min="7156" max="7156" width="0" style="185" hidden="1" customWidth="1"/>
    <col min="7157" max="7157" width="9" style="185" customWidth="1"/>
    <col min="7158" max="7158" width="8" style="185" bestFit="1" customWidth="1"/>
    <col min="7159" max="7159" width="0" style="185" hidden="1" customWidth="1"/>
    <col min="7160" max="7160" width="8" style="185" customWidth="1"/>
    <col min="7161" max="7161" width="0" style="185" hidden="1" customWidth="1"/>
    <col min="7162" max="7162" width="8" style="185" bestFit="1" customWidth="1"/>
    <col min="7163" max="7163" width="0" style="185" hidden="1" customWidth="1"/>
    <col min="7164" max="7164" width="8" style="185" customWidth="1"/>
    <col min="7165" max="7165" width="0" style="185" hidden="1" customWidth="1"/>
    <col min="7166" max="7168" width="8" style="185" bestFit="1" customWidth="1"/>
    <col min="7169" max="7169" width="17.42578125" style="185" bestFit="1" customWidth="1"/>
    <col min="7170" max="7397" width="11.42578125" style="185"/>
    <col min="7398" max="7398" width="59.5703125" style="185" customWidth="1"/>
    <col min="7399" max="7407" width="0" style="185" hidden="1" customWidth="1"/>
    <col min="7408" max="7408" width="6.5703125" style="185" customWidth="1"/>
    <col min="7409" max="7409" width="6.85546875" style="185" bestFit="1" customWidth="1"/>
    <col min="7410" max="7411" width="7.7109375" style="185" bestFit="1" customWidth="1"/>
    <col min="7412" max="7412" width="0" style="185" hidden="1" customWidth="1"/>
    <col min="7413" max="7413" width="9" style="185" customWidth="1"/>
    <col min="7414" max="7414" width="8" style="185" bestFit="1" customWidth="1"/>
    <col min="7415" max="7415" width="0" style="185" hidden="1" customWidth="1"/>
    <col min="7416" max="7416" width="8" style="185" customWidth="1"/>
    <col min="7417" max="7417" width="0" style="185" hidden="1" customWidth="1"/>
    <col min="7418" max="7418" width="8" style="185" bestFit="1" customWidth="1"/>
    <col min="7419" max="7419" width="0" style="185" hidden="1" customWidth="1"/>
    <col min="7420" max="7420" width="8" style="185" customWidth="1"/>
    <col min="7421" max="7421" width="0" style="185" hidden="1" customWidth="1"/>
    <col min="7422" max="7424" width="8" style="185" bestFit="1" customWidth="1"/>
    <col min="7425" max="7425" width="17.42578125" style="185" bestFit="1" customWidth="1"/>
    <col min="7426" max="7653" width="11.42578125" style="185"/>
    <col min="7654" max="7654" width="59.5703125" style="185" customWidth="1"/>
    <col min="7655" max="7663" width="0" style="185" hidden="1" customWidth="1"/>
    <col min="7664" max="7664" width="6.5703125" style="185" customWidth="1"/>
    <col min="7665" max="7665" width="6.85546875" style="185" bestFit="1" customWidth="1"/>
    <col min="7666" max="7667" width="7.7109375" style="185" bestFit="1" customWidth="1"/>
    <col min="7668" max="7668" width="0" style="185" hidden="1" customWidth="1"/>
    <col min="7669" max="7669" width="9" style="185" customWidth="1"/>
    <col min="7670" max="7670" width="8" style="185" bestFit="1" customWidth="1"/>
    <col min="7671" max="7671" width="0" style="185" hidden="1" customWidth="1"/>
    <col min="7672" max="7672" width="8" style="185" customWidth="1"/>
    <col min="7673" max="7673" width="0" style="185" hidden="1" customWidth="1"/>
    <col min="7674" max="7674" width="8" style="185" bestFit="1" customWidth="1"/>
    <col min="7675" max="7675" width="0" style="185" hidden="1" customWidth="1"/>
    <col min="7676" max="7676" width="8" style="185" customWidth="1"/>
    <col min="7677" max="7677" width="0" style="185" hidden="1" customWidth="1"/>
    <col min="7678" max="7680" width="8" style="185" bestFit="1" customWidth="1"/>
    <col min="7681" max="7681" width="17.42578125" style="185" bestFit="1" customWidth="1"/>
    <col min="7682" max="7909" width="11.42578125" style="185"/>
    <col min="7910" max="7910" width="59.5703125" style="185" customWidth="1"/>
    <col min="7911" max="7919" width="0" style="185" hidden="1" customWidth="1"/>
    <col min="7920" max="7920" width="6.5703125" style="185" customWidth="1"/>
    <col min="7921" max="7921" width="6.85546875" style="185" bestFit="1" customWidth="1"/>
    <col min="7922" max="7923" width="7.7109375" style="185" bestFit="1" customWidth="1"/>
    <col min="7924" max="7924" width="0" style="185" hidden="1" customWidth="1"/>
    <col min="7925" max="7925" width="9" style="185" customWidth="1"/>
    <col min="7926" max="7926" width="8" style="185" bestFit="1" customWidth="1"/>
    <col min="7927" max="7927" width="0" style="185" hidden="1" customWidth="1"/>
    <col min="7928" max="7928" width="8" style="185" customWidth="1"/>
    <col min="7929" max="7929" width="0" style="185" hidden="1" customWidth="1"/>
    <col min="7930" max="7930" width="8" style="185" bestFit="1" customWidth="1"/>
    <col min="7931" max="7931" width="0" style="185" hidden="1" customWidth="1"/>
    <col min="7932" max="7932" width="8" style="185" customWidth="1"/>
    <col min="7933" max="7933" width="0" style="185" hidden="1" customWidth="1"/>
    <col min="7934" max="7936" width="8" style="185" bestFit="1" customWidth="1"/>
    <col min="7937" max="7937" width="17.42578125" style="185" bestFit="1" customWidth="1"/>
    <col min="7938" max="8165" width="11.42578125" style="185"/>
    <col min="8166" max="8166" width="59.5703125" style="185" customWidth="1"/>
    <col min="8167" max="8175" width="0" style="185" hidden="1" customWidth="1"/>
    <col min="8176" max="8176" width="6.5703125" style="185" customWidth="1"/>
    <col min="8177" max="8177" width="6.85546875" style="185" bestFit="1" customWidth="1"/>
    <col min="8178" max="8179" width="7.7109375" style="185" bestFit="1" customWidth="1"/>
    <col min="8180" max="8180" width="0" style="185" hidden="1" customWidth="1"/>
    <col min="8181" max="8181" width="9" style="185" customWidth="1"/>
    <col min="8182" max="8182" width="8" style="185" bestFit="1" customWidth="1"/>
    <col min="8183" max="8183" width="0" style="185" hidden="1" customWidth="1"/>
    <col min="8184" max="8184" width="8" style="185" customWidth="1"/>
    <col min="8185" max="8185" width="0" style="185" hidden="1" customWidth="1"/>
    <col min="8186" max="8186" width="8" style="185" bestFit="1" customWidth="1"/>
    <col min="8187" max="8187" width="0" style="185" hidden="1" customWidth="1"/>
    <col min="8188" max="8188" width="8" style="185" customWidth="1"/>
    <col min="8189" max="8189" width="0" style="185" hidden="1" customWidth="1"/>
    <col min="8190" max="8192" width="8" style="185" bestFit="1" customWidth="1"/>
    <col min="8193" max="8193" width="17.42578125" style="185" bestFit="1" customWidth="1"/>
    <col min="8194" max="8421" width="11.42578125" style="185"/>
    <col min="8422" max="8422" width="59.5703125" style="185" customWidth="1"/>
    <col min="8423" max="8431" width="0" style="185" hidden="1" customWidth="1"/>
    <col min="8432" max="8432" width="6.5703125" style="185" customWidth="1"/>
    <col min="8433" max="8433" width="6.85546875" style="185" bestFit="1" customWidth="1"/>
    <col min="8434" max="8435" width="7.7109375" style="185" bestFit="1" customWidth="1"/>
    <col min="8436" max="8436" width="0" style="185" hidden="1" customWidth="1"/>
    <col min="8437" max="8437" width="9" style="185" customWidth="1"/>
    <col min="8438" max="8438" width="8" style="185" bestFit="1" customWidth="1"/>
    <col min="8439" max="8439" width="0" style="185" hidden="1" customWidth="1"/>
    <col min="8440" max="8440" width="8" style="185" customWidth="1"/>
    <col min="8441" max="8441" width="0" style="185" hidden="1" customWidth="1"/>
    <col min="8442" max="8442" width="8" style="185" bestFit="1" customWidth="1"/>
    <col min="8443" max="8443" width="0" style="185" hidden="1" customWidth="1"/>
    <col min="8444" max="8444" width="8" style="185" customWidth="1"/>
    <col min="8445" max="8445" width="0" style="185" hidden="1" customWidth="1"/>
    <col min="8446" max="8448" width="8" style="185" bestFit="1" customWidth="1"/>
    <col min="8449" max="8449" width="17.42578125" style="185" bestFit="1" customWidth="1"/>
    <col min="8450" max="8677" width="11.42578125" style="185"/>
    <col min="8678" max="8678" width="59.5703125" style="185" customWidth="1"/>
    <col min="8679" max="8687" width="0" style="185" hidden="1" customWidth="1"/>
    <col min="8688" max="8688" width="6.5703125" style="185" customWidth="1"/>
    <col min="8689" max="8689" width="6.85546875" style="185" bestFit="1" customWidth="1"/>
    <col min="8690" max="8691" width="7.7109375" style="185" bestFit="1" customWidth="1"/>
    <col min="8692" max="8692" width="0" style="185" hidden="1" customWidth="1"/>
    <col min="8693" max="8693" width="9" style="185" customWidth="1"/>
    <col min="8694" max="8694" width="8" style="185" bestFit="1" customWidth="1"/>
    <col min="8695" max="8695" width="0" style="185" hidden="1" customWidth="1"/>
    <col min="8696" max="8696" width="8" style="185" customWidth="1"/>
    <col min="8697" max="8697" width="0" style="185" hidden="1" customWidth="1"/>
    <col min="8698" max="8698" width="8" style="185" bestFit="1" customWidth="1"/>
    <col min="8699" max="8699" width="0" style="185" hidden="1" customWidth="1"/>
    <col min="8700" max="8700" width="8" style="185" customWidth="1"/>
    <col min="8701" max="8701" width="0" style="185" hidden="1" customWidth="1"/>
    <col min="8702" max="8704" width="8" style="185" bestFit="1" customWidth="1"/>
    <col min="8705" max="8705" width="17.42578125" style="185" bestFit="1" customWidth="1"/>
    <col min="8706" max="8933" width="11.42578125" style="185"/>
    <col min="8934" max="8934" width="59.5703125" style="185" customWidth="1"/>
    <col min="8935" max="8943" width="0" style="185" hidden="1" customWidth="1"/>
    <col min="8944" max="8944" width="6.5703125" style="185" customWidth="1"/>
    <col min="8945" max="8945" width="6.85546875" style="185" bestFit="1" customWidth="1"/>
    <col min="8946" max="8947" width="7.7109375" style="185" bestFit="1" customWidth="1"/>
    <col min="8948" max="8948" width="0" style="185" hidden="1" customWidth="1"/>
    <col min="8949" max="8949" width="9" style="185" customWidth="1"/>
    <col min="8950" max="8950" width="8" style="185" bestFit="1" customWidth="1"/>
    <col min="8951" max="8951" width="0" style="185" hidden="1" customWidth="1"/>
    <col min="8952" max="8952" width="8" style="185" customWidth="1"/>
    <col min="8953" max="8953" width="0" style="185" hidden="1" customWidth="1"/>
    <col min="8954" max="8954" width="8" style="185" bestFit="1" customWidth="1"/>
    <col min="8955" max="8955" width="0" style="185" hidden="1" customWidth="1"/>
    <col min="8956" max="8956" width="8" style="185" customWidth="1"/>
    <col min="8957" max="8957" width="0" style="185" hidden="1" customWidth="1"/>
    <col min="8958" max="8960" width="8" style="185" bestFit="1" customWidth="1"/>
    <col min="8961" max="8961" width="17.42578125" style="185" bestFit="1" customWidth="1"/>
    <col min="8962" max="9189" width="11.42578125" style="185"/>
    <col min="9190" max="9190" width="59.5703125" style="185" customWidth="1"/>
    <col min="9191" max="9199" width="0" style="185" hidden="1" customWidth="1"/>
    <col min="9200" max="9200" width="6.5703125" style="185" customWidth="1"/>
    <col min="9201" max="9201" width="6.85546875" style="185" bestFit="1" customWidth="1"/>
    <col min="9202" max="9203" width="7.7109375" style="185" bestFit="1" customWidth="1"/>
    <col min="9204" max="9204" width="0" style="185" hidden="1" customWidth="1"/>
    <col min="9205" max="9205" width="9" style="185" customWidth="1"/>
    <col min="9206" max="9206" width="8" style="185" bestFit="1" customWidth="1"/>
    <col min="9207" max="9207" width="0" style="185" hidden="1" customWidth="1"/>
    <col min="9208" max="9208" width="8" style="185" customWidth="1"/>
    <col min="9209" max="9209" width="0" style="185" hidden="1" customWidth="1"/>
    <col min="9210" max="9210" width="8" style="185" bestFit="1" customWidth="1"/>
    <col min="9211" max="9211" width="0" style="185" hidden="1" customWidth="1"/>
    <col min="9212" max="9212" width="8" style="185" customWidth="1"/>
    <col min="9213" max="9213" width="0" style="185" hidden="1" customWidth="1"/>
    <col min="9214" max="9216" width="8" style="185" bestFit="1" customWidth="1"/>
    <col min="9217" max="9217" width="17.42578125" style="185" bestFit="1" customWidth="1"/>
    <col min="9218" max="9445" width="11.42578125" style="185"/>
    <col min="9446" max="9446" width="59.5703125" style="185" customWidth="1"/>
    <col min="9447" max="9455" width="0" style="185" hidden="1" customWidth="1"/>
    <col min="9456" max="9456" width="6.5703125" style="185" customWidth="1"/>
    <col min="9457" max="9457" width="6.85546875" style="185" bestFit="1" customWidth="1"/>
    <col min="9458" max="9459" width="7.7109375" style="185" bestFit="1" customWidth="1"/>
    <col min="9460" max="9460" width="0" style="185" hidden="1" customWidth="1"/>
    <col min="9461" max="9461" width="9" style="185" customWidth="1"/>
    <col min="9462" max="9462" width="8" style="185" bestFit="1" customWidth="1"/>
    <col min="9463" max="9463" width="0" style="185" hidden="1" customWidth="1"/>
    <col min="9464" max="9464" width="8" style="185" customWidth="1"/>
    <col min="9465" max="9465" width="0" style="185" hidden="1" customWidth="1"/>
    <col min="9466" max="9466" width="8" style="185" bestFit="1" customWidth="1"/>
    <col min="9467" max="9467" width="0" style="185" hidden="1" customWidth="1"/>
    <col min="9468" max="9468" width="8" style="185" customWidth="1"/>
    <col min="9469" max="9469" width="0" style="185" hidden="1" customWidth="1"/>
    <col min="9470" max="9472" width="8" style="185" bestFit="1" customWidth="1"/>
    <col min="9473" max="9473" width="17.42578125" style="185" bestFit="1" customWidth="1"/>
    <col min="9474" max="9701" width="11.42578125" style="185"/>
    <col min="9702" max="9702" width="59.5703125" style="185" customWidth="1"/>
    <col min="9703" max="9711" width="0" style="185" hidden="1" customWidth="1"/>
    <col min="9712" max="9712" width="6.5703125" style="185" customWidth="1"/>
    <col min="9713" max="9713" width="6.85546875" style="185" bestFit="1" customWidth="1"/>
    <col min="9714" max="9715" width="7.7109375" style="185" bestFit="1" customWidth="1"/>
    <col min="9716" max="9716" width="0" style="185" hidden="1" customWidth="1"/>
    <col min="9717" max="9717" width="9" style="185" customWidth="1"/>
    <col min="9718" max="9718" width="8" style="185" bestFit="1" customWidth="1"/>
    <col min="9719" max="9719" width="0" style="185" hidden="1" customWidth="1"/>
    <col min="9720" max="9720" width="8" style="185" customWidth="1"/>
    <col min="9721" max="9721" width="0" style="185" hidden="1" customWidth="1"/>
    <col min="9722" max="9722" width="8" style="185" bestFit="1" customWidth="1"/>
    <col min="9723" max="9723" width="0" style="185" hidden="1" customWidth="1"/>
    <col min="9724" max="9724" width="8" style="185" customWidth="1"/>
    <col min="9725" max="9725" width="0" style="185" hidden="1" customWidth="1"/>
    <col min="9726" max="9728" width="8" style="185" bestFit="1" customWidth="1"/>
    <col min="9729" max="9729" width="17.42578125" style="185" bestFit="1" customWidth="1"/>
    <col min="9730" max="9957" width="11.42578125" style="185"/>
    <col min="9958" max="9958" width="59.5703125" style="185" customWidth="1"/>
    <col min="9959" max="9967" width="0" style="185" hidden="1" customWidth="1"/>
    <col min="9968" max="9968" width="6.5703125" style="185" customWidth="1"/>
    <col min="9969" max="9969" width="6.85546875" style="185" bestFit="1" customWidth="1"/>
    <col min="9970" max="9971" width="7.7109375" style="185" bestFit="1" customWidth="1"/>
    <col min="9972" max="9972" width="0" style="185" hidden="1" customWidth="1"/>
    <col min="9973" max="9973" width="9" style="185" customWidth="1"/>
    <col min="9974" max="9974" width="8" style="185" bestFit="1" customWidth="1"/>
    <col min="9975" max="9975" width="0" style="185" hidden="1" customWidth="1"/>
    <col min="9976" max="9976" width="8" style="185" customWidth="1"/>
    <col min="9977" max="9977" width="0" style="185" hidden="1" customWidth="1"/>
    <col min="9978" max="9978" width="8" style="185" bestFit="1" customWidth="1"/>
    <col min="9979" max="9979" width="0" style="185" hidden="1" customWidth="1"/>
    <col min="9980" max="9980" width="8" style="185" customWidth="1"/>
    <col min="9981" max="9981" width="0" style="185" hidden="1" customWidth="1"/>
    <col min="9982" max="9984" width="8" style="185" bestFit="1" customWidth="1"/>
    <col min="9985" max="9985" width="17.42578125" style="185" bestFit="1" customWidth="1"/>
    <col min="9986" max="10213" width="11.42578125" style="185"/>
    <col min="10214" max="10214" width="59.5703125" style="185" customWidth="1"/>
    <col min="10215" max="10223" width="0" style="185" hidden="1" customWidth="1"/>
    <col min="10224" max="10224" width="6.5703125" style="185" customWidth="1"/>
    <col min="10225" max="10225" width="6.85546875" style="185" bestFit="1" customWidth="1"/>
    <col min="10226" max="10227" width="7.7109375" style="185" bestFit="1" customWidth="1"/>
    <col min="10228" max="10228" width="0" style="185" hidden="1" customWidth="1"/>
    <col min="10229" max="10229" width="9" style="185" customWidth="1"/>
    <col min="10230" max="10230" width="8" style="185" bestFit="1" customWidth="1"/>
    <col min="10231" max="10231" width="0" style="185" hidden="1" customWidth="1"/>
    <col min="10232" max="10232" width="8" style="185" customWidth="1"/>
    <col min="10233" max="10233" width="0" style="185" hidden="1" customWidth="1"/>
    <col min="10234" max="10234" width="8" style="185" bestFit="1" customWidth="1"/>
    <col min="10235" max="10235" width="0" style="185" hidden="1" customWidth="1"/>
    <col min="10236" max="10236" width="8" style="185" customWidth="1"/>
    <col min="10237" max="10237" width="0" style="185" hidden="1" customWidth="1"/>
    <col min="10238" max="10240" width="8" style="185" bestFit="1" customWidth="1"/>
    <col min="10241" max="10241" width="17.42578125" style="185" bestFit="1" customWidth="1"/>
    <col min="10242" max="10469" width="11.42578125" style="185"/>
    <col min="10470" max="10470" width="59.5703125" style="185" customWidth="1"/>
    <col min="10471" max="10479" width="0" style="185" hidden="1" customWidth="1"/>
    <col min="10480" max="10480" width="6.5703125" style="185" customWidth="1"/>
    <col min="10481" max="10481" width="6.85546875" style="185" bestFit="1" customWidth="1"/>
    <col min="10482" max="10483" width="7.7109375" style="185" bestFit="1" customWidth="1"/>
    <col min="10484" max="10484" width="0" style="185" hidden="1" customWidth="1"/>
    <col min="10485" max="10485" width="9" style="185" customWidth="1"/>
    <col min="10486" max="10486" width="8" style="185" bestFit="1" customWidth="1"/>
    <col min="10487" max="10487" width="0" style="185" hidden="1" customWidth="1"/>
    <col min="10488" max="10488" width="8" style="185" customWidth="1"/>
    <col min="10489" max="10489" width="0" style="185" hidden="1" customWidth="1"/>
    <col min="10490" max="10490" width="8" style="185" bestFit="1" customWidth="1"/>
    <col min="10491" max="10491" width="0" style="185" hidden="1" customWidth="1"/>
    <col min="10492" max="10492" width="8" style="185" customWidth="1"/>
    <col min="10493" max="10493" width="0" style="185" hidden="1" customWidth="1"/>
    <col min="10494" max="10496" width="8" style="185" bestFit="1" customWidth="1"/>
    <col min="10497" max="10497" width="17.42578125" style="185" bestFit="1" customWidth="1"/>
    <col min="10498" max="10725" width="11.42578125" style="185"/>
    <col min="10726" max="10726" width="59.5703125" style="185" customWidth="1"/>
    <col min="10727" max="10735" width="0" style="185" hidden="1" customWidth="1"/>
    <col min="10736" max="10736" width="6.5703125" style="185" customWidth="1"/>
    <col min="10737" max="10737" width="6.85546875" style="185" bestFit="1" customWidth="1"/>
    <col min="10738" max="10739" width="7.7109375" style="185" bestFit="1" customWidth="1"/>
    <col min="10740" max="10740" width="0" style="185" hidden="1" customWidth="1"/>
    <col min="10741" max="10741" width="9" style="185" customWidth="1"/>
    <col min="10742" max="10742" width="8" style="185" bestFit="1" customWidth="1"/>
    <col min="10743" max="10743" width="0" style="185" hidden="1" customWidth="1"/>
    <col min="10744" max="10744" width="8" style="185" customWidth="1"/>
    <col min="10745" max="10745" width="0" style="185" hidden="1" customWidth="1"/>
    <col min="10746" max="10746" width="8" style="185" bestFit="1" customWidth="1"/>
    <col min="10747" max="10747" width="0" style="185" hidden="1" customWidth="1"/>
    <col min="10748" max="10748" width="8" style="185" customWidth="1"/>
    <col min="10749" max="10749" width="0" style="185" hidden="1" customWidth="1"/>
    <col min="10750" max="10752" width="8" style="185" bestFit="1" customWidth="1"/>
    <col min="10753" max="10753" width="17.42578125" style="185" bestFit="1" customWidth="1"/>
    <col min="10754" max="10981" width="11.42578125" style="185"/>
    <col min="10982" max="10982" width="59.5703125" style="185" customWidth="1"/>
    <col min="10983" max="10991" width="0" style="185" hidden="1" customWidth="1"/>
    <col min="10992" max="10992" width="6.5703125" style="185" customWidth="1"/>
    <col min="10993" max="10993" width="6.85546875" style="185" bestFit="1" customWidth="1"/>
    <col min="10994" max="10995" width="7.7109375" style="185" bestFit="1" customWidth="1"/>
    <col min="10996" max="10996" width="0" style="185" hidden="1" customWidth="1"/>
    <col min="10997" max="10997" width="9" style="185" customWidth="1"/>
    <col min="10998" max="10998" width="8" style="185" bestFit="1" customWidth="1"/>
    <col min="10999" max="10999" width="0" style="185" hidden="1" customWidth="1"/>
    <col min="11000" max="11000" width="8" style="185" customWidth="1"/>
    <col min="11001" max="11001" width="0" style="185" hidden="1" customWidth="1"/>
    <col min="11002" max="11002" width="8" style="185" bestFit="1" customWidth="1"/>
    <col min="11003" max="11003" width="0" style="185" hidden="1" customWidth="1"/>
    <col min="11004" max="11004" width="8" style="185" customWidth="1"/>
    <col min="11005" max="11005" width="0" style="185" hidden="1" customWidth="1"/>
    <col min="11006" max="11008" width="8" style="185" bestFit="1" customWidth="1"/>
    <col min="11009" max="11009" width="17.42578125" style="185" bestFit="1" customWidth="1"/>
    <col min="11010" max="11237" width="11.42578125" style="185"/>
    <col min="11238" max="11238" width="59.5703125" style="185" customWidth="1"/>
    <col min="11239" max="11247" width="0" style="185" hidden="1" customWidth="1"/>
    <col min="11248" max="11248" width="6.5703125" style="185" customWidth="1"/>
    <col min="11249" max="11249" width="6.85546875" style="185" bestFit="1" customWidth="1"/>
    <col min="11250" max="11251" width="7.7109375" style="185" bestFit="1" customWidth="1"/>
    <col min="11252" max="11252" width="0" style="185" hidden="1" customWidth="1"/>
    <col min="11253" max="11253" width="9" style="185" customWidth="1"/>
    <col min="11254" max="11254" width="8" style="185" bestFit="1" customWidth="1"/>
    <col min="11255" max="11255" width="0" style="185" hidden="1" customWidth="1"/>
    <col min="11256" max="11256" width="8" style="185" customWidth="1"/>
    <col min="11257" max="11257" width="0" style="185" hidden="1" customWidth="1"/>
    <col min="11258" max="11258" width="8" style="185" bestFit="1" customWidth="1"/>
    <col min="11259" max="11259" width="0" style="185" hidden="1" customWidth="1"/>
    <col min="11260" max="11260" width="8" style="185" customWidth="1"/>
    <col min="11261" max="11261" width="0" style="185" hidden="1" customWidth="1"/>
    <col min="11262" max="11264" width="8" style="185" bestFit="1" customWidth="1"/>
    <col min="11265" max="11265" width="17.42578125" style="185" bestFit="1" customWidth="1"/>
    <col min="11266" max="11493" width="11.42578125" style="185"/>
    <col min="11494" max="11494" width="59.5703125" style="185" customWidth="1"/>
    <col min="11495" max="11503" width="0" style="185" hidden="1" customWidth="1"/>
    <col min="11504" max="11504" width="6.5703125" style="185" customWidth="1"/>
    <col min="11505" max="11505" width="6.85546875" style="185" bestFit="1" customWidth="1"/>
    <col min="11506" max="11507" width="7.7109375" style="185" bestFit="1" customWidth="1"/>
    <col min="11508" max="11508" width="0" style="185" hidden="1" customWidth="1"/>
    <col min="11509" max="11509" width="9" style="185" customWidth="1"/>
    <col min="11510" max="11510" width="8" style="185" bestFit="1" customWidth="1"/>
    <col min="11511" max="11511" width="0" style="185" hidden="1" customWidth="1"/>
    <col min="11512" max="11512" width="8" style="185" customWidth="1"/>
    <col min="11513" max="11513" width="0" style="185" hidden="1" customWidth="1"/>
    <col min="11514" max="11514" width="8" style="185" bestFit="1" customWidth="1"/>
    <col min="11515" max="11515" width="0" style="185" hidden="1" customWidth="1"/>
    <col min="11516" max="11516" width="8" style="185" customWidth="1"/>
    <col min="11517" max="11517" width="0" style="185" hidden="1" customWidth="1"/>
    <col min="11518" max="11520" width="8" style="185" bestFit="1" customWidth="1"/>
    <col min="11521" max="11521" width="17.42578125" style="185" bestFit="1" customWidth="1"/>
    <col min="11522" max="11749" width="11.42578125" style="185"/>
    <col min="11750" max="11750" width="59.5703125" style="185" customWidth="1"/>
    <col min="11751" max="11759" width="0" style="185" hidden="1" customWidth="1"/>
    <col min="11760" max="11760" width="6.5703125" style="185" customWidth="1"/>
    <col min="11761" max="11761" width="6.85546875" style="185" bestFit="1" customWidth="1"/>
    <col min="11762" max="11763" width="7.7109375" style="185" bestFit="1" customWidth="1"/>
    <col min="11764" max="11764" width="0" style="185" hidden="1" customWidth="1"/>
    <col min="11765" max="11765" width="9" style="185" customWidth="1"/>
    <col min="11766" max="11766" width="8" style="185" bestFit="1" customWidth="1"/>
    <col min="11767" max="11767" width="0" style="185" hidden="1" customWidth="1"/>
    <col min="11768" max="11768" width="8" style="185" customWidth="1"/>
    <col min="11769" max="11769" width="0" style="185" hidden="1" customWidth="1"/>
    <col min="11770" max="11770" width="8" style="185" bestFit="1" customWidth="1"/>
    <col min="11771" max="11771" width="0" style="185" hidden="1" customWidth="1"/>
    <col min="11772" max="11772" width="8" style="185" customWidth="1"/>
    <col min="11773" max="11773" width="0" style="185" hidden="1" customWidth="1"/>
    <col min="11774" max="11776" width="8" style="185" bestFit="1" customWidth="1"/>
    <col min="11777" max="11777" width="17.42578125" style="185" bestFit="1" customWidth="1"/>
    <col min="11778" max="12005" width="11.42578125" style="185"/>
    <col min="12006" max="12006" width="59.5703125" style="185" customWidth="1"/>
    <col min="12007" max="12015" width="0" style="185" hidden="1" customWidth="1"/>
    <col min="12016" max="12016" width="6.5703125" style="185" customWidth="1"/>
    <col min="12017" max="12017" width="6.85546875" style="185" bestFit="1" customWidth="1"/>
    <col min="12018" max="12019" width="7.7109375" style="185" bestFit="1" customWidth="1"/>
    <col min="12020" max="12020" width="0" style="185" hidden="1" customWidth="1"/>
    <col min="12021" max="12021" width="9" style="185" customWidth="1"/>
    <col min="12022" max="12022" width="8" style="185" bestFit="1" customWidth="1"/>
    <col min="12023" max="12023" width="0" style="185" hidden="1" customWidth="1"/>
    <col min="12024" max="12024" width="8" style="185" customWidth="1"/>
    <col min="12025" max="12025" width="0" style="185" hidden="1" customWidth="1"/>
    <col min="12026" max="12026" width="8" style="185" bestFit="1" customWidth="1"/>
    <col min="12027" max="12027" width="0" style="185" hidden="1" customWidth="1"/>
    <col min="12028" max="12028" width="8" style="185" customWidth="1"/>
    <col min="12029" max="12029" width="0" style="185" hidden="1" customWidth="1"/>
    <col min="12030" max="12032" width="8" style="185" bestFit="1" customWidth="1"/>
    <col min="12033" max="12033" width="17.42578125" style="185" bestFit="1" customWidth="1"/>
    <col min="12034" max="12261" width="11.42578125" style="185"/>
    <col min="12262" max="12262" width="59.5703125" style="185" customWidth="1"/>
    <col min="12263" max="12271" width="0" style="185" hidden="1" customWidth="1"/>
    <col min="12272" max="12272" width="6.5703125" style="185" customWidth="1"/>
    <col min="12273" max="12273" width="6.85546875" style="185" bestFit="1" customWidth="1"/>
    <col min="12274" max="12275" width="7.7109375" style="185" bestFit="1" customWidth="1"/>
    <col min="12276" max="12276" width="0" style="185" hidden="1" customWidth="1"/>
    <col min="12277" max="12277" width="9" style="185" customWidth="1"/>
    <col min="12278" max="12278" width="8" style="185" bestFit="1" customWidth="1"/>
    <col min="12279" max="12279" width="0" style="185" hidden="1" customWidth="1"/>
    <col min="12280" max="12280" width="8" style="185" customWidth="1"/>
    <col min="12281" max="12281" width="0" style="185" hidden="1" customWidth="1"/>
    <col min="12282" max="12282" width="8" style="185" bestFit="1" customWidth="1"/>
    <col min="12283" max="12283" width="0" style="185" hidden="1" customWidth="1"/>
    <col min="12284" max="12284" width="8" style="185" customWidth="1"/>
    <col min="12285" max="12285" width="0" style="185" hidden="1" customWidth="1"/>
    <col min="12286" max="12288" width="8" style="185" bestFit="1" customWidth="1"/>
    <col min="12289" max="12289" width="17.42578125" style="185" bestFit="1" customWidth="1"/>
    <col min="12290" max="12517" width="11.42578125" style="185"/>
    <col min="12518" max="12518" width="59.5703125" style="185" customWidth="1"/>
    <col min="12519" max="12527" width="0" style="185" hidden="1" customWidth="1"/>
    <col min="12528" max="12528" width="6.5703125" style="185" customWidth="1"/>
    <col min="12529" max="12529" width="6.85546875" style="185" bestFit="1" customWidth="1"/>
    <col min="12530" max="12531" width="7.7109375" style="185" bestFit="1" customWidth="1"/>
    <col min="12532" max="12532" width="0" style="185" hidden="1" customWidth="1"/>
    <col min="12533" max="12533" width="9" style="185" customWidth="1"/>
    <col min="12534" max="12534" width="8" style="185" bestFit="1" customWidth="1"/>
    <col min="12535" max="12535" width="0" style="185" hidden="1" customWidth="1"/>
    <col min="12536" max="12536" width="8" style="185" customWidth="1"/>
    <col min="12537" max="12537" width="0" style="185" hidden="1" customWidth="1"/>
    <col min="12538" max="12538" width="8" style="185" bestFit="1" customWidth="1"/>
    <col min="12539" max="12539" width="0" style="185" hidden="1" customWidth="1"/>
    <col min="12540" max="12540" width="8" style="185" customWidth="1"/>
    <col min="12541" max="12541" width="0" style="185" hidden="1" customWidth="1"/>
    <col min="12542" max="12544" width="8" style="185" bestFit="1" customWidth="1"/>
    <col min="12545" max="12545" width="17.42578125" style="185" bestFit="1" customWidth="1"/>
    <col min="12546" max="12773" width="11.42578125" style="185"/>
    <col min="12774" max="12774" width="59.5703125" style="185" customWidth="1"/>
    <col min="12775" max="12783" width="0" style="185" hidden="1" customWidth="1"/>
    <col min="12784" max="12784" width="6.5703125" style="185" customWidth="1"/>
    <col min="12785" max="12785" width="6.85546875" style="185" bestFit="1" customWidth="1"/>
    <col min="12786" max="12787" width="7.7109375" style="185" bestFit="1" customWidth="1"/>
    <col min="12788" max="12788" width="0" style="185" hidden="1" customWidth="1"/>
    <col min="12789" max="12789" width="9" style="185" customWidth="1"/>
    <col min="12790" max="12790" width="8" style="185" bestFit="1" customWidth="1"/>
    <col min="12791" max="12791" width="0" style="185" hidden="1" customWidth="1"/>
    <col min="12792" max="12792" width="8" style="185" customWidth="1"/>
    <col min="12793" max="12793" width="0" style="185" hidden="1" customWidth="1"/>
    <col min="12794" max="12794" width="8" style="185" bestFit="1" customWidth="1"/>
    <col min="12795" max="12795" width="0" style="185" hidden="1" customWidth="1"/>
    <col min="12796" max="12796" width="8" style="185" customWidth="1"/>
    <col min="12797" max="12797" width="0" style="185" hidden="1" customWidth="1"/>
    <col min="12798" max="12800" width="8" style="185" bestFit="1" customWidth="1"/>
    <col min="12801" max="12801" width="17.42578125" style="185" bestFit="1" customWidth="1"/>
    <col min="12802" max="13029" width="11.42578125" style="185"/>
    <col min="13030" max="13030" width="59.5703125" style="185" customWidth="1"/>
    <col min="13031" max="13039" width="0" style="185" hidden="1" customWidth="1"/>
    <col min="13040" max="13040" width="6.5703125" style="185" customWidth="1"/>
    <col min="13041" max="13041" width="6.85546875" style="185" bestFit="1" customWidth="1"/>
    <col min="13042" max="13043" width="7.7109375" style="185" bestFit="1" customWidth="1"/>
    <col min="13044" max="13044" width="0" style="185" hidden="1" customWidth="1"/>
    <col min="13045" max="13045" width="9" style="185" customWidth="1"/>
    <col min="13046" max="13046" width="8" style="185" bestFit="1" customWidth="1"/>
    <col min="13047" max="13047" width="0" style="185" hidden="1" customWidth="1"/>
    <col min="13048" max="13048" width="8" style="185" customWidth="1"/>
    <col min="13049" max="13049" width="0" style="185" hidden="1" customWidth="1"/>
    <col min="13050" max="13050" width="8" style="185" bestFit="1" customWidth="1"/>
    <col min="13051" max="13051" width="0" style="185" hidden="1" customWidth="1"/>
    <col min="13052" max="13052" width="8" style="185" customWidth="1"/>
    <col min="13053" max="13053" width="0" style="185" hidden="1" customWidth="1"/>
    <col min="13054" max="13056" width="8" style="185" bestFit="1" customWidth="1"/>
    <col min="13057" max="13057" width="17.42578125" style="185" bestFit="1" customWidth="1"/>
    <col min="13058" max="13285" width="11.42578125" style="185"/>
    <col min="13286" max="13286" width="59.5703125" style="185" customWidth="1"/>
    <col min="13287" max="13295" width="0" style="185" hidden="1" customWidth="1"/>
    <col min="13296" max="13296" width="6.5703125" style="185" customWidth="1"/>
    <col min="13297" max="13297" width="6.85546875" style="185" bestFit="1" customWidth="1"/>
    <col min="13298" max="13299" width="7.7109375" style="185" bestFit="1" customWidth="1"/>
    <col min="13300" max="13300" width="0" style="185" hidden="1" customWidth="1"/>
    <col min="13301" max="13301" width="9" style="185" customWidth="1"/>
    <col min="13302" max="13302" width="8" style="185" bestFit="1" customWidth="1"/>
    <col min="13303" max="13303" width="0" style="185" hidden="1" customWidth="1"/>
    <col min="13304" max="13304" width="8" style="185" customWidth="1"/>
    <col min="13305" max="13305" width="0" style="185" hidden="1" customWidth="1"/>
    <col min="13306" max="13306" width="8" style="185" bestFit="1" customWidth="1"/>
    <col min="13307" max="13307" width="0" style="185" hidden="1" customWidth="1"/>
    <col min="13308" max="13308" width="8" style="185" customWidth="1"/>
    <col min="13309" max="13309" width="0" style="185" hidden="1" customWidth="1"/>
    <col min="13310" max="13312" width="8" style="185" bestFit="1" customWidth="1"/>
    <col min="13313" max="13313" width="17.42578125" style="185" bestFit="1" customWidth="1"/>
    <col min="13314" max="13541" width="11.42578125" style="185"/>
    <col min="13542" max="13542" width="59.5703125" style="185" customWidth="1"/>
    <col min="13543" max="13551" width="0" style="185" hidden="1" customWidth="1"/>
    <col min="13552" max="13552" width="6.5703125" style="185" customWidth="1"/>
    <col min="13553" max="13553" width="6.85546875" style="185" bestFit="1" customWidth="1"/>
    <col min="13554" max="13555" width="7.7109375" style="185" bestFit="1" customWidth="1"/>
    <col min="13556" max="13556" width="0" style="185" hidden="1" customWidth="1"/>
    <col min="13557" max="13557" width="9" style="185" customWidth="1"/>
    <col min="13558" max="13558" width="8" style="185" bestFit="1" customWidth="1"/>
    <col min="13559" max="13559" width="0" style="185" hidden="1" customWidth="1"/>
    <col min="13560" max="13560" width="8" style="185" customWidth="1"/>
    <col min="13561" max="13561" width="0" style="185" hidden="1" customWidth="1"/>
    <col min="13562" max="13562" width="8" style="185" bestFit="1" customWidth="1"/>
    <col min="13563" max="13563" width="0" style="185" hidden="1" customWidth="1"/>
    <col min="13564" max="13564" width="8" style="185" customWidth="1"/>
    <col min="13565" max="13565" width="0" style="185" hidden="1" customWidth="1"/>
    <col min="13566" max="13568" width="8" style="185" bestFit="1" customWidth="1"/>
    <col min="13569" max="13569" width="17.42578125" style="185" bestFit="1" customWidth="1"/>
    <col min="13570" max="13797" width="11.42578125" style="185"/>
    <col min="13798" max="13798" width="59.5703125" style="185" customWidth="1"/>
    <col min="13799" max="13807" width="0" style="185" hidden="1" customWidth="1"/>
    <col min="13808" max="13808" width="6.5703125" style="185" customWidth="1"/>
    <col min="13809" max="13809" width="6.85546875" style="185" bestFit="1" customWidth="1"/>
    <col min="13810" max="13811" width="7.7109375" style="185" bestFit="1" customWidth="1"/>
    <col min="13812" max="13812" width="0" style="185" hidden="1" customWidth="1"/>
    <col min="13813" max="13813" width="9" style="185" customWidth="1"/>
    <col min="13814" max="13814" width="8" style="185" bestFit="1" customWidth="1"/>
    <col min="13815" max="13815" width="0" style="185" hidden="1" customWidth="1"/>
    <col min="13816" max="13816" width="8" style="185" customWidth="1"/>
    <col min="13817" max="13817" width="0" style="185" hidden="1" customWidth="1"/>
    <col min="13818" max="13818" width="8" style="185" bestFit="1" customWidth="1"/>
    <col min="13819" max="13819" width="0" style="185" hidden="1" customWidth="1"/>
    <col min="13820" max="13820" width="8" style="185" customWidth="1"/>
    <col min="13821" max="13821" width="0" style="185" hidden="1" customWidth="1"/>
    <col min="13822" max="13824" width="8" style="185" bestFit="1" customWidth="1"/>
    <col min="13825" max="13825" width="17.42578125" style="185" bestFit="1" customWidth="1"/>
    <col min="13826" max="14053" width="11.42578125" style="185"/>
    <col min="14054" max="14054" width="59.5703125" style="185" customWidth="1"/>
    <col min="14055" max="14063" width="0" style="185" hidden="1" customWidth="1"/>
    <col min="14064" max="14064" width="6.5703125" style="185" customWidth="1"/>
    <col min="14065" max="14065" width="6.85546875" style="185" bestFit="1" customWidth="1"/>
    <col min="14066" max="14067" width="7.7109375" style="185" bestFit="1" customWidth="1"/>
    <col min="14068" max="14068" width="0" style="185" hidden="1" customWidth="1"/>
    <col min="14069" max="14069" width="9" style="185" customWidth="1"/>
    <col min="14070" max="14070" width="8" style="185" bestFit="1" customWidth="1"/>
    <col min="14071" max="14071" width="0" style="185" hidden="1" customWidth="1"/>
    <col min="14072" max="14072" width="8" style="185" customWidth="1"/>
    <col min="14073" max="14073" width="0" style="185" hidden="1" customWidth="1"/>
    <col min="14074" max="14074" width="8" style="185" bestFit="1" customWidth="1"/>
    <col min="14075" max="14075" width="0" style="185" hidden="1" customWidth="1"/>
    <col min="14076" max="14076" width="8" style="185" customWidth="1"/>
    <col min="14077" max="14077" width="0" style="185" hidden="1" customWidth="1"/>
    <col min="14078" max="14080" width="8" style="185" bestFit="1" customWidth="1"/>
    <col min="14081" max="14081" width="17.42578125" style="185" bestFit="1" customWidth="1"/>
    <col min="14082" max="14309" width="11.42578125" style="185"/>
    <col min="14310" max="14310" width="59.5703125" style="185" customWidth="1"/>
    <col min="14311" max="14319" width="0" style="185" hidden="1" customWidth="1"/>
    <col min="14320" max="14320" width="6.5703125" style="185" customWidth="1"/>
    <col min="14321" max="14321" width="6.85546875" style="185" bestFit="1" customWidth="1"/>
    <col min="14322" max="14323" width="7.7109375" style="185" bestFit="1" customWidth="1"/>
    <col min="14324" max="14324" width="0" style="185" hidden="1" customWidth="1"/>
    <col min="14325" max="14325" width="9" style="185" customWidth="1"/>
    <col min="14326" max="14326" width="8" style="185" bestFit="1" customWidth="1"/>
    <col min="14327" max="14327" width="0" style="185" hidden="1" customWidth="1"/>
    <col min="14328" max="14328" width="8" style="185" customWidth="1"/>
    <col min="14329" max="14329" width="0" style="185" hidden="1" customWidth="1"/>
    <col min="14330" max="14330" width="8" style="185" bestFit="1" customWidth="1"/>
    <col min="14331" max="14331" width="0" style="185" hidden="1" customWidth="1"/>
    <col min="14332" max="14332" width="8" style="185" customWidth="1"/>
    <col min="14333" max="14333" width="0" style="185" hidden="1" customWidth="1"/>
    <col min="14334" max="14336" width="8" style="185" bestFit="1" customWidth="1"/>
    <col min="14337" max="14337" width="17.42578125" style="185" bestFit="1" customWidth="1"/>
    <col min="14338" max="14565" width="11.42578125" style="185"/>
    <col min="14566" max="14566" width="59.5703125" style="185" customWidth="1"/>
    <col min="14567" max="14575" width="0" style="185" hidden="1" customWidth="1"/>
    <col min="14576" max="14576" width="6.5703125" style="185" customWidth="1"/>
    <col min="14577" max="14577" width="6.85546875" style="185" bestFit="1" customWidth="1"/>
    <col min="14578" max="14579" width="7.7109375" style="185" bestFit="1" customWidth="1"/>
    <col min="14580" max="14580" width="0" style="185" hidden="1" customWidth="1"/>
    <col min="14581" max="14581" width="9" style="185" customWidth="1"/>
    <col min="14582" max="14582" width="8" style="185" bestFit="1" customWidth="1"/>
    <col min="14583" max="14583" width="0" style="185" hidden="1" customWidth="1"/>
    <col min="14584" max="14584" width="8" style="185" customWidth="1"/>
    <col min="14585" max="14585" width="0" style="185" hidden="1" customWidth="1"/>
    <col min="14586" max="14586" width="8" style="185" bestFit="1" customWidth="1"/>
    <col min="14587" max="14587" width="0" style="185" hidden="1" customWidth="1"/>
    <col min="14588" max="14588" width="8" style="185" customWidth="1"/>
    <col min="14589" max="14589" width="0" style="185" hidden="1" customWidth="1"/>
    <col min="14590" max="14592" width="8" style="185" bestFit="1" customWidth="1"/>
    <col min="14593" max="14593" width="17.42578125" style="185" bestFit="1" customWidth="1"/>
    <col min="14594" max="14821" width="11.42578125" style="185"/>
    <col min="14822" max="14822" width="59.5703125" style="185" customWidth="1"/>
    <col min="14823" max="14831" width="0" style="185" hidden="1" customWidth="1"/>
    <col min="14832" max="14832" width="6.5703125" style="185" customWidth="1"/>
    <col min="14833" max="14833" width="6.85546875" style="185" bestFit="1" customWidth="1"/>
    <col min="14834" max="14835" width="7.7109375" style="185" bestFit="1" customWidth="1"/>
    <col min="14836" max="14836" width="0" style="185" hidden="1" customWidth="1"/>
    <col min="14837" max="14837" width="9" style="185" customWidth="1"/>
    <col min="14838" max="14838" width="8" style="185" bestFit="1" customWidth="1"/>
    <col min="14839" max="14839" width="0" style="185" hidden="1" customWidth="1"/>
    <col min="14840" max="14840" width="8" style="185" customWidth="1"/>
    <col min="14841" max="14841" width="0" style="185" hidden="1" customWidth="1"/>
    <col min="14842" max="14842" width="8" style="185" bestFit="1" customWidth="1"/>
    <col min="14843" max="14843" width="0" style="185" hidden="1" customWidth="1"/>
    <col min="14844" max="14844" width="8" style="185" customWidth="1"/>
    <col min="14845" max="14845" width="0" style="185" hidden="1" customWidth="1"/>
    <col min="14846" max="14848" width="8" style="185" bestFit="1" customWidth="1"/>
    <col min="14849" max="14849" width="17.42578125" style="185" bestFit="1" customWidth="1"/>
    <col min="14850" max="15077" width="11.42578125" style="185"/>
    <col min="15078" max="15078" width="59.5703125" style="185" customWidth="1"/>
    <col min="15079" max="15087" width="0" style="185" hidden="1" customWidth="1"/>
    <col min="15088" max="15088" width="6.5703125" style="185" customWidth="1"/>
    <col min="15089" max="15089" width="6.85546875" style="185" bestFit="1" customWidth="1"/>
    <col min="15090" max="15091" width="7.7109375" style="185" bestFit="1" customWidth="1"/>
    <col min="15092" max="15092" width="0" style="185" hidden="1" customWidth="1"/>
    <col min="15093" max="15093" width="9" style="185" customWidth="1"/>
    <col min="15094" max="15094" width="8" style="185" bestFit="1" customWidth="1"/>
    <col min="15095" max="15095" width="0" style="185" hidden="1" customWidth="1"/>
    <col min="15096" max="15096" width="8" style="185" customWidth="1"/>
    <col min="15097" max="15097" width="0" style="185" hidden="1" customWidth="1"/>
    <col min="15098" max="15098" width="8" style="185" bestFit="1" customWidth="1"/>
    <col min="15099" max="15099" width="0" style="185" hidden="1" customWidth="1"/>
    <col min="15100" max="15100" width="8" style="185" customWidth="1"/>
    <col min="15101" max="15101" width="0" style="185" hidden="1" customWidth="1"/>
    <col min="15102" max="15104" width="8" style="185" bestFit="1" customWidth="1"/>
    <col min="15105" max="15105" width="17.42578125" style="185" bestFit="1" customWidth="1"/>
    <col min="15106" max="15333" width="11.42578125" style="185"/>
    <col min="15334" max="15334" width="59.5703125" style="185" customWidth="1"/>
    <col min="15335" max="15343" width="0" style="185" hidden="1" customWidth="1"/>
    <col min="15344" max="15344" width="6.5703125" style="185" customWidth="1"/>
    <col min="15345" max="15345" width="6.85546875" style="185" bestFit="1" customWidth="1"/>
    <col min="15346" max="15347" width="7.7109375" style="185" bestFit="1" customWidth="1"/>
    <col min="15348" max="15348" width="0" style="185" hidden="1" customWidth="1"/>
    <col min="15349" max="15349" width="9" style="185" customWidth="1"/>
    <col min="15350" max="15350" width="8" style="185" bestFit="1" customWidth="1"/>
    <col min="15351" max="15351" width="0" style="185" hidden="1" customWidth="1"/>
    <col min="15352" max="15352" width="8" style="185" customWidth="1"/>
    <col min="15353" max="15353" width="0" style="185" hidden="1" customWidth="1"/>
    <col min="15354" max="15354" width="8" style="185" bestFit="1" customWidth="1"/>
    <col min="15355" max="15355" width="0" style="185" hidden="1" customWidth="1"/>
    <col min="15356" max="15356" width="8" style="185" customWidth="1"/>
    <col min="15357" max="15357" width="0" style="185" hidden="1" customWidth="1"/>
    <col min="15358" max="15360" width="8" style="185" bestFit="1" customWidth="1"/>
    <col min="15361" max="15361" width="17.42578125" style="185" bestFit="1" customWidth="1"/>
    <col min="15362" max="15589" width="11.42578125" style="185"/>
    <col min="15590" max="15590" width="59.5703125" style="185" customWidth="1"/>
    <col min="15591" max="15599" width="0" style="185" hidden="1" customWidth="1"/>
    <col min="15600" max="15600" width="6.5703125" style="185" customWidth="1"/>
    <col min="15601" max="15601" width="6.85546875" style="185" bestFit="1" customWidth="1"/>
    <col min="15602" max="15603" width="7.7109375" style="185" bestFit="1" customWidth="1"/>
    <col min="15604" max="15604" width="0" style="185" hidden="1" customWidth="1"/>
    <col min="15605" max="15605" width="9" style="185" customWidth="1"/>
    <col min="15606" max="15606" width="8" style="185" bestFit="1" customWidth="1"/>
    <col min="15607" max="15607" width="0" style="185" hidden="1" customWidth="1"/>
    <col min="15608" max="15608" width="8" style="185" customWidth="1"/>
    <col min="15609" max="15609" width="0" style="185" hidden="1" customWidth="1"/>
    <col min="15610" max="15610" width="8" style="185" bestFit="1" customWidth="1"/>
    <col min="15611" max="15611" width="0" style="185" hidden="1" customWidth="1"/>
    <col min="15612" max="15612" width="8" style="185" customWidth="1"/>
    <col min="15613" max="15613" width="0" style="185" hidden="1" customWidth="1"/>
    <col min="15614" max="15616" width="8" style="185" bestFit="1" customWidth="1"/>
    <col min="15617" max="15617" width="17.42578125" style="185" bestFit="1" customWidth="1"/>
    <col min="15618" max="15845" width="11.42578125" style="185"/>
    <col min="15846" max="15846" width="59.5703125" style="185" customWidth="1"/>
    <col min="15847" max="15855" width="0" style="185" hidden="1" customWidth="1"/>
    <col min="15856" max="15856" width="6.5703125" style="185" customWidth="1"/>
    <col min="15857" max="15857" width="6.85546875" style="185" bestFit="1" customWidth="1"/>
    <col min="15858" max="15859" width="7.7109375" style="185" bestFit="1" customWidth="1"/>
    <col min="15860" max="15860" width="0" style="185" hidden="1" customWidth="1"/>
    <col min="15861" max="15861" width="9" style="185" customWidth="1"/>
    <col min="15862" max="15862" width="8" style="185" bestFit="1" customWidth="1"/>
    <col min="15863" max="15863" width="0" style="185" hidden="1" customWidth="1"/>
    <col min="15864" max="15864" width="8" style="185" customWidth="1"/>
    <col min="15865" max="15865" width="0" style="185" hidden="1" customWidth="1"/>
    <col min="15866" max="15866" width="8" style="185" bestFit="1" customWidth="1"/>
    <col min="15867" max="15867" width="0" style="185" hidden="1" customWidth="1"/>
    <col min="15868" max="15868" width="8" style="185" customWidth="1"/>
    <col min="15869" max="15869" width="0" style="185" hidden="1" customWidth="1"/>
    <col min="15870" max="15872" width="8" style="185" bestFit="1" customWidth="1"/>
    <col min="15873" max="15873" width="17.42578125" style="185" bestFit="1" customWidth="1"/>
    <col min="15874" max="16101" width="11.42578125" style="185"/>
    <col min="16102" max="16102" width="59.5703125" style="185" customWidth="1"/>
    <col min="16103" max="16111" width="0" style="185" hidden="1" customWidth="1"/>
    <col min="16112" max="16112" width="6.5703125" style="185" customWidth="1"/>
    <col min="16113" max="16113" width="6.85546875" style="185" bestFit="1" customWidth="1"/>
    <col min="16114" max="16115" width="7.7109375" style="185" bestFit="1" customWidth="1"/>
    <col min="16116" max="16116" width="0" style="185" hidden="1" customWidth="1"/>
    <col min="16117" max="16117" width="9" style="185" customWidth="1"/>
    <col min="16118" max="16118" width="8" style="185" bestFit="1" customWidth="1"/>
    <col min="16119" max="16119" width="0" style="185" hidden="1" customWidth="1"/>
    <col min="16120" max="16120" width="8" style="185" customWidth="1"/>
    <col min="16121" max="16121" width="0" style="185" hidden="1" customWidth="1"/>
    <col min="16122" max="16122" width="8" style="185" bestFit="1" customWidth="1"/>
    <col min="16123" max="16123" width="0" style="185" hidden="1" customWidth="1"/>
    <col min="16124" max="16124" width="8" style="185" customWidth="1"/>
    <col min="16125" max="16125" width="0" style="185" hidden="1" customWidth="1"/>
    <col min="16126" max="16128" width="8" style="185" bestFit="1" customWidth="1"/>
    <col min="16129" max="16129" width="17.42578125" style="185" bestFit="1" customWidth="1"/>
    <col min="16130" max="16384" width="11.42578125" style="185"/>
  </cols>
  <sheetData>
    <row r="1" spans="1:10" s="131" customFormat="1" ht="15.75">
      <c r="A1" s="180" t="s">
        <v>1006</v>
      </c>
    </row>
    <row r="2" spans="1:10" s="131" customFormat="1" ht="15">
      <c r="A2" s="160" t="s">
        <v>35</v>
      </c>
    </row>
    <row r="3" spans="1:10" s="131" customFormat="1" ht="15">
      <c r="F3" s="189"/>
    </row>
    <row r="4" spans="1:10" s="193" customFormat="1" ht="13.5">
      <c r="A4" s="484"/>
      <c r="B4" s="484"/>
      <c r="C4" s="484">
        <v>2014</v>
      </c>
      <c r="D4" s="484">
        <v>2015</v>
      </c>
      <c r="E4" s="484">
        <v>2016</v>
      </c>
      <c r="F4" s="485"/>
      <c r="G4" s="484">
        <v>2013</v>
      </c>
      <c r="H4" s="484">
        <v>2014</v>
      </c>
      <c r="I4" s="484">
        <v>2015</v>
      </c>
      <c r="J4" s="484">
        <v>2016</v>
      </c>
    </row>
    <row r="5" spans="1:10" s="193" customFormat="1" ht="13.5">
      <c r="A5" s="486"/>
      <c r="B5" s="486"/>
      <c r="C5" s="486"/>
      <c r="D5" s="486" t="s">
        <v>37</v>
      </c>
      <c r="E5" s="486" t="s">
        <v>37</v>
      </c>
      <c r="F5" s="485"/>
      <c r="G5" s="486"/>
      <c r="H5" s="486"/>
      <c r="I5" s="486" t="s">
        <v>37</v>
      </c>
      <c r="J5" s="486" t="s">
        <v>37</v>
      </c>
    </row>
    <row r="6" spans="1:10" s="197" customFormat="1" ht="15" customHeight="1">
      <c r="A6" s="487"/>
      <c r="B6" s="487"/>
      <c r="C6" s="577"/>
      <c r="D6" s="577"/>
      <c r="E6" s="577"/>
      <c r="F6" s="487"/>
      <c r="G6" s="577" t="s">
        <v>606</v>
      </c>
      <c r="H6" s="577"/>
      <c r="I6" s="577"/>
      <c r="J6" s="577"/>
    </row>
    <row r="7" spans="1:10" s="160" customFormat="1" ht="14.25">
      <c r="A7" s="488" t="s">
        <v>665</v>
      </c>
      <c r="B7" s="135"/>
      <c r="C7" s="135"/>
      <c r="D7" s="135"/>
      <c r="E7" s="135"/>
      <c r="F7" s="135"/>
      <c r="G7" s="135"/>
      <c r="H7" s="135"/>
      <c r="I7" s="135"/>
      <c r="J7" s="135"/>
    </row>
    <row r="8" spans="1:10" s="160" customFormat="1" ht="14.25">
      <c r="A8" s="489" t="s">
        <v>667</v>
      </c>
      <c r="B8" s="188" t="s">
        <v>745</v>
      </c>
      <c r="C8" s="490">
        <v>34248.39</v>
      </c>
      <c r="D8" s="490">
        <v>34575.821000000004</v>
      </c>
      <c r="E8" s="490">
        <v>36487.739000000001</v>
      </c>
      <c r="F8" s="135"/>
      <c r="G8" s="490">
        <v>31900.61865724</v>
      </c>
      <c r="H8" s="490">
        <v>34562.836811050001</v>
      </c>
      <c r="I8" s="490">
        <v>34520.822</v>
      </c>
      <c r="J8" s="490">
        <v>36514.730000000003</v>
      </c>
    </row>
    <row r="9" spans="1:10" ht="12" customHeight="1">
      <c r="A9" s="489"/>
      <c r="B9" s="135" t="s">
        <v>208</v>
      </c>
      <c r="C9" s="350"/>
      <c r="D9" s="350"/>
      <c r="E9" s="350"/>
      <c r="F9" s="186"/>
      <c r="G9" s="350"/>
      <c r="H9" s="350"/>
      <c r="I9" s="350"/>
      <c r="J9" s="350"/>
    </row>
    <row r="10" spans="1:10" s="160" customFormat="1" ht="14.25">
      <c r="A10" s="489"/>
      <c r="B10" s="135" t="s">
        <v>668</v>
      </c>
      <c r="C10" s="350">
        <v>7392.3217042799997</v>
      </c>
      <c r="D10" s="350">
        <v>7114.8320000000003</v>
      </c>
      <c r="E10" s="350">
        <v>8058.2539999999999</v>
      </c>
      <c r="F10" s="135"/>
      <c r="G10" s="350">
        <v>6460.9355978100002</v>
      </c>
      <c r="H10" s="350">
        <v>7707.2851639700002</v>
      </c>
      <c r="I10" s="350">
        <v>7122.1719999999996</v>
      </c>
      <c r="J10" s="350">
        <v>8067.8819999999996</v>
      </c>
    </row>
    <row r="11" spans="1:10" s="160" customFormat="1" ht="14.25">
      <c r="A11" s="489"/>
      <c r="B11" s="135" t="s">
        <v>669</v>
      </c>
      <c r="C11" s="350">
        <v>2624.1224619700001</v>
      </c>
      <c r="D11" s="350">
        <v>2685.598</v>
      </c>
      <c r="E11" s="350">
        <v>2762.1909999999998</v>
      </c>
      <c r="F11" s="135"/>
      <c r="G11" s="350">
        <v>2570.4749580600001</v>
      </c>
      <c r="H11" s="350">
        <v>2622.33572727</v>
      </c>
      <c r="I11" s="350">
        <v>2683.951</v>
      </c>
      <c r="J11" s="350">
        <v>2761.9059999999999</v>
      </c>
    </row>
    <row r="12" spans="1:10" s="160" customFormat="1" ht="14.25">
      <c r="A12" s="489"/>
      <c r="B12" s="135" t="s">
        <v>670</v>
      </c>
      <c r="C12" s="350">
        <v>10402.763999999999</v>
      </c>
      <c r="D12" s="350">
        <v>10680</v>
      </c>
      <c r="E12" s="350">
        <v>11018.865</v>
      </c>
      <c r="F12" s="135"/>
      <c r="G12" s="350">
        <v>9703.616</v>
      </c>
      <c r="H12" s="350">
        <v>10548.893</v>
      </c>
      <c r="I12" s="350">
        <v>10680</v>
      </c>
      <c r="J12" s="350">
        <v>11018.865</v>
      </c>
    </row>
    <row r="13" spans="1:10" s="160" customFormat="1" ht="14.25">
      <c r="A13" s="489"/>
      <c r="B13" s="135" t="s">
        <v>985</v>
      </c>
      <c r="C13" s="350">
        <v>5827.7179999999998</v>
      </c>
      <c r="D13" s="350">
        <v>6065.7579999999998</v>
      </c>
      <c r="E13" s="350">
        <v>6163.2910000000002</v>
      </c>
      <c r="F13" s="135"/>
      <c r="G13" s="350">
        <v>5390.4759999999997</v>
      </c>
      <c r="H13" s="350">
        <v>5765.1530000000002</v>
      </c>
      <c r="I13" s="350">
        <v>6047.1970000000001</v>
      </c>
      <c r="J13" s="350">
        <v>6151.5829999999996</v>
      </c>
    </row>
    <row r="14" spans="1:10" s="160" customFormat="1" ht="14.25">
      <c r="A14" s="489"/>
      <c r="B14" s="135" t="s">
        <v>672</v>
      </c>
      <c r="C14" s="350">
        <v>6721.1329396600004</v>
      </c>
      <c r="D14" s="350">
        <v>6910.4139999999998</v>
      </c>
      <c r="E14" s="350">
        <v>6972.4920000000002</v>
      </c>
      <c r="F14" s="135"/>
      <c r="G14" s="350">
        <v>6365.2636628999999</v>
      </c>
      <c r="H14" s="350">
        <v>6595.71151199</v>
      </c>
      <c r="I14" s="350">
        <v>6816.2359999999999</v>
      </c>
      <c r="J14" s="350">
        <v>6883.2939999999999</v>
      </c>
    </row>
    <row r="15" spans="1:10" s="160" customFormat="1" ht="14.25">
      <c r="A15" s="489" t="s">
        <v>630</v>
      </c>
      <c r="B15" s="188" t="s">
        <v>746</v>
      </c>
      <c r="C15" s="490">
        <v>3098.4609999999998</v>
      </c>
      <c r="D15" s="490">
        <v>3183.913</v>
      </c>
      <c r="E15" s="490">
        <v>3347.3139999999999</v>
      </c>
      <c r="F15" s="135"/>
      <c r="G15" s="490">
        <f>4980.16012801+0.003</f>
        <v>4980.16312801</v>
      </c>
      <c r="H15" s="490">
        <f>5375.63919352+0.007</f>
        <v>5375.6461935199995</v>
      </c>
      <c r="I15" s="490">
        <v>4379.7439999999997</v>
      </c>
      <c r="J15" s="490">
        <v>4407.8220000000001</v>
      </c>
    </row>
    <row r="16" spans="1:10" ht="12" customHeight="1">
      <c r="A16" s="489"/>
      <c r="B16" s="135" t="s">
        <v>208</v>
      </c>
      <c r="C16" s="350"/>
      <c r="D16" s="350"/>
      <c r="E16" s="350"/>
      <c r="F16" s="186"/>
      <c r="G16" s="350"/>
      <c r="H16" s="350"/>
      <c r="I16" s="350"/>
      <c r="J16" s="350"/>
    </row>
    <row r="17" spans="1:10" s="160" customFormat="1" ht="14.25">
      <c r="A17" s="489"/>
      <c r="B17" s="135" t="s">
        <v>673</v>
      </c>
      <c r="C17" s="350">
        <v>627.78428583000004</v>
      </c>
      <c r="D17" s="350">
        <v>665.34</v>
      </c>
      <c r="E17" s="350">
        <v>692.19899999999996</v>
      </c>
      <c r="F17" s="135"/>
      <c r="G17" s="350">
        <v>643.19438779999996</v>
      </c>
      <c r="H17" s="350">
        <v>636.53323309999996</v>
      </c>
      <c r="I17" s="350">
        <v>686.48599999999999</v>
      </c>
      <c r="J17" s="350">
        <v>712.24099999999999</v>
      </c>
    </row>
    <row r="18" spans="1:10" s="160" customFormat="1" ht="14.25">
      <c r="A18" s="489"/>
      <c r="B18" s="135" t="s">
        <v>854</v>
      </c>
      <c r="C18" s="491" t="s">
        <v>73</v>
      </c>
      <c r="D18" s="491" t="s">
        <v>73</v>
      </c>
      <c r="E18" s="491" t="s">
        <v>73</v>
      </c>
      <c r="F18" s="135"/>
      <c r="G18" s="350">
        <v>1006.86269494</v>
      </c>
      <c r="H18" s="350">
        <v>648.45388706999995</v>
      </c>
      <c r="I18" s="350">
        <v>1090</v>
      </c>
      <c r="J18" s="350">
        <v>1001</v>
      </c>
    </row>
    <row r="19" spans="1:10" s="160" customFormat="1" ht="14.25">
      <c r="A19" s="489"/>
      <c r="B19" s="135" t="s">
        <v>674</v>
      </c>
      <c r="C19" s="350">
        <v>406.06678417000001</v>
      </c>
      <c r="D19" s="350">
        <v>377.13</v>
      </c>
      <c r="E19" s="350">
        <v>415.50099999999998</v>
      </c>
      <c r="F19" s="135"/>
      <c r="G19" s="350">
        <v>801.60920945999999</v>
      </c>
      <c r="H19" s="350">
        <v>432.64564720999999</v>
      </c>
      <c r="I19" s="350">
        <v>407.45699999999999</v>
      </c>
      <c r="J19" s="350">
        <v>417.63499999999999</v>
      </c>
    </row>
    <row r="20" spans="1:10" s="160" customFormat="1" ht="14.25">
      <c r="A20" s="489" t="s">
        <v>631</v>
      </c>
      <c r="B20" s="188" t="s">
        <v>632</v>
      </c>
      <c r="C20" s="490">
        <v>6703.3259640799997</v>
      </c>
      <c r="D20" s="490">
        <v>6558.45</v>
      </c>
      <c r="E20" s="490">
        <v>5626.6319999999996</v>
      </c>
      <c r="F20" s="135"/>
      <c r="G20" s="490">
        <v>7085.2314378199999</v>
      </c>
      <c r="H20" s="490">
        <v>6662.1491367400004</v>
      </c>
      <c r="I20" s="490">
        <v>7059.5479999999998</v>
      </c>
      <c r="J20" s="490">
        <v>6008.6310000000003</v>
      </c>
    </row>
    <row r="21" spans="1:10" ht="12" customHeight="1">
      <c r="A21" s="489"/>
      <c r="B21" s="135" t="s">
        <v>208</v>
      </c>
      <c r="C21" s="350"/>
      <c r="D21" s="350"/>
      <c r="E21" s="350"/>
      <c r="F21" s="186"/>
      <c r="G21" s="350"/>
      <c r="H21" s="350"/>
      <c r="I21" s="350"/>
      <c r="J21" s="350"/>
    </row>
    <row r="22" spans="1:10" s="160" customFormat="1" ht="14.25">
      <c r="A22" s="489"/>
      <c r="B22" s="135" t="s">
        <v>676</v>
      </c>
      <c r="C22" s="350">
        <v>6702.8033262700001</v>
      </c>
      <c r="D22" s="350">
        <v>6557.45</v>
      </c>
      <c r="E22" s="350">
        <v>5622.1310000000003</v>
      </c>
      <c r="F22" s="135"/>
      <c r="G22" s="350">
        <v>7085.2314378199999</v>
      </c>
      <c r="H22" s="350">
        <v>6661.6264989299998</v>
      </c>
      <c r="I22" s="350">
        <v>7058.5479999999998</v>
      </c>
      <c r="J22" s="350">
        <v>6004.13</v>
      </c>
    </row>
    <row r="23" spans="1:10" s="160" customFormat="1" ht="14.25">
      <c r="A23" s="489" t="s">
        <v>633</v>
      </c>
      <c r="B23" s="188" t="s">
        <v>747</v>
      </c>
      <c r="C23" s="490">
        <v>2006.962</v>
      </c>
      <c r="D23" s="490">
        <v>1797.4670000000001</v>
      </c>
      <c r="E23" s="490">
        <v>1893.046</v>
      </c>
      <c r="F23" s="135"/>
      <c r="G23" s="490">
        <f>1999.31478526+0.069+0.75</f>
        <v>2000.13378526</v>
      </c>
      <c r="H23" s="490">
        <f>1922.374912-0.08</f>
        <v>1922.2949120000001</v>
      </c>
      <c r="I23" s="490">
        <v>1989.223</v>
      </c>
      <c r="J23" s="490">
        <v>2045.2270000000001</v>
      </c>
    </row>
    <row r="24" spans="1:10" ht="12" customHeight="1">
      <c r="A24" s="489"/>
      <c r="B24" s="135" t="s">
        <v>208</v>
      </c>
      <c r="C24" s="350"/>
      <c r="D24" s="350"/>
      <c r="E24" s="350"/>
      <c r="F24" s="186"/>
      <c r="G24" s="350"/>
      <c r="H24" s="350"/>
      <c r="I24" s="350"/>
      <c r="J24" s="350"/>
    </row>
    <row r="25" spans="1:10" s="160" customFormat="1" ht="14.25">
      <c r="A25" s="489"/>
      <c r="B25" s="135" t="s">
        <v>677</v>
      </c>
      <c r="C25" s="350">
        <v>1803.23487643</v>
      </c>
      <c r="D25" s="350">
        <v>1580.63</v>
      </c>
      <c r="E25" s="350">
        <v>1681.8910000000001</v>
      </c>
      <c r="F25" s="135"/>
      <c r="G25" s="350">
        <v>1793.7120013799999</v>
      </c>
      <c r="H25" s="350">
        <v>1722.4942262699999</v>
      </c>
      <c r="I25" s="350">
        <v>1767.7180000000001</v>
      </c>
      <c r="J25" s="350">
        <v>1831.481</v>
      </c>
    </row>
    <row r="26" spans="1:10" s="160" customFormat="1" ht="14.25">
      <c r="A26" s="489" t="s">
        <v>634</v>
      </c>
      <c r="B26" s="188" t="s">
        <v>635</v>
      </c>
      <c r="C26" s="490">
        <v>1998.5350000000001</v>
      </c>
      <c r="D26" s="490">
        <v>1989.3440000000001</v>
      </c>
      <c r="E26" s="490">
        <v>2015.0029999999999</v>
      </c>
      <c r="F26" s="135"/>
      <c r="G26" s="490">
        <v>1989.7400339400001</v>
      </c>
      <c r="H26" s="490">
        <v>2006.9996165800001</v>
      </c>
      <c r="I26" s="490">
        <v>2005.922</v>
      </c>
      <c r="J26" s="490">
        <v>2039.6569999999999</v>
      </c>
    </row>
    <row r="27" spans="1:10" ht="12" customHeight="1">
      <c r="A27" s="489"/>
      <c r="B27" s="135" t="s">
        <v>208</v>
      </c>
      <c r="C27" s="350"/>
      <c r="D27" s="350"/>
      <c r="E27" s="350"/>
      <c r="F27" s="186"/>
      <c r="G27" s="350"/>
      <c r="H27" s="350"/>
      <c r="I27" s="350"/>
      <c r="J27" s="350"/>
    </row>
    <row r="28" spans="1:10" s="160" customFormat="1" ht="14.25">
      <c r="A28" s="489"/>
      <c r="B28" s="135" t="s">
        <v>678</v>
      </c>
      <c r="C28" s="350">
        <v>1971.54261367</v>
      </c>
      <c r="D28" s="350">
        <v>1964.424</v>
      </c>
      <c r="E28" s="350">
        <v>1989.8520000000001</v>
      </c>
      <c r="F28" s="135"/>
      <c r="G28" s="350">
        <v>1962.2696036</v>
      </c>
      <c r="H28" s="350">
        <v>1980.2879887900001</v>
      </c>
      <c r="I28" s="350">
        <v>1980.9349999999999</v>
      </c>
      <c r="J28" s="350">
        <v>2014.164</v>
      </c>
    </row>
    <row r="29" spans="1:10" s="160" customFormat="1" ht="14.25">
      <c r="A29" s="489" t="s">
        <v>636</v>
      </c>
      <c r="B29" s="188" t="s">
        <v>637</v>
      </c>
      <c r="C29" s="490">
        <v>821.93555048999997</v>
      </c>
      <c r="D29" s="490">
        <v>784.43499999999995</v>
      </c>
      <c r="E29" s="490">
        <v>779.51599999999996</v>
      </c>
      <c r="F29" s="135"/>
      <c r="G29" s="490">
        <v>849.28641471000003</v>
      </c>
      <c r="H29" s="490">
        <v>838.76420379000001</v>
      </c>
      <c r="I29" s="490">
        <v>829.61599999999999</v>
      </c>
      <c r="J29" s="490">
        <v>818.90300000000002</v>
      </c>
    </row>
    <row r="30" spans="1:10" ht="12" customHeight="1">
      <c r="A30" s="489"/>
      <c r="B30" s="135" t="s">
        <v>208</v>
      </c>
      <c r="C30" s="350"/>
      <c r="D30" s="350"/>
      <c r="E30" s="350"/>
      <c r="F30" s="186"/>
      <c r="G30" s="350"/>
      <c r="H30" s="350"/>
      <c r="I30" s="350"/>
      <c r="J30" s="350"/>
    </row>
    <row r="31" spans="1:10" s="160" customFormat="1" ht="14.25">
      <c r="A31" s="489"/>
      <c r="B31" s="135" t="s">
        <v>679</v>
      </c>
      <c r="C31" s="350">
        <v>780.22558764999997</v>
      </c>
      <c r="D31" s="350">
        <v>739.81299999999999</v>
      </c>
      <c r="E31" s="350">
        <v>734.75900000000001</v>
      </c>
      <c r="F31" s="135"/>
      <c r="G31" s="350">
        <v>807.01060813000004</v>
      </c>
      <c r="H31" s="350">
        <v>796.10544358000004</v>
      </c>
      <c r="I31" s="350">
        <v>783.78499999999997</v>
      </c>
      <c r="J31" s="350">
        <v>772.58500000000004</v>
      </c>
    </row>
    <row r="32" spans="1:10" ht="14.25">
      <c r="A32" s="489" t="s">
        <v>638</v>
      </c>
      <c r="B32" s="188" t="s">
        <v>639</v>
      </c>
      <c r="C32" s="490">
        <v>422.03399999999999</v>
      </c>
      <c r="D32" s="490">
        <v>407.84100000000001</v>
      </c>
      <c r="E32" s="490">
        <v>397.911</v>
      </c>
      <c r="F32" s="186"/>
      <c r="G32" s="490">
        <v>438.85844137999999</v>
      </c>
      <c r="H32" s="490">
        <v>428.26348731000002</v>
      </c>
      <c r="I32" s="490">
        <v>437.56799999999998</v>
      </c>
      <c r="J32" s="490">
        <v>414.22500000000002</v>
      </c>
    </row>
    <row r="33" spans="1:10" ht="12" customHeight="1">
      <c r="A33" s="489"/>
      <c r="B33" s="135" t="s">
        <v>208</v>
      </c>
      <c r="C33" s="350"/>
      <c r="D33" s="350"/>
      <c r="E33" s="350"/>
      <c r="F33" s="186"/>
      <c r="G33" s="350"/>
      <c r="H33" s="350"/>
      <c r="I33" s="350"/>
      <c r="J33" s="350"/>
    </row>
    <row r="34" spans="1:10" ht="14.25">
      <c r="A34" s="489"/>
      <c r="B34" s="135" t="s">
        <v>680</v>
      </c>
      <c r="C34" s="350">
        <v>422.03371987999998</v>
      </c>
      <c r="D34" s="350">
        <v>407.84100000000001</v>
      </c>
      <c r="E34" s="350">
        <v>397.911</v>
      </c>
      <c r="F34" s="135"/>
      <c r="G34" s="350">
        <v>438.85844137999999</v>
      </c>
      <c r="H34" s="350">
        <v>428.26348731000002</v>
      </c>
      <c r="I34" s="350">
        <v>437.56799999999998</v>
      </c>
      <c r="J34" s="350">
        <v>414.22500000000002</v>
      </c>
    </row>
    <row r="35" spans="1:10" ht="14.25">
      <c r="A35" s="489" t="s">
        <v>640</v>
      </c>
      <c r="B35" s="188" t="s">
        <v>748</v>
      </c>
      <c r="C35" s="490">
        <v>237.15299999999999</v>
      </c>
      <c r="D35" s="490">
        <v>225.61799999999999</v>
      </c>
      <c r="E35" s="490">
        <v>228.25399999999999</v>
      </c>
      <c r="F35" s="186"/>
      <c r="G35" s="490">
        <v>195.83647031999999</v>
      </c>
      <c r="H35" s="490">
        <v>238.76038686000001</v>
      </c>
      <c r="I35" s="490">
        <v>237.48699999999999</v>
      </c>
      <c r="J35" s="490">
        <v>234.304</v>
      </c>
    </row>
    <row r="36" spans="1:10" ht="14.25">
      <c r="A36" s="489" t="s">
        <v>641</v>
      </c>
      <c r="B36" s="188" t="s">
        <v>642</v>
      </c>
      <c r="C36" s="490">
        <v>2004.6610000000001</v>
      </c>
      <c r="D36" s="490">
        <v>2016.174</v>
      </c>
      <c r="E36" s="490">
        <v>1997.204</v>
      </c>
      <c r="F36" s="186"/>
      <c r="G36" s="490">
        <v>2000.32309386</v>
      </c>
      <c r="H36" s="490">
        <f>2018.40311055+0.011</f>
        <v>2018.41411055</v>
      </c>
      <c r="I36" s="490">
        <v>2020.9079999999999</v>
      </c>
      <c r="J36" s="490">
        <v>2005.75</v>
      </c>
    </row>
    <row r="37" spans="1:10" ht="12" customHeight="1">
      <c r="A37" s="489"/>
      <c r="B37" s="135" t="s">
        <v>208</v>
      </c>
      <c r="C37" s="350"/>
      <c r="D37" s="350"/>
      <c r="E37" s="350"/>
      <c r="F37" s="186"/>
      <c r="G37" s="350"/>
      <c r="H37" s="350"/>
      <c r="I37" s="350"/>
      <c r="J37" s="350"/>
    </row>
    <row r="38" spans="1:10" ht="14.25">
      <c r="A38" s="489"/>
      <c r="B38" s="135" t="s">
        <v>681</v>
      </c>
      <c r="C38" s="350">
        <v>1560.066311</v>
      </c>
      <c r="D38" s="350">
        <v>1616.991</v>
      </c>
      <c r="E38" s="350">
        <v>1615.2639999999999</v>
      </c>
      <c r="F38" s="186"/>
      <c r="G38" s="350">
        <v>1581.7503144100001</v>
      </c>
      <c r="H38" s="350">
        <v>1570.1764068499999</v>
      </c>
      <c r="I38" s="350">
        <v>1614.4280000000001</v>
      </c>
      <c r="J38" s="350">
        <v>1613.183</v>
      </c>
    </row>
    <row r="39" spans="1:10" ht="14.25">
      <c r="A39" s="489" t="s">
        <v>643</v>
      </c>
      <c r="B39" s="188" t="s">
        <v>644</v>
      </c>
      <c r="C39" s="490">
        <f>6261.81576035+0.003</f>
        <v>6261.81876035</v>
      </c>
      <c r="D39" s="490">
        <v>6491.598</v>
      </c>
      <c r="E39" s="490">
        <v>6680.5829999999996</v>
      </c>
      <c r="F39" s="186"/>
      <c r="G39" s="490">
        <v>7503.5763498799997</v>
      </c>
      <c r="H39" s="490">
        <f>7672.54225404+0.003</f>
        <v>7672.5452540400001</v>
      </c>
      <c r="I39" s="490">
        <v>8809.2289999999994</v>
      </c>
      <c r="J39" s="490">
        <v>9491</v>
      </c>
    </row>
    <row r="40" spans="1:10" ht="12" customHeight="1">
      <c r="A40" s="489"/>
      <c r="B40" s="135" t="s">
        <v>208</v>
      </c>
      <c r="C40" s="350"/>
      <c r="D40" s="350"/>
      <c r="E40" s="350"/>
      <c r="F40" s="186"/>
      <c r="G40" s="350"/>
      <c r="H40" s="350"/>
      <c r="I40" s="350"/>
      <c r="J40" s="350"/>
    </row>
    <row r="41" spans="1:10" ht="12" customHeight="1">
      <c r="A41" s="489"/>
      <c r="B41" s="135" t="s">
        <v>986</v>
      </c>
      <c r="C41" s="350">
        <v>3171.2289999999998</v>
      </c>
      <c r="D41" s="350">
        <v>3222.6190000000001</v>
      </c>
      <c r="E41" s="350">
        <v>3211.6439999999998</v>
      </c>
      <c r="F41" s="186"/>
      <c r="G41" s="350">
        <v>3293.3310000000001</v>
      </c>
      <c r="H41" s="350">
        <v>3171.97</v>
      </c>
      <c r="I41" s="350">
        <v>3230.777</v>
      </c>
      <c r="J41" s="350">
        <f>3181.787+30.477</f>
        <v>3212.2639999999997</v>
      </c>
    </row>
    <row r="42" spans="1:10" ht="14.25">
      <c r="A42" s="489"/>
      <c r="B42" s="135" t="s">
        <v>684</v>
      </c>
      <c r="C42" s="350">
        <v>3008.1335031799999</v>
      </c>
      <c r="D42" s="350">
        <v>3174.6860000000001</v>
      </c>
      <c r="E42" s="350">
        <v>3372.6219999999998</v>
      </c>
      <c r="F42" s="186"/>
      <c r="G42" s="350">
        <v>4126.6524519699997</v>
      </c>
      <c r="H42" s="350">
        <v>4415.4394531999997</v>
      </c>
      <c r="I42" s="350">
        <v>5484.1589999999997</v>
      </c>
      <c r="J42" s="350">
        <v>6182.48</v>
      </c>
    </row>
    <row r="43" spans="1:10" ht="14.25">
      <c r="A43" s="489" t="s">
        <v>645</v>
      </c>
      <c r="B43" s="188" t="s">
        <v>749</v>
      </c>
      <c r="C43" s="490">
        <v>1651.6702731800001</v>
      </c>
      <c r="D43" s="490">
        <v>1369.85</v>
      </c>
      <c r="E43" s="490">
        <v>1601.605</v>
      </c>
      <c r="F43" s="186"/>
      <c r="G43" s="490">
        <v>4031.7168710999999</v>
      </c>
      <c r="H43" s="490">
        <v>1659.33045283</v>
      </c>
      <c r="I43" s="490">
        <v>927.28300000000002</v>
      </c>
      <c r="J43" s="490">
        <v>1199.6099999999999</v>
      </c>
    </row>
    <row r="44" spans="1:10" ht="12" customHeight="1">
      <c r="A44" s="489"/>
      <c r="B44" s="135" t="s">
        <v>208</v>
      </c>
      <c r="C44" s="350"/>
      <c r="D44" s="350"/>
      <c r="E44" s="350"/>
      <c r="F44" s="186"/>
      <c r="G44" s="350"/>
      <c r="H44" s="350"/>
      <c r="I44" s="350"/>
      <c r="J44" s="350"/>
    </row>
    <row r="45" spans="1:10" ht="14.25">
      <c r="A45" s="489"/>
      <c r="B45" s="135" t="s">
        <v>685</v>
      </c>
      <c r="C45" s="350">
        <v>68.21922653</v>
      </c>
      <c r="D45" s="350">
        <v>95.216999999999999</v>
      </c>
      <c r="E45" s="350">
        <v>57.606000000000002</v>
      </c>
      <c r="F45" s="186"/>
      <c r="G45" s="350">
        <v>96.617499879999997</v>
      </c>
      <c r="H45" s="350">
        <v>82.334095009999999</v>
      </c>
      <c r="I45" s="350">
        <v>95.552000000000007</v>
      </c>
      <c r="J45" s="350">
        <v>57.941000000000003</v>
      </c>
    </row>
    <row r="46" spans="1:10" ht="14.25">
      <c r="A46" s="489"/>
      <c r="B46" s="135" t="s">
        <v>686</v>
      </c>
      <c r="C46" s="350">
        <v>208.07787399</v>
      </c>
      <c r="D46" s="350">
        <v>640.86199999999997</v>
      </c>
      <c r="E46" s="350">
        <v>612.35199999999998</v>
      </c>
      <c r="F46" s="186"/>
      <c r="G46" s="350">
        <v>150.59449434999999</v>
      </c>
      <c r="H46" s="350">
        <v>159.75747386</v>
      </c>
      <c r="I46" s="350">
        <v>195.85900000000001</v>
      </c>
      <c r="J46" s="350">
        <v>253.85900000000001</v>
      </c>
    </row>
    <row r="47" spans="1:10" ht="14.25">
      <c r="A47" s="489"/>
      <c r="B47" s="135" t="s">
        <v>674</v>
      </c>
      <c r="C47" s="350">
        <v>447.58683986</v>
      </c>
      <c r="D47" s="350">
        <v>2.6339999999999999</v>
      </c>
      <c r="E47" s="350">
        <v>2.621</v>
      </c>
      <c r="F47" s="186"/>
      <c r="G47" s="350">
        <v>6.2478061900000004</v>
      </c>
      <c r="H47" s="350">
        <v>5.4096477099999998</v>
      </c>
      <c r="I47" s="350">
        <v>2.6309999999999998</v>
      </c>
      <c r="J47" s="350">
        <v>2.6179999999999999</v>
      </c>
    </row>
    <row r="48" spans="1:10" ht="14.25">
      <c r="A48" s="489"/>
      <c r="B48" s="135" t="s">
        <v>687</v>
      </c>
      <c r="C48" s="350">
        <v>757.48905811999998</v>
      </c>
      <c r="D48" s="350">
        <v>430.99900000000002</v>
      </c>
      <c r="E48" s="350">
        <v>735.01199999999994</v>
      </c>
      <c r="F48" s="186"/>
      <c r="G48" s="350">
        <v>3582.1642933799999</v>
      </c>
      <c r="H48" s="350">
        <v>1241.14899356</v>
      </c>
      <c r="I48" s="350">
        <v>430.91199999999998</v>
      </c>
      <c r="J48" s="350">
        <v>690.005</v>
      </c>
    </row>
    <row r="49" spans="1:10" ht="14.25">
      <c r="A49" s="489" t="s">
        <v>646</v>
      </c>
      <c r="B49" s="188" t="s">
        <v>280</v>
      </c>
      <c r="C49" s="490">
        <v>743.33842434999997</v>
      </c>
      <c r="D49" s="490">
        <v>645.21299999999997</v>
      </c>
      <c r="E49" s="490">
        <v>629.41099999999994</v>
      </c>
      <c r="F49" s="186"/>
      <c r="G49" s="490">
        <v>713.48023916</v>
      </c>
      <c r="H49" s="490">
        <v>742.83553592999999</v>
      </c>
      <c r="I49" s="490">
        <v>644.28899999999999</v>
      </c>
      <c r="J49" s="490">
        <v>628.60500000000002</v>
      </c>
    </row>
    <row r="50" spans="1:10" ht="12" customHeight="1">
      <c r="A50" s="489"/>
      <c r="B50" s="135" t="s">
        <v>208</v>
      </c>
      <c r="C50" s="350"/>
      <c r="D50" s="350"/>
      <c r="E50" s="350"/>
      <c r="F50" s="186"/>
      <c r="G50" s="350"/>
      <c r="H50" s="350"/>
      <c r="I50" s="350"/>
      <c r="J50" s="350"/>
    </row>
    <row r="51" spans="1:10" ht="14.25">
      <c r="A51" s="489"/>
      <c r="B51" s="135" t="s">
        <v>688</v>
      </c>
      <c r="C51" s="350">
        <v>320.84016635</v>
      </c>
      <c r="D51" s="350">
        <v>241.98</v>
      </c>
      <c r="E51" s="350">
        <v>210.25</v>
      </c>
      <c r="F51" s="186"/>
      <c r="G51" s="350">
        <v>300.2300333</v>
      </c>
      <c r="H51" s="350">
        <v>320.87427475999999</v>
      </c>
      <c r="I51" s="350">
        <v>241.904</v>
      </c>
      <c r="J51" s="350">
        <v>210.29</v>
      </c>
    </row>
    <row r="52" spans="1:10" ht="14.25">
      <c r="A52" s="489"/>
      <c r="B52" s="135" t="s">
        <v>689</v>
      </c>
      <c r="C52" s="350">
        <v>421.08558923999999</v>
      </c>
      <c r="D52" s="350">
        <v>401.03199999999998</v>
      </c>
      <c r="E52" s="350">
        <v>417.22300000000001</v>
      </c>
      <c r="F52" s="186"/>
      <c r="G52" s="350">
        <v>412.19409683999999</v>
      </c>
      <c r="H52" s="350">
        <v>421.08873596000001</v>
      </c>
      <c r="I52" s="350">
        <v>401.03199999999998</v>
      </c>
      <c r="J52" s="350">
        <v>417.22300000000001</v>
      </c>
    </row>
    <row r="53" spans="1:10" ht="14.25">
      <c r="A53" s="489" t="s">
        <v>647</v>
      </c>
      <c r="B53" s="188" t="s">
        <v>648</v>
      </c>
      <c r="C53" s="490">
        <v>3.5946487899999999</v>
      </c>
      <c r="D53" s="490">
        <v>35.43</v>
      </c>
      <c r="E53" s="490">
        <v>53.283999999999999</v>
      </c>
      <c r="F53" s="186"/>
      <c r="G53" s="490">
        <v>5.3755536399999997</v>
      </c>
      <c r="H53" s="490">
        <v>2.4078372899999998</v>
      </c>
      <c r="I53" s="490">
        <v>32.814999999999998</v>
      </c>
      <c r="J53" s="490">
        <v>50.904000000000003</v>
      </c>
    </row>
    <row r="54" spans="1:10" ht="14.25">
      <c r="A54" s="489" t="s">
        <v>649</v>
      </c>
      <c r="B54" s="188" t="s">
        <v>750</v>
      </c>
      <c r="C54" s="490">
        <v>1077.3710000000001</v>
      </c>
      <c r="D54" s="490">
        <v>1121.5650000000001</v>
      </c>
      <c r="E54" s="490">
        <v>1206.4380000000001</v>
      </c>
      <c r="F54" s="186"/>
      <c r="G54" s="490">
        <v>1091.12033004</v>
      </c>
      <c r="H54" s="490">
        <v>1083.5464186700001</v>
      </c>
      <c r="I54" s="490">
        <v>1126.171</v>
      </c>
      <c r="J54" s="490">
        <v>1209.0820000000001</v>
      </c>
    </row>
    <row r="55" spans="1:10" ht="12" customHeight="1">
      <c r="A55" s="489"/>
      <c r="B55" s="135" t="s">
        <v>208</v>
      </c>
      <c r="C55" s="350"/>
      <c r="D55" s="350"/>
      <c r="E55" s="350"/>
      <c r="F55" s="186"/>
      <c r="G55" s="350"/>
      <c r="H55" s="350"/>
      <c r="I55" s="350"/>
      <c r="J55" s="350"/>
    </row>
    <row r="56" spans="1:10" ht="14.25">
      <c r="A56" s="489"/>
      <c r="B56" s="135" t="s">
        <v>690</v>
      </c>
      <c r="C56" s="350">
        <v>694.15686764999998</v>
      </c>
      <c r="D56" s="350">
        <v>735.05100000000004</v>
      </c>
      <c r="E56" s="350">
        <v>792.279</v>
      </c>
      <c r="F56" s="186"/>
      <c r="G56" s="350">
        <v>670.45282567000004</v>
      </c>
      <c r="H56" s="350">
        <v>694.15686764999998</v>
      </c>
      <c r="I56" s="350">
        <v>735.05100000000004</v>
      </c>
      <c r="J56" s="350">
        <v>792.279</v>
      </c>
    </row>
    <row r="57" spans="1:10" ht="14.25">
      <c r="A57" s="489"/>
      <c r="B57" s="135" t="s">
        <v>691</v>
      </c>
      <c r="C57" s="350">
        <v>150.67700300000001</v>
      </c>
      <c r="D57" s="350">
        <v>155.60900000000001</v>
      </c>
      <c r="E57" s="350">
        <v>166.03299999999999</v>
      </c>
      <c r="F57" s="186"/>
      <c r="G57" s="350">
        <v>148.48549299999999</v>
      </c>
      <c r="H57" s="350">
        <v>150.67700300000001</v>
      </c>
      <c r="I57" s="350">
        <v>155.60900000000001</v>
      </c>
      <c r="J57" s="350">
        <v>166.03299999999999</v>
      </c>
    </row>
    <row r="58" spans="1:10" ht="14.25">
      <c r="A58" s="489" t="s">
        <v>650</v>
      </c>
      <c r="B58" s="188" t="s">
        <v>651</v>
      </c>
      <c r="C58" s="490">
        <v>506.23700000000002</v>
      </c>
      <c r="D58" s="490">
        <v>518.37099999999998</v>
      </c>
      <c r="E58" s="490">
        <v>511.05799999999999</v>
      </c>
      <c r="F58" s="186"/>
      <c r="G58" s="490">
        <v>536.57703366999999</v>
      </c>
      <c r="H58" s="490">
        <v>556.14590443999998</v>
      </c>
      <c r="I58" s="490">
        <v>546.55399999999997</v>
      </c>
      <c r="J58" s="490">
        <v>545.48500000000001</v>
      </c>
    </row>
    <row r="59" spans="1:10" ht="12" customHeight="1">
      <c r="A59" s="489"/>
      <c r="B59" s="135" t="s">
        <v>208</v>
      </c>
      <c r="C59" s="350"/>
      <c r="D59" s="350"/>
      <c r="E59" s="350"/>
      <c r="F59" s="186"/>
      <c r="G59" s="350"/>
      <c r="H59" s="350"/>
      <c r="I59" s="350"/>
      <c r="J59" s="350"/>
    </row>
    <row r="60" spans="1:10" ht="12" customHeight="1">
      <c r="A60" s="489"/>
      <c r="B60" s="135" t="s">
        <v>987</v>
      </c>
      <c r="C60" s="350">
        <v>76.676000000000002</v>
      </c>
      <c r="D60" s="350">
        <v>9.2439999999999998</v>
      </c>
      <c r="E60" s="350">
        <v>6.7270000000000003</v>
      </c>
      <c r="F60" s="186"/>
      <c r="G60" s="350">
        <v>440.82499999999999</v>
      </c>
      <c r="H60" s="350">
        <v>87.724999999999994</v>
      </c>
      <c r="I60" s="350">
        <v>9.2439999999999998</v>
      </c>
      <c r="J60" s="350">
        <v>6.7270000000000003</v>
      </c>
    </row>
    <row r="61" spans="1:10" ht="12" customHeight="1">
      <c r="A61" s="489"/>
      <c r="B61" s="135" t="s">
        <v>988</v>
      </c>
      <c r="C61" s="350">
        <v>370.03399999999999</v>
      </c>
      <c r="D61" s="350">
        <v>441.73599999999999</v>
      </c>
      <c r="E61" s="350">
        <v>441.09</v>
      </c>
      <c r="F61" s="186"/>
      <c r="G61" s="350">
        <v>0</v>
      </c>
      <c r="H61" s="350">
        <v>378.73700000000002</v>
      </c>
      <c r="I61" s="350">
        <v>441.01499999999999</v>
      </c>
      <c r="J61" s="350">
        <v>440.404</v>
      </c>
    </row>
    <row r="62" spans="1:10" ht="14.25">
      <c r="A62" s="489" t="s">
        <v>652</v>
      </c>
      <c r="B62" s="188" t="s">
        <v>653</v>
      </c>
      <c r="C62" s="490">
        <v>57.888072659999999</v>
      </c>
      <c r="D62" s="490">
        <v>57.109000000000002</v>
      </c>
      <c r="E62" s="490">
        <v>59.192</v>
      </c>
      <c r="F62" s="186"/>
      <c r="G62" s="490">
        <v>57.190252000000001</v>
      </c>
      <c r="H62" s="490">
        <v>57.888201860000002</v>
      </c>
      <c r="I62" s="490">
        <v>57.109000000000002</v>
      </c>
      <c r="J62" s="490">
        <v>59.192</v>
      </c>
    </row>
    <row r="63" spans="1:10" ht="14.25">
      <c r="A63" s="489" t="s">
        <v>654</v>
      </c>
      <c r="B63" s="188" t="s">
        <v>655</v>
      </c>
      <c r="C63" s="490">
        <v>124.089296</v>
      </c>
      <c r="D63" s="490">
        <v>138.18299999999999</v>
      </c>
      <c r="E63" s="490">
        <v>132.983</v>
      </c>
      <c r="F63" s="186"/>
      <c r="G63" s="490">
        <v>114.21427597</v>
      </c>
      <c r="H63" s="490">
        <v>124.19608224</v>
      </c>
      <c r="I63" s="490">
        <v>138.27699999999999</v>
      </c>
      <c r="J63" s="490">
        <v>133.15</v>
      </c>
    </row>
    <row r="64" spans="1:10" ht="14.25">
      <c r="A64" s="489" t="s">
        <v>656</v>
      </c>
      <c r="B64" s="188" t="s">
        <v>657</v>
      </c>
      <c r="C64" s="490">
        <v>3664.7983836399999</v>
      </c>
      <c r="D64" s="490">
        <v>3546.6680000000001</v>
      </c>
      <c r="E64" s="490">
        <v>3385.8789999999999</v>
      </c>
      <c r="F64" s="186"/>
      <c r="G64" s="490">
        <v>3548.30676804</v>
      </c>
      <c r="H64" s="490">
        <v>3642.8662895100001</v>
      </c>
      <c r="I64" s="490">
        <v>3546.6680000000001</v>
      </c>
      <c r="J64" s="490">
        <v>3385.8789999999999</v>
      </c>
    </row>
    <row r="65" spans="1:10" ht="12" customHeight="1">
      <c r="A65" s="489"/>
      <c r="B65" s="135" t="s">
        <v>208</v>
      </c>
      <c r="C65" s="350"/>
      <c r="D65" s="350"/>
      <c r="E65" s="350"/>
      <c r="F65" s="186"/>
      <c r="G65" s="350"/>
      <c r="H65" s="350"/>
      <c r="I65" s="350"/>
      <c r="J65" s="350"/>
    </row>
    <row r="66" spans="1:10" ht="14.25">
      <c r="A66" s="489"/>
      <c r="B66" s="135" t="s">
        <v>694</v>
      </c>
      <c r="C66" s="350">
        <v>3664.7983836399999</v>
      </c>
      <c r="D66" s="350">
        <v>3546.6680000000001</v>
      </c>
      <c r="E66" s="350">
        <v>3385.8789999999999</v>
      </c>
      <c r="F66" s="186"/>
      <c r="G66" s="350">
        <v>3548.30676804</v>
      </c>
      <c r="H66" s="350">
        <v>3642.8662895100001</v>
      </c>
      <c r="I66" s="350">
        <v>3546.6680000000001</v>
      </c>
      <c r="J66" s="350">
        <v>3385.8789999999999</v>
      </c>
    </row>
    <row r="67" spans="1:10" ht="14.25">
      <c r="A67" s="489" t="s">
        <v>658</v>
      </c>
      <c r="B67" s="188" t="s">
        <v>659</v>
      </c>
      <c r="C67" s="490">
        <v>3793.2031034900001</v>
      </c>
      <c r="D67" s="490">
        <v>3900.0590000000002</v>
      </c>
      <c r="E67" s="490">
        <v>4156.0879999999997</v>
      </c>
      <c r="F67" s="186"/>
      <c r="G67" s="490">
        <v>3985.3147375799999</v>
      </c>
      <c r="H67" s="490">
        <v>3929.2932529599998</v>
      </c>
      <c r="I67" s="490">
        <v>3996.5120000000002</v>
      </c>
      <c r="J67" s="490">
        <v>4166.2659999999996</v>
      </c>
    </row>
    <row r="68" spans="1:10" ht="12" customHeight="1">
      <c r="A68" s="489"/>
      <c r="B68" s="135" t="s">
        <v>208</v>
      </c>
      <c r="C68" s="350"/>
      <c r="D68" s="350"/>
      <c r="E68" s="350"/>
      <c r="F68" s="186"/>
      <c r="G68" s="350"/>
      <c r="H68" s="350"/>
      <c r="I68" s="350"/>
      <c r="J68" s="350"/>
    </row>
    <row r="69" spans="1:10" ht="14.25">
      <c r="A69" s="489"/>
      <c r="B69" s="135" t="s">
        <v>695</v>
      </c>
      <c r="C69" s="350">
        <v>489.11995581000002</v>
      </c>
      <c r="D69" s="350">
        <v>607.61</v>
      </c>
      <c r="E69" s="350">
        <v>706.77</v>
      </c>
      <c r="F69" s="186"/>
      <c r="G69" s="350">
        <v>605.14784996000003</v>
      </c>
      <c r="H69" s="350">
        <v>582.85274325</v>
      </c>
      <c r="I69" s="350">
        <v>618.41899999999998</v>
      </c>
      <c r="J69" s="350">
        <v>629.60900000000004</v>
      </c>
    </row>
    <row r="70" spans="1:10" ht="14.25">
      <c r="A70" s="489"/>
      <c r="B70" s="135" t="s">
        <v>694</v>
      </c>
      <c r="C70" s="350">
        <v>3304.0831476799999</v>
      </c>
      <c r="D70" s="350">
        <v>3292.4490000000001</v>
      </c>
      <c r="E70" s="350">
        <v>3449.3180000000002</v>
      </c>
      <c r="F70" s="186"/>
      <c r="G70" s="350">
        <v>3380.1668876200001</v>
      </c>
      <c r="H70" s="350">
        <v>3346.4405097099998</v>
      </c>
      <c r="I70" s="350">
        <v>3378.0929999999998</v>
      </c>
      <c r="J70" s="350">
        <v>3536.6570000000002</v>
      </c>
    </row>
    <row r="71" spans="1:10" ht="14.25">
      <c r="A71" s="489" t="s">
        <v>660</v>
      </c>
      <c r="B71" s="188" t="s">
        <v>661</v>
      </c>
      <c r="C71" s="490">
        <v>3700.9160000000002</v>
      </c>
      <c r="D71" s="490">
        <v>3781.5129999999999</v>
      </c>
      <c r="E71" s="490">
        <v>3963.6219999999998</v>
      </c>
      <c r="F71" s="186"/>
      <c r="G71" s="490">
        <f>3648.70669374+0.006</f>
        <v>3648.7126937399998</v>
      </c>
      <c r="H71" s="490">
        <f>3703.35821566-0.003</f>
        <v>3703.3552156599999</v>
      </c>
      <c r="I71" s="490">
        <v>3788.5239999999999</v>
      </c>
      <c r="J71" s="490">
        <v>3970.6579999999999</v>
      </c>
    </row>
    <row r="72" spans="1:10" ht="12" customHeight="1">
      <c r="A72" s="489"/>
      <c r="B72" s="135" t="s">
        <v>208</v>
      </c>
      <c r="C72" s="350"/>
      <c r="D72" s="350"/>
      <c r="E72" s="350"/>
      <c r="F72" s="186"/>
      <c r="G72" s="350"/>
      <c r="H72" s="350"/>
      <c r="I72" s="350"/>
      <c r="J72" s="350"/>
    </row>
    <row r="73" spans="1:10" ht="14.25">
      <c r="A73" s="489"/>
      <c r="B73" s="135" t="s">
        <v>695</v>
      </c>
      <c r="C73" s="350">
        <v>208.11661878000001</v>
      </c>
      <c r="D73" s="350">
        <v>213.09100000000001</v>
      </c>
      <c r="E73" s="350">
        <v>218.1</v>
      </c>
      <c r="F73" s="186"/>
      <c r="G73" s="350">
        <v>212.61075769999999</v>
      </c>
      <c r="H73" s="350">
        <v>209.60398837</v>
      </c>
      <c r="I73" s="350">
        <v>219.74100000000001</v>
      </c>
      <c r="J73" s="350">
        <v>224.74700000000001</v>
      </c>
    </row>
    <row r="74" spans="1:10" ht="14.25">
      <c r="A74" s="489"/>
      <c r="B74" s="135" t="s">
        <v>696</v>
      </c>
      <c r="C74" s="350">
        <v>3490.4945443800002</v>
      </c>
      <c r="D74" s="350">
        <v>3565.1559999999999</v>
      </c>
      <c r="E74" s="350">
        <v>3742.37</v>
      </c>
      <c r="F74" s="186"/>
      <c r="G74" s="350">
        <v>3433.4673493599998</v>
      </c>
      <c r="H74" s="350">
        <v>3491.49037524</v>
      </c>
      <c r="I74" s="350">
        <v>3565.5360000000001</v>
      </c>
      <c r="J74" s="350">
        <v>3742.7669999999998</v>
      </c>
    </row>
    <row r="75" spans="1:10" ht="14.25">
      <c r="A75" s="489" t="s">
        <v>662</v>
      </c>
      <c r="B75" s="188" t="s">
        <v>751</v>
      </c>
      <c r="C75" s="490">
        <v>583.60500000000002</v>
      </c>
      <c r="D75" s="490">
        <v>589.15599999999995</v>
      </c>
      <c r="E75" s="490">
        <v>605.82899999999995</v>
      </c>
      <c r="F75" s="186"/>
      <c r="G75" s="490">
        <v>580.64611452999998</v>
      </c>
      <c r="H75" s="490">
        <v>580.57982345000005</v>
      </c>
      <c r="I75" s="490">
        <v>590.29399999999998</v>
      </c>
      <c r="J75" s="490">
        <v>613.923</v>
      </c>
    </row>
    <row r="76" spans="1:10" ht="12" customHeight="1">
      <c r="A76" s="489"/>
      <c r="B76" s="135" t="s">
        <v>208</v>
      </c>
      <c r="C76" s="350"/>
      <c r="D76" s="350"/>
      <c r="E76" s="350"/>
      <c r="F76" s="186"/>
      <c r="G76" s="350"/>
      <c r="H76" s="350"/>
      <c r="I76" s="350"/>
      <c r="J76" s="350"/>
    </row>
    <row r="77" spans="1:10" ht="14.25">
      <c r="A77" s="489"/>
      <c r="B77" s="135" t="s">
        <v>695</v>
      </c>
      <c r="C77" s="350">
        <v>263.16234428000001</v>
      </c>
      <c r="D77" s="350">
        <v>263.95299999999997</v>
      </c>
      <c r="E77" s="350">
        <v>270.85300000000001</v>
      </c>
      <c r="F77" s="186"/>
      <c r="G77" s="350">
        <v>283.26838774999999</v>
      </c>
      <c r="H77" s="350">
        <v>262.44894950000003</v>
      </c>
      <c r="I77" s="350">
        <v>264.80700000000002</v>
      </c>
      <c r="J77" s="350">
        <v>281.529</v>
      </c>
    </row>
    <row r="78" spans="1:10" ht="14.25">
      <c r="A78" s="489"/>
      <c r="B78" s="135" t="s">
        <v>694</v>
      </c>
      <c r="C78" s="350">
        <v>48.099757910000001</v>
      </c>
      <c r="D78" s="350">
        <v>48.631999999999998</v>
      </c>
      <c r="E78" s="350">
        <v>50.53</v>
      </c>
      <c r="F78" s="186"/>
      <c r="G78" s="350">
        <v>37.436821569999999</v>
      </c>
      <c r="H78" s="350">
        <v>42.287016889999997</v>
      </c>
      <c r="I78" s="350">
        <v>45.774999999999999</v>
      </c>
      <c r="J78" s="350">
        <v>47.67</v>
      </c>
    </row>
    <row r="79" spans="1:10" ht="14.25">
      <c r="A79" s="489"/>
      <c r="B79" s="135" t="s">
        <v>681</v>
      </c>
      <c r="C79" s="350">
        <v>138.04830749000001</v>
      </c>
      <c r="D79" s="350">
        <v>135.05600000000001</v>
      </c>
      <c r="E79" s="350">
        <v>143.20599999999999</v>
      </c>
      <c r="F79" s="186"/>
      <c r="G79" s="350">
        <v>134.82420906999999</v>
      </c>
      <c r="H79" s="350">
        <v>138.73996661000001</v>
      </c>
      <c r="I79" s="350">
        <v>137.81</v>
      </c>
      <c r="J79" s="350">
        <v>143.25700000000001</v>
      </c>
    </row>
    <row r="80" spans="1:10" ht="14.25">
      <c r="A80" s="489" t="s">
        <v>663</v>
      </c>
      <c r="B80" s="188" t="s">
        <v>664</v>
      </c>
      <c r="C80" s="490">
        <v>942.54030885999998</v>
      </c>
      <c r="D80" s="490">
        <v>985.44</v>
      </c>
      <c r="E80" s="490">
        <v>1266.9469999999999</v>
      </c>
      <c r="F80" s="186"/>
      <c r="G80" s="490">
        <v>853.27789317999998</v>
      </c>
      <c r="H80" s="490">
        <v>1122.85941574</v>
      </c>
      <c r="I80" s="490">
        <v>990.09199999999998</v>
      </c>
      <c r="J80" s="490">
        <v>1273.6120000000001</v>
      </c>
    </row>
    <row r="81" spans="1:10" ht="12" customHeight="1">
      <c r="A81" s="489"/>
      <c r="B81" s="135" t="s">
        <v>208</v>
      </c>
      <c r="C81" s="350"/>
      <c r="D81" s="350"/>
      <c r="E81" s="350"/>
      <c r="F81" s="186"/>
      <c r="G81" s="350"/>
      <c r="H81" s="350"/>
      <c r="I81" s="350"/>
      <c r="J81" s="350"/>
    </row>
    <row r="82" spans="1:10" ht="14.25">
      <c r="A82" s="489"/>
      <c r="B82" s="135" t="s">
        <v>697</v>
      </c>
      <c r="C82" s="350">
        <v>404.49746321999999</v>
      </c>
      <c r="D82" s="350">
        <v>450.83600000000001</v>
      </c>
      <c r="E82" s="350">
        <v>434.154</v>
      </c>
      <c r="F82" s="186"/>
      <c r="G82" s="350">
        <v>385.73158080000002</v>
      </c>
      <c r="H82" s="350">
        <v>405.27538921000001</v>
      </c>
      <c r="I82" s="350">
        <v>451.99</v>
      </c>
      <c r="J82" s="350">
        <v>435.81900000000002</v>
      </c>
    </row>
    <row r="83" spans="1:10" ht="14.25">
      <c r="A83" s="489"/>
      <c r="B83" s="135" t="s">
        <v>698</v>
      </c>
      <c r="C83" s="350">
        <v>410.34747689</v>
      </c>
      <c r="D83" s="350">
        <v>429.19799999999998</v>
      </c>
      <c r="E83" s="350">
        <v>428.07900000000001</v>
      </c>
      <c r="F83" s="186"/>
      <c r="G83" s="350">
        <v>371.40109312999999</v>
      </c>
      <c r="H83" s="350">
        <v>587.61904393999998</v>
      </c>
      <c r="I83" s="350">
        <v>432.69600000000003</v>
      </c>
      <c r="J83" s="350">
        <v>433.07900000000001</v>
      </c>
    </row>
    <row r="84" spans="1:10" ht="13.5">
      <c r="A84" s="492" t="s">
        <v>666</v>
      </c>
      <c r="B84" s="493"/>
      <c r="C84" s="494">
        <f>C8+C15+C20+C23+C26+C29+C32+C35+C36+C39+C43+C49+C53+C54+C58+C62+C63+C64+C67+C71+C75+C80</f>
        <v>74652.527785889994</v>
      </c>
      <c r="D84" s="494">
        <f>D8+D15+D20+D23+D26+D29+D32+D35+D36+D39+D43+D49+D53+D54+D58+D62+D63+D64+D67+D71+D75+D80</f>
        <v>74719.217999999993</v>
      </c>
      <c r="E84" s="494">
        <f>E8+E15+E20+E23+E26+E29+E32+E35+E36+E39+E43+E49+E53+E54+E58+E62+E63+E64+E67+E71+E75+E80</f>
        <v>77025.538</v>
      </c>
      <c r="F84" s="495"/>
      <c r="G84" s="494">
        <f>G8+G15+G20+G23+G26+G29+G32+G35+G36+G39+G43+G49+G53+G54+G58+G62+G63+G64+G67+G71+G75+G80</f>
        <v>78109.700575070005</v>
      </c>
      <c r="H84" s="494">
        <f>H8+H15+H20+H23+H26+H29+H32+H35+H36+H39+H43+H49+H53+H54+H58+H62+H63+H64+H67+H71+H75+H80</f>
        <v>78931.97854301997</v>
      </c>
      <c r="I84" s="494">
        <f>I8+I15+I20+I23+I26+I29+I32+I35+I36+I39+I43+I49+I53+I54+I58+I62+I63+I64+I67+I71+I75+I80</f>
        <v>78674.655000000013</v>
      </c>
      <c r="J84" s="494">
        <f>J8+J15+J20+J23+J26+J29+J32+J35+J36+J39+J43+J49+J53+J54+J58+J62+J63+J64+J67+J71+J75+J80</f>
        <v>81216.614999999962</v>
      </c>
    </row>
    <row r="85" spans="1:10">
      <c r="B85" s="325"/>
    </row>
    <row r="86" spans="1:10" ht="64.5" customHeight="1">
      <c r="A86" s="572" t="s">
        <v>853</v>
      </c>
      <c r="B86" s="572"/>
      <c r="C86" s="572"/>
      <c r="D86" s="572"/>
      <c r="E86" s="572"/>
      <c r="F86" s="572"/>
      <c r="G86" s="572"/>
      <c r="H86" s="327"/>
      <c r="I86" s="327"/>
      <c r="J86" s="327"/>
    </row>
    <row r="88" spans="1:10" s="131" customFormat="1" ht="15">
      <c r="A88" s="180"/>
    </row>
  </sheetData>
  <mergeCells count="3">
    <mergeCell ref="A86:G86"/>
    <mergeCell ref="C6:E6"/>
    <mergeCell ref="G6:J6"/>
  </mergeCells>
  <printOptions horizontalCentered="1"/>
  <pageMargins left="0.25" right="0.25" top="0.75" bottom="0.75" header="0.3" footer="0.3"/>
  <pageSetup paperSize="9" scale="97" fitToHeight="0" orientation="portrait" cellComments="asDisplayed" r:id="rId1"/>
  <headerFooter alignWithMargins="0"/>
  <ignoredErrors>
    <ignoredError sqref="A62:A80 A8:A12 A14:A40 A42:A59"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dimension ref="A1:G95"/>
  <sheetViews>
    <sheetView topLeftCell="A7" zoomScaleNormal="100" workbookViewId="0">
      <selection activeCell="A51" sqref="A51:E95"/>
    </sheetView>
  </sheetViews>
  <sheetFormatPr baseColWidth="10" defaultRowHeight="12.75"/>
  <cols>
    <col min="1" max="1" width="4.85546875" style="185" customWidth="1"/>
    <col min="2" max="2" width="64" customWidth="1"/>
    <col min="3" max="3" width="8.42578125" style="185" customWidth="1"/>
    <col min="4" max="4" width="3.5703125" style="185" customWidth="1"/>
    <col min="5" max="5" width="8.42578125" style="185" customWidth="1"/>
    <col min="6" max="227" width="11.42578125" style="185"/>
    <col min="228" max="228" width="59.5703125" style="185" customWidth="1"/>
    <col min="229" max="237" width="0" style="185" hidden="1" customWidth="1"/>
    <col min="238" max="238" width="6.5703125" style="185" customWidth="1"/>
    <col min="239" max="239" width="6.85546875" style="185" bestFit="1" customWidth="1"/>
    <col min="240" max="241" width="7.7109375" style="185" bestFit="1" customWidth="1"/>
    <col min="242" max="242" width="0" style="185" hidden="1" customWidth="1"/>
    <col min="243" max="243" width="9" style="185" customWidth="1"/>
    <col min="244" max="244" width="8" style="185" bestFit="1" customWidth="1"/>
    <col min="245" max="245" width="0" style="185" hidden="1" customWidth="1"/>
    <col min="246" max="246" width="8" style="185" customWidth="1"/>
    <col min="247" max="247" width="0" style="185" hidden="1" customWidth="1"/>
    <col min="248" max="248" width="8" style="185" bestFit="1" customWidth="1"/>
    <col min="249" max="249" width="0" style="185" hidden="1" customWidth="1"/>
    <col min="250" max="250" width="8" style="185" customWidth="1"/>
    <col min="251" max="251" width="0" style="185" hidden="1" customWidth="1"/>
    <col min="252" max="254" width="8" style="185" bestFit="1" customWidth="1"/>
    <col min="255" max="255" width="17.42578125" style="185" bestFit="1" customWidth="1"/>
    <col min="256" max="483" width="11.42578125" style="185"/>
    <col min="484" max="484" width="59.5703125" style="185" customWidth="1"/>
    <col min="485" max="493" width="0" style="185" hidden="1" customWidth="1"/>
    <col min="494" max="494" width="6.5703125" style="185" customWidth="1"/>
    <col min="495" max="495" width="6.85546875" style="185" bestFit="1" customWidth="1"/>
    <col min="496" max="497" width="7.7109375" style="185" bestFit="1" customWidth="1"/>
    <col min="498" max="498" width="0" style="185" hidden="1" customWidth="1"/>
    <col min="499" max="499" width="9" style="185" customWidth="1"/>
    <col min="500" max="500" width="8" style="185" bestFit="1" customWidth="1"/>
    <col min="501" max="501" width="0" style="185" hidden="1" customWidth="1"/>
    <col min="502" max="502" width="8" style="185" customWidth="1"/>
    <col min="503" max="503" width="0" style="185" hidden="1" customWidth="1"/>
    <col min="504" max="504" width="8" style="185" bestFit="1" customWidth="1"/>
    <col min="505" max="505" width="0" style="185" hidden="1" customWidth="1"/>
    <col min="506" max="506" width="8" style="185" customWidth="1"/>
    <col min="507" max="507" width="0" style="185" hidden="1" customWidth="1"/>
    <col min="508" max="510" width="8" style="185" bestFit="1" customWidth="1"/>
    <col min="511" max="511" width="17.42578125" style="185" bestFit="1" customWidth="1"/>
    <col min="512" max="739" width="11.42578125" style="185"/>
    <col min="740" max="740" width="59.5703125" style="185" customWidth="1"/>
    <col min="741" max="749" width="0" style="185" hidden="1" customWidth="1"/>
    <col min="750" max="750" width="6.5703125" style="185" customWidth="1"/>
    <col min="751" max="751" width="6.85546875" style="185" bestFit="1" customWidth="1"/>
    <col min="752" max="753" width="7.7109375" style="185" bestFit="1" customWidth="1"/>
    <col min="754" max="754" width="0" style="185" hidden="1" customWidth="1"/>
    <col min="755" max="755" width="9" style="185" customWidth="1"/>
    <col min="756" max="756" width="8" style="185" bestFit="1" customWidth="1"/>
    <col min="757" max="757" width="0" style="185" hidden="1" customWidth="1"/>
    <col min="758" max="758" width="8" style="185" customWidth="1"/>
    <col min="759" max="759" width="0" style="185" hidden="1" customWidth="1"/>
    <col min="760" max="760" width="8" style="185" bestFit="1" customWidth="1"/>
    <col min="761" max="761" width="0" style="185" hidden="1" customWidth="1"/>
    <col min="762" max="762" width="8" style="185" customWidth="1"/>
    <col min="763" max="763" width="0" style="185" hidden="1" customWidth="1"/>
    <col min="764" max="766" width="8" style="185" bestFit="1" customWidth="1"/>
    <col min="767" max="767" width="17.42578125" style="185" bestFit="1" customWidth="1"/>
    <col min="768" max="995" width="11.42578125" style="185"/>
    <col min="996" max="996" width="59.5703125" style="185" customWidth="1"/>
    <col min="997" max="1005" width="0" style="185" hidden="1" customWidth="1"/>
    <col min="1006" max="1006" width="6.5703125" style="185" customWidth="1"/>
    <col min="1007" max="1007" width="6.85546875" style="185" bestFit="1" customWidth="1"/>
    <col min="1008" max="1009" width="7.7109375" style="185" bestFit="1" customWidth="1"/>
    <col min="1010" max="1010" width="0" style="185" hidden="1" customWidth="1"/>
    <col min="1011" max="1011" width="9" style="185" customWidth="1"/>
    <col min="1012" max="1012" width="8" style="185" bestFit="1" customWidth="1"/>
    <col min="1013" max="1013" width="0" style="185" hidden="1" customWidth="1"/>
    <col min="1014" max="1014" width="8" style="185" customWidth="1"/>
    <col min="1015" max="1015" width="0" style="185" hidden="1" customWidth="1"/>
    <col min="1016" max="1016" width="8" style="185" bestFit="1" customWidth="1"/>
    <col min="1017" max="1017" width="0" style="185" hidden="1" customWidth="1"/>
    <col min="1018" max="1018" width="8" style="185" customWidth="1"/>
    <col min="1019" max="1019" width="0" style="185" hidden="1" customWidth="1"/>
    <col min="1020" max="1022" width="8" style="185" bestFit="1" customWidth="1"/>
    <col min="1023" max="1023" width="17.42578125" style="185" bestFit="1" customWidth="1"/>
    <col min="1024" max="1251" width="11.42578125" style="185"/>
    <col min="1252" max="1252" width="59.5703125" style="185" customWidth="1"/>
    <col min="1253" max="1261" width="0" style="185" hidden="1" customWidth="1"/>
    <col min="1262" max="1262" width="6.5703125" style="185" customWidth="1"/>
    <col min="1263" max="1263" width="6.85546875" style="185" bestFit="1" customWidth="1"/>
    <col min="1264" max="1265" width="7.7109375" style="185" bestFit="1" customWidth="1"/>
    <col min="1266" max="1266" width="0" style="185" hidden="1" customWidth="1"/>
    <col min="1267" max="1267" width="9" style="185" customWidth="1"/>
    <col min="1268" max="1268" width="8" style="185" bestFit="1" customWidth="1"/>
    <col min="1269" max="1269" width="0" style="185" hidden="1" customWidth="1"/>
    <col min="1270" max="1270" width="8" style="185" customWidth="1"/>
    <col min="1271" max="1271" width="0" style="185" hidden="1" customWidth="1"/>
    <col min="1272" max="1272" width="8" style="185" bestFit="1" customWidth="1"/>
    <col min="1273" max="1273" width="0" style="185" hidden="1" customWidth="1"/>
    <col min="1274" max="1274" width="8" style="185" customWidth="1"/>
    <col min="1275" max="1275" width="0" style="185" hidden="1" customWidth="1"/>
    <col min="1276" max="1278" width="8" style="185" bestFit="1" customWidth="1"/>
    <col min="1279" max="1279" width="17.42578125" style="185" bestFit="1" customWidth="1"/>
    <col min="1280" max="1507" width="11.42578125" style="185"/>
    <col min="1508" max="1508" width="59.5703125" style="185" customWidth="1"/>
    <col min="1509" max="1517" width="0" style="185" hidden="1" customWidth="1"/>
    <col min="1518" max="1518" width="6.5703125" style="185" customWidth="1"/>
    <col min="1519" max="1519" width="6.85546875" style="185" bestFit="1" customWidth="1"/>
    <col min="1520" max="1521" width="7.7109375" style="185" bestFit="1" customWidth="1"/>
    <col min="1522" max="1522" width="0" style="185" hidden="1" customWidth="1"/>
    <col min="1523" max="1523" width="9" style="185" customWidth="1"/>
    <col min="1524" max="1524" width="8" style="185" bestFit="1" customWidth="1"/>
    <col min="1525" max="1525" width="0" style="185" hidden="1" customWidth="1"/>
    <col min="1526" max="1526" width="8" style="185" customWidth="1"/>
    <col min="1527" max="1527" width="0" style="185" hidden="1" customWidth="1"/>
    <col min="1528" max="1528" width="8" style="185" bestFit="1" customWidth="1"/>
    <col min="1529" max="1529" width="0" style="185" hidden="1" customWidth="1"/>
    <col min="1530" max="1530" width="8" style="185" customWidth="1"/>
    <col min="1531" max="1531" width="0" style="185" hidden="1" customWidth="1"/>
    <col min="1532" max="1534" width="8" style="185" bestFit="1" customWidth="1"/>
    <col min="1535" max="1535" width="17.42578125" style="185" bestFit="1" customWidth="1"/>
    <col min="1536" max="1763" width="11.42578125" style="185"/>
    <col min="1764" max="1764" width="59.5703125" style="185" customWidth="1"/>
    <col min="1765" max="1773" width="0" style="185" hidden="1" customWidth="1"/>
    <col min="1774" max="1774" width="6.5703125" style="185" customWidth="1"/>
    <col min="1775" max="1775" width="6.85546875" style="185" bestFit="1" customWidth="1"/>
    <col min="1776" max="1777" width="7.7109375" style="185" bestFit="1" customWidth="1"/>
    <col min="1778" max="1778" width="0" style="185" hidden="1" customWidth="1"/>
    <col min="1779" max="1779" width="9" style="185" customWidth="1"/>
    <col min="1780" max="1780" width="8" style="185" bestFit="1" customWidth="1"/>
    <col min="1781" max="1781" width="0" style="185" hidden="1" customWidth="1"/>
    <col min="1782" max="1782" width="8" style="185" customWidth="1"/>
    <col min="1783" max="1783" width="0" style="185" hidden="1" customWidth="1"/>
    <col min="1784" max="1784" width="8" style="185" bestFit="1" customWidth="1"/>
    <col min="1785" max="1785" width="0" style="185" hidden="1" customWidth="1"/>
    <col min="1786" max="1786" width="8" style="185" customWidth="1"/>
    <col min="1787" max="1787" width="0" style="185" hidden="1" customWidth="1"/>
    <col min="1788" max="1790" width="8" style="185" bestFit="1" customWidth="1"/>
    <col min="1791" max="1791" width="17.42578125" style="185" bestFit="1" customWidth="1"/>
    <col min="1792" max="2019" width="11.42578125" style="185"/>
    <col min="2020" max="2020" width="59.5703125" style="185" customWidth="1"/>
    <col min="2021" max="2029" width="0" style="185" hidden="1" customWidth="1"/>
    <col min="2030" max="2030" width="6.5703125" style="185" customWidth="1"/>
    <col min="2031" max="2031" width="6.85546875" style="185" bestFit="1" customWidth="1"/>
    <col min="2032" max="2033" width="7.7109375" style="185" bestFit="1" customWidth="1"/>
    <col min="2034" max="2034" width="0" style="185" hidden="1" customWidth="1"/>
    <col min="2035" max="2035" width="9" style="185" customWidth="1"/>
    <col min="2036" max="2036" width="8" style="185" bestFit="1" customWidth="1"/>
    <col min="2037" max="2037" width="0" style="185" hidden="1" customWidth="1"/>
    <col min="2038" max="2038" width="8" style="185" customWidth="1"/>
    <col min="2039" max="2039" width="0" style="185" hidden="1" customWidth="1"/>
    <col min="2040" max="2040" width="8" style="185" bestFit="1" customWidth="1"/>
    <col min="2041" max="2041" width="0" style="185" hidden="1" customWidth="1"/>
    <col min="2042" max="2042" width="8" style="185" customWidth="1"/>
    <col min="2043" max="2043" width="0" style="185" hidden="1" customWidth="1"/>
    <col min="2044" max="2046" width="8" style="185" bestFit="1" customWidth="1"/>
    <col min="2047" max="2047" width="17.42578125" style="185" bestFit="1" customWidth="1"/>
    <col min="2048" max="2275" width="11.42578125" style="185"/>
    <col min="2276" max="2276" width="59.5703125" style="185" customWidth="1"/>
    <col min="2277" max="2285" width="0" style="185" hidden="1" customWidth="1"/>
    <col min="2286" max="2286" width="6.5703125" style="185" customWidth="1"/>
    <col min="2287" max="2287" width="6.85546875" style="185" bestFit="1" customWidth="1"/>
    <col min="2288" max="2289" width="7.7109375" style="185" bestFit="1" customWidth="1"/>
    <col min="2290" max="2290" width="0" style="185" hidden="1" customWidth="1"/>
    <col min="2291" max="2291" width="9" style="185" customWidth="1"/>
    <col min="2292" max="2292" width="8" style="185" bestFit="1" customWidth="1"/>
    <col min="2293" max="2293" width="0" style="185" hidden="1" customWidth="1"/>
    <col min="2294" max="2294" width="8" style="185" customWidth="1"/>
    <col min="2295" max="2295" width="0" style="185" hidden="1" customWidth="1"/>
    <col min="2296" max="2296" width="8" style="185" bestFit="1" customWidth="1"/>
    <col min="2297" max="2297" width="0" style="185" hidden="1" customWidth="1"/>
    <col min="2298" max="2298" width="8" style="185" customWidth="1"/>
    <col min="2299" max="2299" width="0" style="185" hidden="1" customWidth="1"/>
    <col min="2300" max="2302" width="8" style="185" bestFit="1" customWidth="1"/>
    <col min="2303" max="2303" width="17.42578125" style="185" bestFit="1" customWidth="1"/>
    <col min="2304" max="2531" width="11.42578125" style="185"/>
    <col min="2532" max="2532" width="59.5703125" style="185" customWidth="1"/>
    <col min="2533" max="2541" width="0" style="185" hidden="1" customWidth="1"/>
    <col min="2542" max="2542" width="6.5703125" style="185" customWidth="1"/>
    <col min="2543" max="2543" width="6.85546875" style="185" bestFit="1" customWidth="1"/>
    <col min="2544" max="2545" width="7.7109375" style="185" bestFit="1" customWidth="1"/>
    <col min="2546" max="2546" width="0" style="185" hidden="1" customWidth="1"/>
    <col min="2547" max="2547" width="9" style="185" customWidth="1"/>
    <col min="2548" max="2548" width="8" style="185" bestFit="1" customWidth="1"/>
    <col min="2549" max="2549" width="0" style="185" hidden="1" customWidth="1"/>
    <col min="2550" max="2550" width="8" style="185" customWidth="1"/>
    <col min="2551" max="2551" width="0" style="185" hidden="1" customWidth="1"/>
    <col min="2552" max="2552" width="8" style="185" bestFit="1" customWidth="1"/>
    <col min="2553" max="2553" width="0" style="185" hidden="1" customWidth="1"/>
    <col min="2554" max="2554" width="8" style="185" customWidth="1"/>
    <col min="2555" max="2555" width="0" style="185" hidden="1" customWidth="1"/>
    <col min="2556" max="2558" width="8" style="185" bestFit="1" customWidth="1"/>
    <col min="2559" max="2559" width="17.42578125" style="185" bestFit="1" customWidth="1"/>
    <col min="2560" max="2787" width="11.42578125" style="185"/>
    <col min="2788" max="2788" width="59.5703125" style="185" customWidth="1"/>
    <col min="2789" max="2797" width="0" style="185" hidden="1" customWidth="1"/>
    <col min="2798" max="2798" width="6.5703125" style="185" customWidth="1"/>
    <col min="2799" max="2799" width="6.85546875" style="185" bestFit="1" customWidth="1"/>
    <col min="2800" max="2801" width="7.7109375" style="185" bestFit="1" customWidth="1"/>
    <col min="2802" max="2802" width="0" style="185" hidden="1" customWidth="1"/>
    <col min="2803" max="2803" width="9" style="185" customWidth="1"/>
    <col min="2804" max="2804" width="8" style="185" bestFit="1" customWidth="1"/>
    <col min="2805" max="2805" width="0" style="185" hidden="1" customWidth="1"/>
    <col min="2806" max="2806" width="8" style="185" customWidth="1"/>
    <col min="2807" max="2807" width="0" style="185" hidden="1" customWidth="1"/>
    <col min="2808" max="2808" width="8" style="185" bestFit="1" customWidth="1"/>
    <col min="2809" max="2809" width="0" style="185" hidden="1" customWidth="1"/>
    <col min="2810" max="2810" width="8" style="185" customWidth="1"/>
    <col min="2811" max="2811" width="0" style="185" hidden="1" customWidth="1"/>
    <col min="2812" max="2814" width="8" style="185" bestFit="1" customWidth="1"/>
    <col min="2815" max="2815" width="17.42578125" style="185" bestFit="1" customWidth="1"/>
    <col min="2816" max="3043" width="11.42578125" style="185"/>
    <col min="3044" max="3044" width="59.5703125" style="185" customWidth="1"/>
    <col min="3045" max="3053" width="0" style="185" hidden="1" customWidth="1"/>
    <col min="3054" max="3054" width="6.5703125" style="185" customWidth="1"/>
    <col min="3055" max="3055" width="6.85546875" style="185" bestFit="1" customWidth="1"/>
    <col min="3056" max="3057" width="7.7109375" style="185" bestFit="1" customWidth="1"/>
    <col min="3058" max="3058" width="0" style="185" hidden="1" customWidth="1"/>
    <col min="3059" max="3059" width="9" style="185" customWidth="1"/>
    <col min="3060" max="3060" width="8" style="185" bestFit="1" customWidth="1"/>
    <col min="3061" max="3061" width="0" style="185" hidden="1" customWidth="1"/>
    <col min="3062" max="3062" width="8" style="185" customWidth="1"/>
    <col min="3063" max="3063" width="0" style="185" hidden="1" customWidth="1"/>
    <col min="3064" max="3064" width="8" style="185" bestFit="1" customWidth="1"/>
    <col min="3065" max="3065" width="0" style="185" hidden="1" customWidth="1"/>
    <col min="3066" max="3066" width="8" style="185" customWidth="1"/>
    <col min="3067" max="3067" width="0" style="185" hidden="1" customWidth="1"/>
    <col min="3068" max="3070" width="8" style="185" bestFit="1" customWidth="1"/>
    <col min="3071" max="3071" width="17.42578125" style="185" bestFit="1" customWidth="1"/>
    <col min="3072" max="3299" width="11.42578125" style="185"/>
    <col min="3300" max="3300" width="59.5703125" style="185" customWidth="1"/>
    <col min="3301" max="3309" width="0" style="185" hidden="1" customWidth="1"/>
    <col min="3310" max="3310" width="6.5703125" style="185" customWidth="1"/>
    <col min="3311" max="3311" width="6.85546875" style="185" bestFit="1" customWidth="1"/>
    <col min="3312" max="3313" width="7.7109375" style="185" bestFit="1" customWidth="1"/>
    <col min="3314" max="3314" width="0" style="185" hidden="1" customWidth="1"/>
    <col min="3315" max="3315" width="9" style="185" customWidth="1"/>
    <col min="3316" max="3316" width="8" style="185" bestFit="1" customWidth="1"/>
    <col min="3317" max="3317" width="0" style="185" hidden="1" customWidth="1"/>
    <col min="3318" max="3318" width="8" style="185" customWidth="1"/>
    <col min="3319" max="3319" width="0" style="185" hidden="1" customWidth="1"/>
    <col min="3320" max="3320" width="8" style="185" bestFit="1" customWidth="1"/>
    <col min="3321" max="3321" width="0" style="185" hidden="1" customWidth="1"/>
    <col min="3322" max="3322" width="8" style="185" customWidth="1"/>
    <col min="3323" max="3323" width="0" style="185" hidden="1" customWidth="1"/>
    <col min="3324" max="3326" width="8" style="185" bestFit="1" customWidth="1"/>
    <col min="3327" max="3327" width="17.42578125" style="185" bestFit="1" customWidth="1"/>
    <col min="3328" max="3555" width="11.42578125" style="185"/>
    <col min="3556" max="3556" width="59.5703125" style="185" customWidth="1"/>
    <col min="3557" max="3565" width="0" style="185" hidden="1" customWidth="1"/>
    <col min="3566" max="3566" width="6.5703125" style="185" customWidth="1"/>
    <col min="3567" max="3567" width="6.85546875" style="185" bestFit="1" customWidth="1"/>
    <col min="3568" max="3569" width="7.7109375" style="185" bestFit="1" customWidth="1"/>
    <col min="3570" max="3570" width="0" style="185" hidden="1" customWidth="1"/>
    <col min="3571" max="3571" width="9" style="185" customWidth="1"/>
    <col min="3572" max="3572" width="8" style="185" bestFit="1" customWidth="1"/>
    <col min="3573" max="3573" width="0" style="185" hidden="1" customWidth="1"/>
    <col min="3574" max="3574" width="8" style="185" customWidth="1"/>
    <col min="3575" max="3575" width="0" style="185" hidden="1" customWidth="1"/>
    <col min="3576" max="3576" width="8" style="185" bestFit="1" customWidth="1"/>
    <col min="3577" max="3577" width="0" style="185" hidden="1" customWidth="1"/>
    <col min="3578" max="3578" width="8" style="185" customWidth="1"/>
    <col min="3579" max="3579" width="0" style="185" hidden="1" customWidth="1"/>
    <col min="3580" max="3582" width="8" style="185" bestFit="1" customWidth="1"/>
    <col min="3583" max="3583" width="17.42578125" style="185" bestFit="1" customWidth="1"/>
    <col min="3584" max="3811" width="11.42578125" style="185"/>
    <col min="3812" max="3812" width="59.5703125" style="185" customWidth="1"/>
    <col min="3813" max="3821" width="0" style="185" hidden="1" customWidth="1"/>
    <col min="3822" max="3822" width="6.5703125" style="185" customWidth="1"/>
    <col min="3823" max="3823" width="6.85546875" style="185" bestFit="1" customWidth="1"/>
    <col min="3824" max="3825" width="7.7109375" style="185" bestFit="1" customWidth="1"/>
    <col min="3826" max="3826" width="0" style="185" hidden="1" customWidth="1"/>
    <col min="3827" max="3827" width="9" style="185" customWidth="1"/>
    <col min="3828" max="3828" width="8" style="185" bestFit="1" customWidth="1"/>
    <col min="3829" max="3829" width="0" style="185" hidden="1" customWidth="1"/>
    <col min="3830" max="3830" width="8" style="185" customWidth="1"/>
    <col min="3831" max="3831" width="0" style="185" hidden="1" customWidth="1"/>
    <col min="3832" max="3832" width="8" style="185" bestFit="1" customWidth="1"/>
    <col min="3833" max="3833" width="0" style="185" hidden="1" customWidth="1"/>
    <col min="3834" max="3834" width="8" style="185" customWidth="1"/>
    <col min="3835" max="3835" width="0" style="185" hidden="1" customWidth="1"/>
    <col min="3836" max="3838" width="8" style="185" bestFit="1" customWidth="1"/>
    <col min="3839" max="3839" width="17.42578125" style="185" bestFit="1" customWidth="1"/>
    <col min="3840" max="4067" width="11.42578125" style="185"/>
    <col min="4068" max="4068" width="59.5703125" style="185" customWidth="1"/>
    <col min="4069" max="4077" width="0" style="185" hidden="1" customWidth="1"/>
    <col min="4078" max="4078" width="6.5703125" style="185" customWidth="1"/>
    <col min="4079" max="4079" width="6.85546875" style="185" bestFit="1" customWidth="1"/>
    <col min="4080" max="4081" width="7.7109375" style="185" bestFit="1" customWidth="1"/>
    <col min="4082" max="4082" width="0" style="185" hidden="1" customWidth="1"/>
    <col min="4083" max="4083" width="9" style="185" customWidth="1"/>
    <col min="4084" max="4084" width="8" style="185" bestFit="1" customWidth="1"/>
    <col min="4085" max="4085" width="0" style="185" hidden="1" customWidth="1"/>
    <col min="4086" max="4086" width="8" style="185" customWidth="1"/>
    <col min="4087" max="4087" width="0" style="185" hidden="1" customWidth="1"/>
    <col min="4088" max="4088" width="8" style="185" bestFit="1" customWidth="1"/>
    <col min="4089" max="4089" width="0" style="185" hidden="1" customWidth="1"/>
    <col min="4090" max="4090" width="8" style="185" customWidth="1"/>
    <col min="4091" max="4091" width="0" style="185" hidden="1" customWidth="1"/>
    <col min="4092" max="4094" width="8" style="185" bestFit="1" customWidth="1"/>
    <col min="4095" max="4095" width="17.42578125" style="185" bestFit="1" customWidth="1"/>
    <col min="4096" max="4323" width="11.42578125" style="185"/>
    <col min="4324" max="4324" width="59.5703125" style="185" customWidth="1"/>
    <col min="4325" max="4333" width="0" style="185" hidden="1" customWidth="1"/>
    <col min="4334" max="4334" width="6.5703125" style="185" customWidth="1"/>
    <col min="4335" max="4335" width="6.85546875" style="185" bestFit="1" customWidth="1"/>
    <col min="4336" max="4337" width="7.7109375" style="185" bestFit="1" customWidth="1"/>
    <col min="4338" max="4338" width="0" style="185" hidden="1" customWidth="1"/>
    <col min="4339" max="4339" width="9" style="185" customWidth="1"/>
    <col min="4340" max="4340" width="8" style="185" bestFit="1" customWidth="1"/>
    <col min="4341" max="4341" width="0" style="185" hidden="1" customWidth="1"/>
    <col min="4342" max="4342" width="8" style="185" customWidth="1"/>
    <col min="4343" max="4343" width="0" style="185" hidden="1" customWidth="1"/>
    <col min="4344" max="4344" width="8" style="185" bestFit="1" customWidth="1"/>
    <col min="4345" max="4345" width="0" style="185" hidden="1" customWidth="1"/>
    <col min="4346" max="4346" width="8" style="185" customWidth="1"/>
    <col min="4347" max="4347" width="0" style="185" hidden="1" customWidth="1"/>
    <col min="4348" max="4350" width="8" style="185" bestFit="1" customWidth="1"/>
    <col min="4351" max="4351" width="17.42578125" style="185" bestFit="1" customWidth="1"/>
    <col min="4352" max="4579" width="11.42578125" style="185"/>
    <col min="4580" max="4580" width="59.5703125" style="185" customWidth="1"/>
    <col min="4581" max="4589" width="0" style="185" hidden="1" customWidth="1"/>
    <col min="4590" max="4590" width="6.5703125" style="185" customWidth="1"/>
    <col min="4591" max="4591" width="6.85546875" style="185" bestFit="1" customWidth="1"/>
    <col min="4592" max="4593" width="7.7109375" style="185" bestFit="1" customWidth="1"/>
    <col min="4594" max="4594" width="0" style="185" hidden="1" customWidth="1"/>
    <col min="4595" max="4595" width="9" style="185" customWidth="1"/>
    <col min="4596" max="4596" width="8" style="185" bestFit="1" customWidth="1"/>
    <col min="4597" max="4597" width="0" style="185" hidden="1" customWidth="1"/>
    <col min="4598" max="4598" width="8" style="185" customWidth="1"/>
    <col min="4599" max="4599" width="0" style="185" hidden="1" customWidth="1"/>
    <col min="4600" max="4600" width="8" style="185" bestFit="1" customWidth="1"/>
    <col min="4601" max="4601" width="0" style="185" hidden="1" customWidth="1"/>
    <col min="4602" max="4602" width="8" style="185" customWidth="1"/>
    <col min="4603" max="4603" width="0" style="185" hidden="1" customWidth="1"/>
    <col min="4604" max="4606" width="8" style="185" bestFit="1" customWidth="1"/>
    <col min="4607" max="4607" width="17.42578125" style="185" bestFit="1" customWidth="1"/>
    <col min="4608" max="4835" width="11.42578125" style="185"/>
    <col min="4836" max="4836" width="59.5703125" style="185" customWidth="1"/>
    <col min="4837" max="4845" width="0" style="185" hidden="1" customWidth="1"/>
    <col min="4846" max="4846" width="6.5703125" style="185" customWidth="1"/>
    <col min="4847" max="4847" width="6.85546875" style="185" bestFit="1" customWidth="1"/>
    <col min="4848" max="4849" width="7.7109375" style="185" bestFit="1" customWidth="1"/>
    <col min="4850" max="4850" width="0" style="185" hidden="1" customWidth="1"/>
    <col min="4851" max="4851" width="9" style="185" customWidth="1"/>
    <col min="4852" max="4852" width="8" style="185" bestFit="1" customWidth="1"/>
    <col min="4853" max="4853" width="0" style="185" hidden="1" customWidth="1"/>
    <col min="4854" max="4854" width="8" style="185" customWidth="1"/>
    <col min="4855" max="4855" width="0" style="185" hidden="1" customWidth="1"/>
    <col min="4856" max="4856" width="8" style="185" bestFit="1" customWidth="1"/>
    <col min="4857" max="4857" width="0" style="185" hidden="1" customWidth="1"/>
    <col min="4858" max="4858" width="8" style="185" customWidth="1"/>
    <col min="4859" max="4859" width="0" style="185" hidden="1" customWidth="1"/>
    <col min="4860" max="4862" width="8" style="185" bestFit="1" customWidth="1"/>
    <col min="4863" max="4863" width="17.42578125" style="185" bestFit="1" customWidth="1"/>
    <col min="4864" max="5091" width="11.42578125" style="185"/>
    <col min="5092" max="5092" width="59.5703125" style="185" customWidth="1"/>
    <col min="5093" max="5101" width="0" style="185" hidden="1" customWidth="1"/>
    <col min="5102" max="5102" width="6.5703125" style="185" customWidth="1"/>
    <col min="5103" max="5103" width="6.85546875" style="185" bestFit="1" customWidth="1"/>
    <col min="5104" max="5105" width="7.7109375" style="185" bestFit="1" customWidth="1"/>
    <col min="5106" max="5106" width="0" style="185" hidden="1" customWidth="1"/>
    <col min="5107" max="5107" width="9" style="185" customWidth="1"/>
    <col min="5108" max="5108" width="8" style="185" bestFit="1" customWidth="1"/>
    <col min="5109" max="5109" width="0" style="185" hidden="1" customWidth="1"/>
    <col min="5110" max="5110" width="8" style="185" customWidth="1"/>
    <col min="5111" max="5111" width="0" style="185" hidden="1" customWidth="1"/>
    <col min="5112" max="5112" width="8" style="185" bestFit="1" customWidth="1"/>
    <col min="5113" max="5113" width="0" style="185" hidden="1" customWidth="1"/>
    <col min="5114" max="5114" width="8" style="185" customWidth="1"/>
    <col min="5115" max="5115" width="0" style="185" hidden="1" customWidth="1"/>
    <col min="5116" max="5118" width="8" style="185" bestFit="1" customWidth="1"/>
    <col min="5119" max="5119" width="17.42578125" style="185" bestFit="1" customWidth="1"/>
    <col min="5120" max="5347" width="11.42578125" style="185"/>
    <col min="5348" max="5348" width="59.5703125" style="185" customWidth="1"/>
    <col min="5349" max="5357" width="0" style="185" hidden="1" customWidth="1"/>
    <col min="5358" max="5358" width="6.5703125" style="185" customWidth="1"/>
    <col min="5359" max="5359" width="6.85546875" style="185" bestFit="1" customWidth="1"/>
    <col min="5360" max="5361" width="7.7109375" style="185" bestFit="1" customWidth="1"/>
    <col min="5362" max="5362" width="0" style="185" hidden="1" customWidth="1"/>
    <col min="5363" max="5363" width="9" style="185" customWidth="1"/>
    <col min="5364" max="5364" width="8" style="185" bestFit="1" customWidth="1"/>
    <col min="5365" max="5365" width="0" style="185" hidden="1" customWidth="1"/>
    <col min="5366" max="5366" width="8" style="185" customWidth="1"/>
    <col min="5367" max="5367" width="0" style="185" hidden="1" customWidth="1"/>
    <col min="5368" max="5368" width="8" style="185" bestFit="1" customWidth="1"/>
    <col min="5369" max="5369" width="0" style="185" hidden="1" customWidth="1"/>
    <col min="5370" max="5370" width="8" style="185" customWidth="1"/>
    <col min="5371" max="5371" width="0" style="185" hidden="1" customWidth="1"/>
    <col min="5372" max="5374" width="8" style="185" bestFit="1" customWidth="1"/>
    <col min="5375" max="5375" width="17.42578125" style="185" bestFit="1" customWidth="1"/>
    <col min="5376" max="5603" width="11.42578125" style="185"/>
    <col min="5604" max="5604" width="59.5703125" style="185" customWidth="1"/>
    <col min="5605" max="5613" width="0" style="185" hidden="1" customWidth="1"/>
    <col min="5614" max="5614" width="6.5703125" style="185" customWidth="1"/>
    <col min="5615" max="5615" width="6.85546875" style="185" bestFit="1" customWidth="1"/>
    <col min="5616" max="5617" width="7.7109375" style="185" bestFit="1" customWidth="1"/>
    <col min="5618" max="5618" width="0" style="185" hidden="1" customWidth="1"/>
    <col min="5619" max="5619" width="9" style="185" customWidth="1"/>
    <col min="5620" max="5620" width="8" style="185" bestFit="1" customWidth="1"/>
    <col min="5621" max="5621" width="0" style="185" hidden="1" customWidth="1"/>
    <col min="5622" max="5622" width="8" style="185" customWidth="1"/>
    <col min="5623" max="5623" width="0" style="185" hidden="1" customWidth="1"/>
    <col min="5624" max="5624" width="8" style="185" bestFit="1" customWidth="1"/>
    <col min="5625" max="5625" width="0" style="185" hidden="1" customWidth="1"/>
    <col min="5626" max="5626" width="8" style="185" customWidth="1"/>
    <col min="5627" max="5627" width="0" style="185" hidden="1" customWidth="1"/>
    <col min="5628" max="5630" width="8" style="185" bestFit="1" customWidth="1"/>
    <col min="5631" max="5631" width="17.42578125" style="185" bestFit="1" customWidth="1"/>
    <col min="5632" max="5859" width="11.42578125" style="185"/>
    <col min="5860" max="5860" width="59.5703125" style="185" customWidth="1"/>
    <col min="5861" max="5869" width="0" style="185" hidden="1" customWidth="1"/>
    <col min="5870" max="5870" width="6.5703125" style="185" customWidth="1"/>
    <col min="5871" max="5871" width="6.85546875" style="185" bestFit="1" customWidth="1"/>
    <col min="5872" max="5873" width="7.7109375" style="185" bestFit="1" customWidth="1"/>
    <col min="5874" max="5874" width="0" style="185" hidden="1" customWidth="1"/>
    <col min="5875" max="5875" width="9" style="185" customWidth="1"/>
    <col min="5876" max="5876" width="8" style="185" bestFit="1" customWidth="1"/>
    <col min="5877" max="5877" width="0" style="185" hidden="1" customWidth="1"/>
    <col min="5878" max="5878" width="8" style="185" customWidth="1"/>
    <col min="5879" max="5879" width="0" style="185" hidden="1" customWidth="1"/>
    <col min="5880" max="5880" width="8" style="185" bestFit="1" customWidth="1"/>
    <col min="5881" max="5881" width="0" style="185" hidden="1" customWidth="1"/>
    <col min="5882" max="5882" width="8" style="185" customWidth="1"/>
    <col min="5883" max="5883" width="0" style="185" hidden="1" customWidth="1"/>
    <col min="5884" max="5886" width="8" style="185" bestFit="1" customWidth="1"/>
    <col min="5887" max="5887" width="17.42578125" style="185" bestFit="1" customWidth="1"/>
    <col min="5888" max="6115" width="11.42578125" style="185"/>
    <col min="6116" max="6116" width="59.5703125" style="185" customWidth="1"/>
    <col min="6117" max="6125" width="0" style="185" hidden="1" customWidth="1"/>
    <col min="6126" max="6126" width="6.5703125" style="185" customWidth="1"/>
    <col min="6127" max="6127" width="6.85546875" style="185" bestFit="1" customWidth="1"/>
    <col min="6128" max="6129" width="7.7109375" style="185" bestFit="1" customWidth="1"/>
    <col min="6130" max="6130" width="0" style="185" hidden="1" customWidth="1"/>
    <col min="6131" max="6131" width="9" style="185" customWidth="1"/>
    <col min="6132" max="6132" width="8" style="185" bestFit="1" customWidth="1"/>
    <col min="6133" max="6133" width="0" style="185" hidden="1" customWidth="1"/>
    <col min="6134" max="6134" width="8" style="185" customWidth="1"/>
    <col min="6135" max="6135" width="0" style="185" hidden="1" customWidth="1"/>
    <col min="6136" max="6136" width="8" style="185" bestFit="1" customWidth="1"/>
    <col min="6137" max="6137" width="0" style="185" hidden="1" customWidth="1"/>
    <col min="6138" max="6138" width="8" style="185" customWidth="1"/>
    <col min="6139" max="6139" width="0" style="185" hidden="1" customWidth="1"/>
    <col min="6140" max="6142" width="8" style="185" bestFit="1" customWidth="1"/>
    <col min="6143" max="6143" width="17.42578125" style="185" bestFit="1" customWidth="1"/>
    <col min="6144" max="6371" width="11.42578125" style="185"/>
    <col min="6372" max="6372" width="59.5703125" style="185" customWidth="1"/>
    <col min="6373" max="6381" width="0" style="185" hidden="1" customWidth="1"/>
    <col min="6382" max="6382" width="6.5703125" style="185" customWidth="1"/>
    <col min="6383" max="6383" width="6.85546875" style="185" bestFit="1" customWidth="1"/>
    <col min="6384" max="6385" width="7.7109375" style="185" bestFit="1" customWidth="1"/>
    <col min="6386" max="6386" width="0" style="185" hidden="1" customWidth="1"/>
    <col min="6387" max="6387" width="9" style="185" customWidth="1"/>
    <col min="6388" max="6388" width="8" style="185" bestFit="1" customWidth="1"/>
    <col min="6389" max="6389" width="0" style="185" hidden="1" customWidth="1"/>
    <col min="6390" max="6390" width="8" style="185" customWidth="1"/>
    <col min="6391" max="6391" width="0" style="185" hidden="1" customWidth="1"/>
    <col min="6392" max="6392" width="8" style="185" bestFit="1" customWidth="1"/>
    <col min="6393" max="6393" width="0" style="185" hidden="1" customWidth="1"/>
    <col min="6394" max="6394" width="8" style="185" customWidth="1"/>
    <col min="6395" max="6395" width="0" style="185" hidden="1" customWidth="1"/>
    <col min="6396" max="6398" width="8" style="185" bestFit="1" customWidth="1"/>
    <col min="6399" max="6399" width="17.42578125" style="185" bestFit="1" customWidth="1"/>
    <col min="6400" max="6627" width="11.42578125" style="185"/>
    <col min="6628" max="6628" width="59.5703125" style="185" customWidth="1"/>
    <col min="6629" max="6637" width="0" style="185" hidden="1" customWidth="1"/>
    <col min="6638" max="6638" width="6.5703125" style="185" customWidth="1"/>
    <col min="6639" max="6639" width="6.85546875" style="185" bestFit="1" customWidth="1"/>
    <col min="6640" max="6641" width="7.7109375" style="185" bestFit="1" customWidth="1"/>
    <col min="6642" max="6642" width="0" style="185" hidden="1" customWidth="1"/>
    <col min="6643" max="6643" width="9" style="185" customWidth="1"/>
    <col min="6644" max="6644" width="8" style="185" bestFit="1" customWidth="1"/>
    <col min="6645" max="6645" width="0" style="185" hidden="1" customWidth="1"/>
    <col min="6646" max="6646" width="8" style="185" customWidth="1"/>
    <col min="6647" max="6647" width="0" style="185" hidden="1" customWidth="1"/>
    <col min="6648" max="6648" width="8" style="185" bestFit="1" customWidth="1"/>
    <col min="6649" max="6649" width="0" style="185" hidden="1" customWidth="1"/>
    <col min="6650" max="6650" width="8" style="185" customWidth="1"/>
    <col min="6651" max="6651" width="0" style="185" hidden="1" customWidth="1"/>
    <col min="6652" max="6654" width="8" style="185" bestFit="1" customWidth="1"/>
    <col min="6655" max="6655" width="17.42578125" style="185" bestFit="1" customWidth="1"/>
    <col min="6656" max="6883" width="11.42578125" style="185"/>
    <col min="6884" max="6884" width="59.5703125" style="185" customWidth="1"/>
    <col min="6885" max="6893" width="0" style="185" hidden="1" customWidth="1"/>
    <col min="6894" max="6894" width="6.5703125" style="185" customWidth="1"/>
    <col min="6895" max="6895" width="6.85546875" style="185" bestFit="1" customWidth="1"/>
    <col min="6896" max="6897" width="7.7109375" style="185" bestFit="1" customWidth="1"/>
    <col min="6898" max="6898" width="0" style="185" hidden="1" customWidth="1"/>
    <col min="6899" max="6899" width="9" style="185" customWidth="1"/>
    <col min="6900" max="6900" width="8" style="185" bestFit="1" customWidth="1"/>
    <col min="6901" max="6901" width="0" style="185" hidden="1" customWidth="1"/>
    <col min="6902" max="6902" width="8" style="185" customWidth="1"/>
    <col min="6903" max="6903" width="0" style="185" hidden="1" customWidth="1"/>
    <col min="6904" max="6904" width="8" style="185" bestFit="1" customWidth="1"/>
    <col min="6905" max="6905" width="0" style="185" hidden="1" customWidth="1"/>
    <col min="6906" max="6906" width="8" style="185" customWidth="1"/>
    <col min="6907" max="6907" width="0" style="185" hidden="1" customWidth="1"/>
    <col min="6908" max="6910" width="8" style="185" bestFit="1" customWidth="1"/>
    <col min="6911" max="6911" width="17.42578125" style="185" bestFit="1" customWidth="1"/>
    <col min="6912" max="7139" width="11.42578125" style="185"/>
    <col min="7140" max="7140" width="59.5703125" style="185" customWidth="1"/>
    <col min="7141" max="7149" width="0" style="185" hidden="1" customWidth="1"/>
    <col min="7150" max="7150" width="6.5703125" style="185" customWidth="1"/>
    <col min="7151" max="7151" width="6.85546875" style="185" bestFit="1" customWidth="1"/>
    <col min="7152" max="7153" width="7.7109375" style="185" bestFit="1" customWidth="1"/>
    <col min="7154" max="7154" width="0" style="185" hidden="1" customWidth="1"/>
    <col min="7155" max="7155" width="9" style="185" customWidth="1"/>
    <col min="7156" max="7156" width="8" style="185" bestFit="1" customWidth="1"/>
    <col min="7157" max="7157" width="0" style="185" hidden="1" customWidth="1"/>
    <col min="7158" max="7158" width="8" style="185" customWidth="1"/>
    <col min="7159" max="7159" width="0" style="185" hidden="1" customWidth="1"/>
    <col min="7160" max="7160" width="8" style="185" bestFit="1" customWidth="1"/>
    <col min="7161" max="7161" width="0" style="185" hidden="1" customWidth="1"/>
    <col min="7162" max="7162" width="8" style="185" customWidth="1"/>
    <col min="7163" max="7163" width="0" style="185" hidden="1" customWidth="1"/>
    <col min="7164" max="7166" width="8" style="185" bestFit="1" customWidth="1"/>
    <col min="7167" max="7167" width="17.42578125" style="185" bestFit="1" customWidth="1"/>
    <col min="7168" max="7395" width="11.42578125" style="185"/>
    <col min="7396" max="7396" width="59.5703125" style="185" customWidth="1"/>
    <col min="7397" max="7405" width="0" style="185" hidden="1" customWidth="1"/>
    <col min="7406" max="7406" width="6.5703125" style="185" customWidth="1"/>
    <col min="7407" max="7407" width="6.85546875" style="185" bestFit="1" customWidth="1"/>
    <col min="7408" max="7409" width="7.7109375" style="185" bestFit="1" customWidth="1"/>
    <col min="7410" max="7410" width="0" style="185" hidden="1" customWidth="1"/>
    <col min="7411" max="7411" width="9" style="185" customWidth="1"/>
    <col min="7412" max="7412" width="8" style="185" bestFit="1" customWidth="1"/>
    <col min="7413" max="7413" width="0" style="185" hidden="1" customWidth="1"/>
    <col min="7414" max="7414" width="8" style="185" customWidth="1"/>
    <col min="7415" max="7415" width="0" style="185" hidden="1" customWidth="1"/>
    <col min="7416" max="7416" width="8" style="185" bestFit="1" customWidth="1"/>
    <col min="7417" max="7417" width="0" style="185" hidden="1" customWidth="1"/>
    <col min="7418" max="7418" width="8" style="185" customWidth="1"/>
    <col min="7419" max="7419" width="0" style="185" hidden="1" customWidth="1"/>
    <col min="7420" max="7422" width="8" style="185" bestFit="1" customWidth="1"/>
    <col min="7423" max="7423" width="17.42578125" style="185" bestFit="1" customWidth="1"/>
    <col min="7424" max="7651" width="11.42578125" style="185"/>
    <col min="7652" max="7652" width="59.5703125" style="185" customWidth="1"/>
    <col min="7653" max="7661" width="0" style="185" hidden="1" customWidth="1"/>
    <col min="7662" max="7662" width="6.5703125" style="185" customWidth="1"/>
    <col min="7663" max="7663" width="6.85546875" style="185" bestFit="1" customWidth="1"/>
    <col min="7664" max="7665" width="7.7109375" style="185" bestFit="1" customWidth="1"/>
    <col min="7666" max="7666" width="0" style="185" hidden="1" customWidth="1"/>
    <col min="7667" max="7667" width="9" style="185" customWidth="1"/>
    <col min="7668" max="7668" width="8" style="185" bestFit="1" customWidth="1"/>
    <col min="7669" max="7669" width="0" style="185" hidden="1" customWidth="1"/>
    <col min="7670" max="7670" width="8" style="185" customWidth="1"/>
    <col min="7671" max="7671" width="0" style="185" hidden="1" customWidth="1"/>
    <col min="7672" max="7672" width="8" style="185" bestFit="1" customWidth="1"/>
    <col min="7673" max="7673" width="0" style="185" hidden="1" customWidth="1"/>
    <col min="7674" max="7674" width="8" style="185" customWidth="1"/>
    <col min="7675" max="7675" width="0" style="185" hidden="1" customWidth="1"/>
    <col min="7676" max="7678" width="8" style="185" bestFit="1" customWidth="1"/>
    <col min="7679" max="7679" width="17.42578125" style="185" bestFit="1" customWidth="1"/>
    <col min="7680" max="7907" width="11.42578125" style="185"/>
    <col min="7908" max="7908" width="59.5703125" style="185" customWidth="1"/>
    <col min="7909" max="7917" width="0" style="185" hidden="1" customWidth="1"/>
    <col min="7918" max="7918" width="6.5703125" style="185" customWidth="1"/>
    <col min="7919" max="7919" width="6.85546875" style="185" bestFit="1" customWidth="1"/>
    <col min="7920" max="7921" width="7.7109375" style="185" bestFit="1" customWidth="1"/>
    <col min="7922" max="7922" width="0" style="185" hidden="1" customWidth="1"/>
    <col min="7923" max="7923" width="9" style="185" customWidth="1"/>
    <col min="7924" max="7924" width="8" style="185" bestFit="1" customWidth="1"/>
    <col min="7925" max="7925" width="0" style="185" hidden="1" customWidth="1"/>
    <col min="7926" max="7926" width="8" style="185" customWidth="1"/>
    <col min="7927" max="7927" width="0" style="185" hidden="1" customWidth="1"/>
    <col min="7928" max="7928" width="8" style="185" bestFit="1" customWidth="1"/>
    <col min="7929" max="7929" width="0" style="185" hidden="1" customWidth="1"/>
    <col min="7930" max="7930" width="8" style="185" customWidth="1"/>
    <col min="7931" max="7931" width="0" style="185" hidden="1" customWidth="1"/>
    <col min="7932" max="7934" width="8" style="185" bestFit="1" customWidth="1"/>
    <col min="7935" max="7935" width="17.42578125" style="185" bestFit="1" customWidth="1"/>
    <col min="7936" max="8163" width="11.42578125" style="185"/>
    <col min="8164" max="8164" width="59.5703125" style="185" customWidth="1"/>
    <col min="8165" max="8173" width="0" style="185" hidden="1" customWidth="1"/>
    <col min="8174" max="8174" width="6.5703125" style="185" customWidth="1"/>
    <col min="8175" max="8175" width="6.85546875" style="185" bestFit="1" customWidth="1"/>
    <col min="8176" max="8177" width="7.7109375" style="185" bestFit="1" customWidth="1"/>
    <col min="8178" max="8178" width="0" style="185" hidden="1" customWidth="1"/>
    <col min="8179" max="8179" width="9" style="185" customWidth="1"/>
    <col min="8180" max="8180" width="8" style="185" bestFit="1" customWidth="1"/>
    <col min="8181" max="8181" width="0" style="185" hidden="1" customWidth="1"/>
    <col min="8182" max="8182" width="8" style="185" customWidth="1"/>
    <col min="8183" max="8183" width="0" style="185" hidden="1" customWidth="1"/>
    <col min="8184" max="8184" width="8" style="185" bestFit="1" customWidth="1"/>
    <col min="8185" max="8185" width="0" style="185" hidden="1" customWidth="1"/>
    <col min="8186" max="8186" width="8" style="185" customWidth="1"/>
    <col min="8187" max="8187" width="0" style="185" hidden="1" customWidth="1"/>
    <col min="8188" max="8190" width="8" style="185" bestFit="1" customWidth="1"/>
    <col min="8191" max="8191" width="17.42578125" style="185" bestFit="1" customWidth="1"/>
    <col min="8192" max="8419" width="11.42578125" style="185"/>
    <col min="8420" max="8420" width="59.5703125" style="185" customWidth="1"/>
    <col min="8421" max="8429" width="0" style="185" hidden="1" customWidth="1"/>
    <col min="8430" max="8430" width="6.5703125" style="185" customWidth="1"/>
    <col min="8431" max="8431" width="6.85546875" style="185" bestFit="1" customWidth="1"/>
    <col min="8432" max="8433" width="7.7109375" style="185" bestFit="1" customWidth="1"/>
    <col min="8434" max="8434" width="0" style="185" hidden="1" customWidth="1"/>
    <col min="8435" max="8435" width="9" style="185" customWidth="1"/>
    <col min="8436" max="8436" width="8" style="185" bestFit="1" customWidth="1"/>
    <col min="8437" max="8437" width="0" style="185" hidden="1" customWidth="1"/>
    <col min="8438" max="8438" width="8" style="185" customWidth="1"/>
    <col min="8439" max="8439" width="0" style="185" hidden="1" customWidth="1"/>
    <col min="8440" max="8440" width="8" style="185" bestFit="1" customWidth="1"/>
    <col min="8441" max="8441" width="0" style="185" hidden="1" customWidth="1"/>
    <col min="8442" max="8442" width="8" style="185" customWidth="1"/>
    <col min="8443" max="8443" width="0" style="185" hidden="1" customWidth="1"/>
    <col min="8444" max="8446" width="8" style="185" bestFit="1" customWidth="1"/>
    <col min="8447" max="8447" width="17.42578125" style="185" bestFit="1" customWidth="1"/>
    <col min="8448" max="8675" width="11.42578125" style="185"/>
    <col min="8676" max="8676" width="59.5703125" style="185" customWidth="1"/>
    <col min="8677" max="8685" width="0" style="185" hidden="1" customWidth="1"/>
    <col min="8686" max="8686" width="6.5703125" style="185" customWidth="1"/>
    <col min="8687" max="8687" width="6.85546875" style="185" bestFit="1" customWidth="1"/>
    <col min="8688" max="8689" width="7.7109375" style="185" bestFit="1" customWidth="1"/>
    <col min="8690" max="8690" width="0" style="185" hidden="1" customWidth="1"/>
    <col min="8691" max="8691" width="9" style="185" customWidth="1"/>
    <col min="8692" max="8692" width="8" style="185" bestFit="1" customWidth="1"/>
    <col min="8693" max="8693" width="0" style="185" hidden="1" customWidth="1"/>
    <col min="8694" max="8694" width="8" style="185" customWidth="1"/>
    <col min="8695" max="8695" width="0" style="185" hidden="1" customWidth="1"/>
    <col min="8696" max="8696" width="8" style="185" bestFit="1" customWidth="1"/>
    <col min="8697" max="8697" width="0" style="185" hidden="1" customWidth="1"/>
    <col min="8698" max="8698" width="8" style="185" customWidth="1"/>
    <col min="8699" max="8699" width="0" style="185" hidden="1" customWidth="1"/>
    <col min="8700" max="8702" width="8" style="185" bestFit="1" customWidth="1"/>
    <col min="8703" max="8703" width="17.42578125" style="185" bestFit="1" customWidth="1"/>
    <col min="8704" max="8931" width="11.42578125" style="185"/>
    <col min="8932" max="8932" width="59.5703125" style="185" customWidth="1"/>
    <col min="8933" max="8941" width="0" style="185" hidden="1" customWidth="1"/>
    <col min="8942" max="8942" width="6.5703125" style="185" customWidth="1"/>
    <col min="8943" max="8943" width="6.85546875" style="185" bestFit="1" customWidth="1"/>
    <col min="8944" max="8945" width="7.7109375" style="185" bestFit="1" customWidth="1"/>
    <col min="8946" max="8946" width="0" style="185" hidden="1" customWidth="1"/>
    <col min="8947" max="8947" width="9" style="185" customWidth="1"/>
    <col min="8948" max="8948" width="8" style="185" bestFit="1" customWidth="1"/>
    <col min="8949" max="8949" width="0" style="185" hidden="1" customWidth="1"/>
    <col min="8950" max="8950" width="8" style="185" customWidth="1"/>
    <col min="8951" max="8951" width="0" style="185" hidden="1" customWidth="1"/>
    <col min="8952" max="8952" width="8" style="185" bestFit="1" customWidth="1"/>
    <col min="8953" max="8953" width="0" style="185" hidden="1" customWidth="1"/>
    <col min="8954" max="8954" width="8" style="185" customWidth="1"/>
    <col min="8955" max="8955" width="0" style="185" hidden="1" customWidth="1"/>
    <col min="8956" max="8958" width="8" style="185" bestFit="1" customWidth="1"/>
    <col min="8959" max="8959" width="17.42578125" style="185" bestFit="1" customWidth="1"/>
    <col min="8960" max="9187" width="11.42578125" style="185"/>
    <col min="9188" max="9188" width="59.5703125" style="185" customWidth="1"/>
    <col min="9189" max="9197" width="0" style="185" hidden="1" customWidth="1"/>
    <col min="9198" max="9198" width="6.5703125" style="185" customWidth="1"/>
    <col min="9199" max="9199" width="6.85546875" style="185" bestFit="1" customWidth="1"/>
    <col min="9200" max="9201" width="7.7109375" style="185" bestFit="1" customWidth="1"/>
    <col min="9202" max="9202" width="0" style="185" hidden="1" customWidth="1"/>
    <col min="9203" max="9203" width="9" style="185" customWidth="1"/>
    <col min="9204" max="9204" width="8" style="185" bestFit="1" customWidth="1"/>
    <col min="9205" max="9205" width="0" style="185" hidden="1" customWidth="1"/>
    <col min="9206" max="9206" width="8" style="185" customWidth="1"/>
    <col min="9207" max="9207" width="0" style="185" hidden="1" customWidth="1"/>
    <col min="9208" max="9208" width="8" style="185" bestFit="1" customWidth="1"/>
    <col min="9209" max="9209" width="0" style="185" hidden="1" customWidth="1"/>
    <col min="9210" max="9210" width="8" style="185" customWidth="1"/>
    <col min="9211" max="9211" width="0" style="185" hidden="1" customWidth="1"/>
    <col min="9212" max="9214" width="8" style="185" bestFit="1" customWidth="1"/>
    <col min="9215" max="9215" width="17.42578125" style="185" bestFit="1" customWidth="1"/>
    <col min="9216" max="9443" width="11.42578125" style="185"/>
    <col min="9444" max="9444" width="59.5703125" style="185" customWidth="1"/>
    <col min="9445" max="9453" width="0" style="185" hidden="1" customWidth="1"/>
    <col min="9454" max="9454" width="6.5703125" style="185" customWidth="1"/>
    <col min="9455" max="9455" width="6.85546875" style="185" bestFit="1" customWidth="1"/>
    <col min="9456" max="9457" width="7.7109375" style="185" bestFit="1" customWidth="1"/>
    <col min="9458" max="9458" width="0" style="185" hidden="1" customWidth="1"/>
    <col min="9459" max="9459" width="9" style="185" customWidth="1"/>
    <col min="9460" max="9460" width="8" style="185" bestFit="1" customWidth="1"/>
    <col min="9461" max="9461" width="0" style="185" hidden="1" customWidth="1"/>
    <col min="9462" max="9462" width="8" style="185" customWidth="1"/>
    <col min="9463" max="9463" width="0" style="185" hidden="1" customWidth="1"/>
    <col min="9464" max="9464" width="8" style="185" bestFit="1" customWidth="1"/>
    <col min="9465" max="9465" width="0" style="185" hidden="1" customWidth="1"/>
    <col min="9466" max="9466" width="8" style="185" customWidth="1"/>
    <col min="9467" max="9467" width="0" style="185" hidden="1" customWidth="1"/>
    <col min="9468" max="9470" width="8" style="185" bestFit="1" customWidth="1"/>
    <col min="9471" max="9471" width="17.42578125" style="185" bestFit="1" customWidth="1"/>
    <col min="9472" max="9699" width="11.42578125" style="185"/>
    <col min="9700" max="9700" width="59.5703125" style="185" customWidth="1"/>
    <col min="9701" max="9709" width="0" style="185" hidden="1" customWidth="1"/>
    <col min="9710" max="9710" width="6.5703125" style="185" customWidth="1"/>
    <col min="9711" max="9711" width="6.85546875" style="185" bestFit="1" customWidth="1"/>
    <col min="9712" max="9713" width="7.7109375" style="185" bestFit="1" customWidth="1"/>
    <col min="9714" max="9714" width="0" style="185" hidden="1" customWidth="1"/>
    <col min="9715" max="9715" width="9" style="185" customWidth="1"/>
    <col min="9716" max="9716" width="8" style="185" bestFit="1" customWidth="1"/>
    <col min="9717" max="9717" width="0" style="185" hidden="1" customWidth="1"/>
    <col min="9718" max="9718" width="8" style="185" customWidth="1"/>
    <col min="9719" max="9719" width="0" style="185" hidden="1" customWidth="1"/>
    <col min="9720" max="9720" width="8" style="185" bestFit="1" customWidth="1"/>
    <col min="9721" max="9721" width="0" style="185" hidden="1" customWidth="1"/>
    <col min="9722" max="9722" width="8" style="185" customWidth="1"/>
    <col min="9723" max="9723" width="0" style="185" hidden="1" customWidth="1"/>
    <col min="9724" max="9726" width="8" style="185" bestFit="1" customWidth="1"/>
    <col min="9727" max="9727" width="17.42578125" style="185" bestFit="1" customWidth="1"/>
    <col min="9728" max="9955" width="11.42578125" style="185"/>
    <col min="9956" max="9956" width="59.5703125" style="185" customWidth="1"/>
    <col min="9957" max="9965" width="0" style="185" hidden="1" customWidth="1"/>
    <col min="9966" max="9966" width="6.5703125" style="185" customWidth="1"/>
    <col min="9967" max="9967" width="6.85546875" style="185" bestFit="1" customWidth="1"/>
    <col min="9968" max="9969" width="7.7109375" style="185" bestFit="1" customWidth="1"/>
    <col min="9970" max="9970" width="0" style="185" hidden="1" customWidth="1"/>
    <col min="9971" max="9971" width="9" style="185" customWidth="1"/>
    <col min="9972" max="9972" width="8" style="185" bestFit="1" customWidth="1"/>
    <col min="9973" max="9973" width="0" style="185" hidden="1" customWidth="1"/>
    <col min="9974" max="9974" width="8" style="185" customWidth="1"/>
    <col min="9975" max="9975" width="0" style="185" hidden="1" customWidth="1"/>
    <col min="9976" max="9976" width="8" style="185" bestFit="1" customWidth="1"/>
    <col min="9977" max="9977" width="0" style="185" hidden="1" customWidth="1"/>
    <col min="9978" max="9978" width="8" style="185" customWidth="1"/>
    <col min="9979" max="9979" width="0" style="185" hidden="1" customWidth="1"/>
    <col min="9980" max="9982" width="8" style="185" bestFit="1" customWidth="1"/>
    <col min="9983" max="9983" width="17.42578125" style="185" bestFit="1" customWidth="1"/>
    <col min="9984" max="10211" width="11.42578125" style="185"/>
    <col min="10212" max="10212" width="59.5703125" style="185" customWidth="1"/>
    <col min="10213" max="10221" width="0" style="185" hidden="1" customWidth="1"/>
    <col min="10222" max="10222" width="6.5703125" style="185" customWidth="1"/>
    <col min="10223" max="10223" width="6.85546875" style="185" bestFit="1" customWidth="1"/>
    <col min="10224" max="10225" width="7.7109375" style="185" bestFit="1" customWidth="1"/>
    <col min="10226" max="10226" width="0" style="185" hidden="1" customWidth="1"/>
    <col min="10227" max="10227" width="9" style="185" customWidth="1"/>
    <col min="10228" max="10228" width="8" style="185" bestFit="1" customWidth="1"/>
    <col min="10229" max="10229" width="0" style="185" hidden="1" customWidth="1"/>
    <col min="10230" max="10230" width="8" style="185" customWidth="1"/>
    <col min="10231" max="10231" width="0" style="185" hidden="1" customWidth="1"/>
    <col min="10232" max="10232" width="8" style="185" bestFit="1" customWidth="1"/>
    <col min="10233" max="10233" width="0" style="185" hidden="1" customWidth="1"/>
    <col min="10234" max="10234" width="8" style="185" customWidth="1"/>
    <col min="10235" max="10235" width="0" style="185" hidden="1" customWidth="1"/>
    <col min="10236" max="10238" width="8" style="185" bestFit="1" customWidth="1"/>
    <col min="10239" max="10239" width="17.42578125" style="185" bestFit="1" customWidth="1"/>
    <col min="10240" max="10467" width="11.42578125" style="185"/>
    <col min="10468" max="10468" width="59.5703125" style="185" customWidth="1"/>
    <col min="10469" max="10477" width="0" style="185" hidden="1" customWidth="1"/>
    <col min="10478" max="10478" width="6.5703125" style="185" customWidth="1"/>
    <col min="10479" max="10479" width="6.85546875" style="185" bestFit="1" customWidth="1"/>
    <col min="10480" max="10481" width="7.7109375" style="185" bestFit="1" customWidth="1"/>
    <col min="10482" max="10482" width="0" style="185" hidden="1" customWidth="1"/>
    <col min="10483" max="10483" width="9" style="185" customWidth="1"/>
    <col min="10484" max="10484" width="8" style="185" bestFit="1" customWidth="1"/>
    <col min="10485" max="10485" width="0" style="185" hidden="1" customWidth="1"/>
    <col min="10486" max="10486" width="8" style="185" customWidth="1"/>
    <col min="10487" max="10487" width="0" style="185" hidden="1" customWidth="1"/>
    <col min="10488" max="10488" width="8" style="185" bestFit="1" customWidth="1"/>
    <col min="10489" max="10489" width="0" style="185" hidden="1" customWidth="1"/>
    <col min="10490" max="10490" width="8" style="185" customWidth="1"/>
    <col min="10491" max="10491" width="0" style="185" hidden="1" customWidth="1"/>
    <col min="10492" max="10494" width="8" style="185" bestFit="1" customWidth="1"/>
    <col min="10495" max="10495" width="17.42578125" style="185" bestFit="1" customWidth="1"/>
    <col min="10496" max="10723" width="11.42578125" style="185"/>
    <col min="10724" max="10724" width="59.5703125" style="185" customWidth="1"/>
    <col min="10725" max="10733" width="0" style="185" hidden="1" customWidth="1"/>
    <col min="10734" max="10734" width="6.5703125" style="185" customWidth="1"/>
    <col min="10735" max="10735" width="6.85546875" style="185" bestFit="1" customWidth="1"/>
    <col min="10736" max="10737" width="7.7109375" style="185" bestFit="1" customWidth="1"/>
    <col min="10738" max="10738" width="0" style="185" hidden="1" customWidth="1"/>
    <col min="10739" max="10739" width="9" style="185" customWidth="1"/>
    <col min="10740" max="10740" width="8" style="185" bestFit="1" customWidth="1"/>
    <col min="10741" max="10741" width="0" style="185" hidden="1" customWidth="1"/>
    <col min="10742" max="10742" width="8" style="185" customWidth="1"/>
    <col min="10743" max="10743" width="0" style="185" hidden="1" customWidth="1"/>
    <col min="10744" max="10744" width="8" style="185" bestFit="1" customWidth="1"/>
    <col min="10745" max="10745" width="0" style="185" hidden="1" customWidth="1"/>
    <col min="10746" max="10746" width="8" style="185" customWidth="1"/>
    <col min="10747" max="10747" width="0" style="185" hidden="1" customWidth="1"/>
    <col min="10748" max="10750" width="8" style="185" bestFit="1" customWidth="1"/>
    <col min="10751" max="10751" width="17.42578125" style="185" bestFit="1" customWidth="1"/>
    <col min="10752" max="10979" width="11.42578125" style="185"/>
    <col min="10980" max="10980" width="59.5703125" style="185" customWidth="1"/>
    <col min="10981" max="10989" width="0" style="185" hidden="1" customWidth="1"/>
    <col min="10990" max="10990" width="6.5703125" style="185" customWidth="1"/>
    <col min="10991" max="10991" width="6.85546875" style="185" bestFit="1" customWidth="1"/>
    <col min="10992" max="10993" width="7.7109375" style="185" bestFit="1" customWidth="1"/>
    <col min="10994" max="10994" width="0" style="185" hidden="1" customWidth="1"/>
    <col min="10995" max="10995" width="9" style="185" customWidth="1"/>
    <col min="10996" max="10996" width="8" style="185" bestFit="1" customWidth="1"/>
    <col min="10997" max="10997" width="0" style="185" hidden="1" customWidth="1"/>
    <col min="10998" max="10998" width="8" style="185" customWidth="1"/>
    <col min="10999" max="10999" width="0" style="185" hidden="1" customWidth="1"/>
    <col min="11000" max="11000" width="8" style="185" bestFit="1" customWidth="1"/>
    <col min="11001" max="11001" width="0" style="185" hidden="1" customWidth="1"/>
    <col min="11002" max="11002" width="8" style="185" customWidth="1"/>
    <col min="11003" max="11003" width="0" style="185" hidden="1" customWidth="1"/>
    <col min="11004" max="11006" width="8" style="185" bestFit="1" customWidth="1"/>
    <col min="11007" max="11007" width="17.42578125" style="185" bestFit="1" customWidth="1"/>
    <col min="11008" max="11235" width="11.42578125" style="185"/>
    <col min="11236" max="11236" width="59.5703125" style="185" customWidth="1"/>
    <col min="11237" max="11245" width="0" style="185" hidden="1" customWidth="1"/>
    <col min="11246" max="11246" width="6.5703125" style="185" customWidth="1"/>
    <col min="11247" max="11247" width="6.85546875" style="185" bestFit="1" customWidth="1"/>
    <col min="11248" max="11249" width="7.7109375" style="185" bestFit="1" customWidth="1"/>
    <col min="11250" max="11250" width="0" style="185" hidden="1" customWidth="1"/>
    <col min="11251" max="11251" width="9" style="185" customWidth="1"/>
    <col min="11252" max="11252" width="8" style="185" bestFit="1" customWidth="1"/>
    <col min="11253" max="11253" width="0" style="185" hidden="1" customWidth="1"/>
    <col min="11254" max="11254" width="8" style="185" customWidth="1"/>
    <col min="11255" max="11255" width="0" style="185" hidden="1" customWidth="1"/>
    <col min="11256" max="11256" width="8" style="185" bestFit="1" customWidth="1"/>
    <col min="11257" max="11257" width="0" style="185" hidden="1" customWidth="1"/>
    <col min="11258" max="11258" width="8" style="185" customWidth="1"/>
    <col min="11259" max="11259" width="0" style="185" hidden="1" customWidth="1"/>
    <col min="11260" max="11262" width="8" style="185" bestFit="1" customWidth="1"/>
    <col min="11263" max="11263" width="17.42578125" style="185" bestFit="1" customWidth="1"/>
    <col min="11264" max="11491" width="11.42578125" style="185"/>
    <col min="11492" max="11492" width="59.5703125" style="185" customWidth="1"/>
    <col min="11493" max="11501" width="0" style="185" hidden="1" customWidth="1"/>
    <col min="11502" max="11502" width="6.5703125" style="185" customWidth="1"/>
    <col min="11503" max="11503" width="6.85546875" style="185" bestFit="1" customWidth="1"/>
    <col min="11504" max="11505" width="7.7109375" style="185" bestFit="1" customWidth="1"/>
    <col min="11506" max="11506" width="0" style="185" hidden="1" customWidth="1"/>
    <col min="11507" max="11507" width="9" style="185" customWidth="1"/>
    <col min="11508" max="11508" width="8" style="185" bestFit="1" customWidth="1"/>
    <col min="11509" max="11509" width="0" style="185" hidden="1" customWidth="1"/>
    <col min="11510" max="11510" width="8" style="185" customWidth="1"/>
    <col min="11511" max="11511" width="0" style="185" hidden="1" customWidth="1"/>
    <col min="11512" max="11512" width="8" style="185" bestFit="1" customWidth="1"/>
    <col min="11513" max="11513" width="0" style="185" hidden="1" customWidth="1"/>
    <col min="11514" max="11514" width="8" style="185" customWidth="1"/>
    <col min="11515" max="11515" width="0" style="185" hidden="1" customWidth="1"/>
    <col min="11516" max="11518" width="8" style="185" bestFit="1" customWidth="1"/>
    <col min="11519" max="11519" width="17.42578125" style="185" bestFit="1" customWidth="1"/>
    <col min="11520" max="11747" width="11.42578125" style="185"/>
    <col min="11748" max="11748" width="59.5703125" style="185" customWidth="1"/>
    <col min="11749" max="11757" width="0" style="185" hidden="1" customWidth="1"/>
    <col min="11758" max="11758" width="6.5703125" style="185" customWidth="1"/>
    <col min="11759" max="11759" width="6.85546875" style="185" bestFit="1" customWidth="1"/>
    <col min="11760" max="11761" width="7.7109375" style="185" bestFit="1" customWidth="1"/>
    <col min="11762" max="11762" width="0" style="185" hidden="1" customWidth="1"/>
    <col min="11763" max="11763" width="9" style="185" customWidth="1"/>
    <col min="11764" max="11764" width="8" style="185" bestFit="1" customWidth="1"/>
    <col min="11765" max="11765" width="0" style="185" hidden="1" customWidth="1"/>
    <col min="11766" max="11766" width="8" style="185" customWidth="1"/>
    <col min="11767" max="11767" width="0" style="185" hidden="1" customWidth="1"/>
    <col min="11768" max="11768" width="8" style="185" bestFit="1" customWidth="1"/>
    <col min="11769" max="11769" width="0" style="185" hidden="1" customWidth="1"/>
    <col min="11770" max="11770" width="8" style="185" customWidth="1"/>
    <col min="11771" max="11771" width="0" style="185" hidden="1" customWidth="1"/>
    <col min="11772" max="11774" width="8" style="185" bestFit="1" customWidth="1"/>
    <col min="11775" max="11775" width="17.42578125" style="185" bestFit="1" customWidth="1"/>
    <col min="11776" max="12003" width="11.42578125" style="185"/>
    <col min="12004" max="12004" width="59.5703125" style="185" customWidth="1"/>
    <col min="12005" max="12013" width="0" style="185" hidden="1" customWidth="1"/>
    <col min="12014" max="12014" width="6.5703125" style="185" customWidth="1"/>
    <col min="12015" max="12015" width="6.85546875" style="185" bestFit="1" customWidth="1"/>
    <col min="12016" max="12017" width="7.7109375" style="185" bestFit="1" customWidth="1"/>
    <col min="12018" max="12018" width="0" style="185" hidden="1" customWidth="1"/>
    <col min="12019" max="12019" width="9" style="185" customWidth="1"/>
    <col min="12020" max="12020" width="8" style="185" bestFit="1" customWidth="1"/>
    <col min="12021" max="12021" width="0" style="185" hidden="1" customWidth="1"/>
    <col min="12022" max="12022" width="8" style="185" customWidth="1"/>
    <col min="12023" max="12023" width="0" style="185" hidden="1" customWidth="1"/>
    <col min="12024" max="12024" width="8" style="185" bestFit="1" customWidth="1"/>
    <col min="12025" max="12025" width="0" style="185" hidden="1" customWidth="1"/>
    <col min="12026" max="12026" width="8" style="185" customWidth="1"/>
    <col min="12027" max="12027" width="0" style="185" hidden="1" customWidth="1"/>
    <col min="12028" max="12030" width="8" style="185" bestFit="1" customWidth="1"/>
    <col min="12031" max="12031" width="17.42578125" style="185" bestFit="1" customWidth="1"/>
    <col min="12032" max="12259" width="11.42578125" style="185"/>
    <col min="12260" max="12260" width="59.5703125" style="185" customWidth="1"/>
    <col min="12261" max="12269" width="0" style="185" hidden="1" customWidth="1"/>
    <col min="12270" max="12270" width="6.5703125" style="185" customWidth="1"/>
    <col min="12271" max="12271" width="6.85546875" style="185" bestFit="1" customWidth="1"/>
    <col min="12272" max="12273" width="7.7109375" style="185" bestFit="1" customWidth="1"/>
    <col min="12274" max="12274" width="0" style="185" hidden="1" customWidth="1"/>
    <col min="12275" max="12275" width="9" style="185" customWidth="1"/>
    <col min="12276" max="12276" width="8" style="185" bestFit="1" customWidth="1"/>
    <col min="12277" max="12277" width="0" style="185" hidden="1" customWidth="1"/>
    <col min="12278" max="12278" width="8" style="185" customWidth="1"/>
    <col min="12279" max="12279" width="0" style="185" hidden="1" customWidth="1"/>
    <col min="12280" max="12280" width="8" style="185" bestFit="1" customWidth="1"/>
    <col min="12281" max="12281" width="0" style="185" hidden="1" customWidth="1"/>
    <col min="12282" max="12282" width="8" style="185" customWidth="1"/>
    <col min="12283" max="12283" width="0" style="185" hidden="1" customWidth="1"/>
    <col min="12284" max="12286" width="8" style="185" bestFit="1" customWidth="1"/>
    <col min="12287" max="12287" width="17.42578125" style="185" bestFit="1" customWidth="1"/>
    <col min="12288" max="12515" width="11.42578125" style="185"/>
    <col min="12516" max="12516" width="59.5703125" style="185" customWidth="1"/>
    <col min="12517" max="12525" width="0" style="185" hidden="1" customWidth="1"/>
    <col min="12526" max="12526" width="6.5703125" style="185" customWidth="1"/>
    <col min="12527" max="12527" width="6.85546875" style="185" bestFit="1" customWidth="1"/>
    <col min="12528" max="12529" width="7.7109375" style="185" bestFit="1" customWidth="1"/>
    <col min="12530" max="12530" width="0" style="185" hidden="1" customWidth="1"/>
    <col min="12531" max="12531" width="9" style="185" customWidth="1"/>
    <col min="12532" max="12532" width="8" style="185" bestFit="1" customWidth="1"/>
    <col min="12533" max="12533" width="0" style="185" hidden="1" customWidth="1"/>
    <col min="12534" max="12534" width="8" style="185" customWidth="1"/>
    <col min="12535" max="12535" width="0" style="185" hidden="1" customWidth="1"/>
    <col min="12536" max="12536" width="8" style="185" bestFit="1" customWidth="1"/>
    <col min="12537" max="12537" width="0" style="185" hidden="1" customWidth="1"/>
    <col min="12538" max="12538" width="8" style="185" customWidth="1"/>
    <col min="12539" max="12539" width="0" style="185" hidden="1" customWidth="1"/>
    <col min="12540" max="12542" width="8" style="185" bestFit="1" customWidth="1"/>
    <col min="12543" max="12543" width="17.42578125" style="185" bestFit="1" customWidth="1"/>
    <col min="12544" max="12771" width="11.42578125" style="185"/>
    <col min="12772" max="12772" width="59.5703125" style="185" customWidth="1"/>
    <col min="12773" max="12781" width="0" style="185" hidden="1" customWidth="1"/>
    <col min="12782" max="12782" width="6.5703125" style="185" customWidth="1"/>
    <col min="12783" max="12783" width="6.85546875" style="185" bestFit="1" customWidth="1"/>
    <col min="12784" max="12785" width="7.7109375" style="185" bestFit="1" customWidth="1"/>
    <col min="12786" max="12786" width="0" style="185" hidden="1" customWidth="1"/>
    <col min="12787" max="12787" width="9" style="185" customWidth="1"/>
    <col min="12788" max="12788" width="8" style="185" bestFit="1" customWidth="1"/>
    <col min="12789" max="12789" width="0" style="185" hidden="1" customWidth="1"/>
    <col min="12790" max="12790" width="8" style="185" customWidth="1"/>
    <col min="12791" max="12791" width="0" style="185" hidden="1" customWidth="1"/>
    <col min="12792" max="12792" width="8" style="185" bestFit="1" customWidth="1"/>
    <col min="12793" max="12793" width="0" style="185" hidden="1" customWidth="1"/>
    <col min="12794" max="12794" width="8" style="185" customWidth="1"/>
    <col min="12795" max="12795" width="0" style="185" hidden="1" customWidth="1"/>
    <col min="12796" max="12798" width="8" style="185" bestFit="1" customWidth="1"/>
    <col min="12799" max="12799" width="17.42578125" style="185" bestFit="1" customWidth="1"/>
    <col min="12800" max="13027" width="11.42578125" style="185"/>
    <col min="13028" max="13028" width="59.5703125" style="185" customWidth="1"/>
    <col min="13029" max="13037" width="0" style="185" hidden="1" customWidth="1"/>
    <col min="13038" max="13038" width="6.5703125" style="185" customWidth="1"/>
    <col min="13039" max="13039" width="6.85546875" style="185" bestFit="1" customWidth="1"/>
    <col min="13040" max="13041" width="7.7109375" style="185" bestFit="1" customWidth="1"/>
    <col min="13042" max="13042" width="0" style="185" hidden="1" customWidth="1"/>
    <col min="13043" max="13043" width="9" style="185" customWidth="1"/>
    <col min="13044" max="13044" width="8" style="185" bestFit="1" customWidth="1"/>
    <col min="13045" max="13045" width="0" style="185" hidden="1" customWidth="1"/>
    <col min="13046" max="13046" width="8" style="185" customWidth="1"/>
    <col min="13047" max="13047" width="0" style="185" hidden="1" customWidth="1"/>
    <col min="13048" max="13048" width="8" style="185" bestFit="1" customWidth="1"/>
    <col min="13049" max="13049" width="0" style="185" hidden="1" customWidth="1"/>
    <col min="13050" max="13050" width="8" style="185" customWidth="1"/>
    <col min="13051" max="13051" width="0" style="185" hidden="1" customWidth="1"/>
    <col min="13052" max="13054" width="8" style="185" bestFit="1" customWidth="1"/>
    <col min="13055" max="13055" width="17.42578125" style="185" bestFit="1" customWidth="1"/>
    <col min="13056" max="13283" width="11.42578125" style="185"/>
    <col min="13284" max="13284" width="59.5703125" style="185" customWidth="1"/>
    <col min="13285" max="13293" width="0" style="185" hidden="1" customWidth="1"/>
    <col min="13294" max="13294" width="6.5703125" style="185" customWidth="1"/>
    <col min="13295" max="13295" width="6.85546875" style="185" bestFit="1" customWidth="1"/>
    <col min="13296" max="13297" width="7.7109375" style="185" bestFit="1" customWidth="1"/>
    <col min="13298" max="13298" width="0" style="185" hidden="1" customWidth="1"/>
    <col min="13299" max="13299" width="9" style="185" customWidth="1"/>
    <col min="13300" max="13300" width="8" style="185" bestFit="1" customWidth="1"/>
    <col min="13301" max="13301" width="0" style="185" hidden="1" customWidth="1"/>
    <col min="13302" max="13302" width="8" style="185" customWidth="1"/>
    <col min="13303" max="13303" width="0" style="185" hidden="1" customWidth="1"/>
    <col min="13304" max="13304" width="8" style="185" bestFit="1" customWidth="1"/>
    <col min="13305" max="13305" width="0" style="185" hidden="1" customWidth="1"/>
    <col min="13306" max="13306" width="8" style="185" customWidth="1"/>
    <col min="13307" max="13307" width="0" style="185" hidden="1" customWidth="1"/>
    <col min="13308" max="13310" width="8" style="185" bestFit="1" customWidth="1"/>
    <col min="13311" max="13311" width="17.42578125" style="185" bestFit="1" customWidth="1"/>
    <col min="13312" max="13539" width="11.42578125" style="185"/>
    <col min="13540" max="13540" width="59.5703125" style="185" customWidth="1"/>
    <col min="13541" max="13549" width="0" style="185" hidden="1" customWidth="1"/>
    <col min="13550" max="13550" width="6.5703125" style="185" customWidth="1"/>
    <col min="13551" max="13551" width="6.85546875" style="185" bestFit="1" customWidth="1"/>
    <col min="13552" max="13553" width="7.7109375" style="185" bestFit="1" customWidth="1"/>
    <col min="13554" max="13554" width="0" style="185" hidden="1" customWidth="1"/>
    <col min="13555" max="13555" width="9" style="185" customWidth="1"/>
    <col min="13556" max="13556" width="8" style="185" bestFit="1" customWidth="1"/>
    <col min="13557" max="13557" width="0" style="185" hidden="1" customWidth="1"/>
    <col min="13558" max="13558" width="8" style="185" customWidth="1"/>
    <col min="13559" max="13559" width="0" style="185" hidden="1" customWidth="1"/>
    <col min="13560" max="13560" width="8" style="185" bestFit="1" customWidth="1"/>
    <col min="13561" max="13561" width="0" style="185" hidden="1" customWidth="1"/>
    <col min="13562" max="13562" width="8" style="185" customWidth="1"/>
    <col min="13563" max="13563" width="0" style="185" hidden="1" customWidth="1"/>
    <col min="13564" max="13566" width="8" style="185" bestFit="1" customWidth="1"/>
    <col min="13567" max="13567" width="17.42578125" style="185" bestFit="1" customWidth="1"/>
    <col min="13568" max="13795" width="11.42578125" style="185"/>
    <col min="13796" max="13796" width="59.5703125" style="185" customWidth="1"/>
    <col min="13797" max="13805" width="0" style="185" hidden="1" customWidth="1"/>
    <col min="13806" max="13806" width="6.5703125" style="185" customWidth="1"/>
    <col min="13807" max="13807" width="6.85546875" style="185" bestFit="1" customWidth="1"/>
    <col min="13808" max="13809" width="7.7109375" style="185" bestFit="1" customWidth="1"/>
    <col min="13810" max="13810" width="0" style="185" hidden="1" customWidth="1"/>
    <col min="13811" max="13811" width="9" style="185" customWidth="1"/>
    <col min="13812" max="13812" width="8" style="185" bestFit="1" customWidth="1"/>
    <col min="13813" max="13813" width="0" style="185" hidden="1" customWidth="1"/>
    <col min="13814" max="13814" width="8" style="185" customWidth="1"/>
    <col min="13815" max="13815" width="0" style="185" hidden="1" customWidth="1"/>
    <col min="13816" max="13816" width="8" style="185" bestFit="1" customWidth="1"/>
    <col min="13817" max="13817" width="0" style="185" hidden="1" customWidth="1"/>
    <col min="13818" max="13818" width="8" style="185" customWidth="1"/>
    <col min="13819" max="13819" width="0" style="185" hidden="1" customWidth="1"/>
    <col min="13820" max="13822" width="8" style="185" bestFit="1" customWidth="1"/>
    <col min="13823" max="13823" width="17.42578125" style="185" bestFit="1" customWidth="1"/>
    <col min="13824" max="14051" width="11.42578125" style="185"/>
    <col min="14052" max="14052" width="59.5703125" style="185" customWidth="1"/>
    <col min="14053" max="14061" width="0" style="185" hidden="1" customWidth="1"/>
    <col min="14062" max="14062" width="6.5703125" style="185" customWidth="1"/>
    <col min="14063" max="14063" width="6.85546875" style="185" bestFit="1" customWidth="1"/>
    <col min="14064" max="14065" width="7.7109375" style="185" bestFit="1" customWidth="1"/>
    <col min="14066" max="14066" width="0" style="185" hidden="1" customWidth="1"/>
    <col min="14067" max="14067" width="9" style="185" customWidth="1"/>
    <col min="14068" max="14068" width="8" style="185" bestFit="1" customWidth="1"/>
    <col min="14069" max="14069" width="0" style="185" hidden="1" customWidth="1"/>
    <col min="14070" max="14070" width="8" style="185" customWidth="1"/>
    <col min="14071" max="14071" width="0" style="185" hidden="1" customWidth="1"/>
    <col min="14072" max="14072" width="8" style="185" bestFit="1" customWidth="1"/>
    <col min="14073" max="14073" width="0" style="185" hidden="1" customWidth="1"/>
    <col min="14074" max="14074" width="8" style="185" customWidth="1"/>
    <col min="14075" max="14075" width="0" style="185" hidden="1" customWidth="1"/>
    <col min="14076" max="14078" width="8" style="185" bestFit="1" customWidth="1"/>
    <col min="14079" max="14079" width="17.42578125" style="185" bestFit="1" customWidth="1"/>
    <col min="14080" max="14307" width="11.42578125" style="185"/>
    <col min="14308" max="14308" width="59.5703125" style="185" customWidth="1"/>
    <col min="14309" max="14317" width="0" style="185" hidden="1" customWidth="1"/>
    <col min="14318" max="14318" width="6.5703125" style="185" customWidth="1"/>
    <col min="14319" max="14319" width="6.85546875" style="185" bestFit="1" customWidth="1"/>
    <col min="14320" max="14321" width="7.7109375" style="185" bestFit="1" customWidth="1"/>
    <col min="14322" max="14322" width="0" style="185" hidden="1" customWidth="1"/>
    <col min="14323" max="14323" width="9" style="185" customWidth="1"/>
    <col min="14324" max="14324" width="8" style="185" bestFit="1" customWidth="1"/>
    <col min="14325" max="14325" width="0" style="185" hidden="1" customWidth="1"/>
    <col min="14326" max="14326" width="8" style="185" customWidth="1"/>
    <col min="14327" max="14327" width="0" style="185" hidden="1" customWidth="1"/>
    <col min="14328" max="14328" width="8" style="185" bestFit="1" customWidth="1"/>
    <col min="14329" max="14329" width="0" style="185" hidden="1" customWidth="1"/>
    <col min="14330" max="14330" width="8" style="185" customWidth="1"/>
    <col min="14331" max="14331" width="0" style="185" hidden="1" customWidth="1"/>
    <col min="14332" max="14334" width="8" style="185" bestFit="1" customWidth="1"/>
    <col min="14335" max="14335" width="17.42578125" style="185" bestFit="1" customWidth="1"/>
    <col min="14336" max="14563" width="11.42578125" style="185"/>
    <col min="14564" max="14564" width="59.5703125" style="185" customWidth="1"/>
    <col min="14565" max="14573" width="0" style="185" hidden="1" customWidth="1"/>
    <col min="14574" max="14574" width="6.5703125" style="185" customWidth="1"/>
    <col min="14575" max="14575" width="6.85546875" style="185" bestFit="1" customWidth="1"/>
    <col min="14576" max="14577" width="7.7109375" style="185" bestFit="1" customWidth="1"/>
    <col min="14578" max="14578" width="0" style="185" hidden="1" customWidth="1"/>
    <col min="14579" max="14579" width="9" style="185" customWidth="1"/>
    <col min="14580" max="14580" width="8" style="185" bestFit="1" customWidth="1"/>
    <col min="14581" max="14581" width="0" style="185" hidden="1" customWidth="1"/>
    <col min="14582" max="14582" width="8" style="185" customWidth="1"/>
    <col min="14583" max="14583" width="0" style="185" hidden="1" customWidth="1"/>
    <col min="14584" max="14584" width="8" style="185" bestFit="1" customWidth="1"/>
    <col min="14585" max="14585" width="0" style="185" hidden="1" customWidth="1"/>
    <col min="14586" max="14586" width="8" style="185" customWidth="1"/>
    <col min="14587" max="14587" width="0" style="185" hidden="1" customWidth="1"/>
    <col min="14588" max="14590" width="8" style="185" bestFit="1" customWidth="1"/>
    <col min="14591" max="14591" width="17.42578125" style="185" bestFit="1" customWidth="1"/>
    <col min="14592" max="14819" width="11.42578125" style="185"/>
    <col min="14820" max="14820" width="59.5703125" style="185" customWidth="1"/>
    <col min="14821" max="14829" width="0" style="185" hidden="1" customWidth="1"/>
    <col min="14830" max="14830" width="6.5703125" style="185" customWidth="1"/>
    <col min="14831" max="14831" width="6.85546875" style="185" bestFit="1" customWidth="1"/>
    <col min="14832" max="14833" width="7.7109375" style="185" bestFit="1" customWidth="1"/>
    <col min="14834" max="14834" width="0" style="185" hidden="1" customWidth="1"/>
    <col min="14835" max="14835" width="9" style="185" customWidth="1"/>
    <col min="14836" max="14836" width="8" style="185" bestFit="1" customWidth="1"/>
    <col min="14837" max="14837" width="0" style="185" hidden="1" customWidth="1"/>
    <col min="14838" max="14838" width="8" style="185" customWidth="1"/>
    <col min="14839" max="14839" width="0" style="185" hidden="1" customWidth="1"/>
    <col min="14840" max="14840" width="8" style="185" bestFit="1" customWidth="1"/>
    <col min="14841" max="14841" width="0" style="185" hidden="1" customWidth="1"/>
    <col min="14842" max="14842" width="8" style="185" customWidth="1"/>
    <col min="14843" max="14843" width="0" style="185" hidden="1" customWidth="1"/>
    <col min="14844" max="14846" width="8" style="185" bestFit="1" customWidth="1"/>
    <col min="14847" max="14847" width="17.42578125" style="185" bestFit="1" customWidth="1"/>
    <col min="14848" max="15075" width="11.42578125" style="185"/>
    <col min="15076" max="15076" width="59.5703125" style="185" customWidth="1"/>
    <col min="15077" max="15085" width="0" style="185" hidden="1" customWidth="1"/>
    <col min="15086" max="15086" width="6.5703125" style="185" customWidth="1"/>
    <col min="15087" max="15087" width="6.85546875" style="185" bestFit="1" customWidth="1"/>
    <col min="15088" max="15089" width="7.7109375" style="185" bestFit="1" customWidth="1"/>
    <col min="15090" max="15090" width="0" style="185" hidden="1" customWidth="1"/>
    <col min="15091" max="15091" width="9" style="185" customWidth="1"/>
    <col min="15092" max="15092" width="8" style="185" bestFit="1" customWidth="1"/>
    <col min="15093" max="15093" width="0" style="185" hidden="1" customWidth="1"/>
    <col min="15094" max="15094" width="8" style="185" customWidth="1"/>
    <col min="15095" max="15095" width="0" style="185" hidden="1" customWidth="1"/>
    <col min="15096" max="15096" width="8" style="185" bestFit="1" customWidth="1"/>
    <col min="15097" max="15097" width="0" style="185" hidden="1" customWidth="1"/>
    <col min="15098" max="15098" width="8" style="185" customWidth="1"/>
    <col min="15099" max="15099" width="0" style="185" hidden="1" customWidth="1"/>
    <col min="15100" max="15102" width="8" style="185" bestFit="1" customWidth="1"/>
    <col min="15103" max="15103" width="17.42578125" style="185" bestFit="1" customWidth="1"/>
    <col min="15104" max="15331" width="11.42578125" style="185"/>
    <col min="15332" max="15332" width="59.5703125" style="185" customWidth="1"/>
    <col min="15333" max="15341" width="0" style="185" hidden="1" customWidth="1"/>
    <col min="15342" max="15342" width="6.5703125" style="185" customWidth="1"/>
    <col min="15343" max="15343" width="6.85546875" style="185" bestFit="1" customWidth="1"/>
    <col min="15344" max="15345" width="7.7109375" style="185" bestFit="1" customWidth="1"/>
    <col min="15346" max="15346" width="0" style="185" hidden="1" customWidth="1"/>
    <col min="15347" max="15347" width="9" style="185" customWidth="1"/>
    <col min="15348" max="15348" width="8" style="185" bestFit="1" customWidth="1"/>
    <col min="15349" max="15349" width="0" style="185" hidden="1" customWidth="1"/>
    <col min="15350" max="15350" width="8" style="185" customWidth="1"/>
    <col min="15351" max="15351" width="0" style="185" hidden="1" customWidth="1"/>
    <col min="15352" max="15352" width="8" style="185" bestFit="1" customWidth="1"/>
    <col min="15353" max="15353" width="0" style="185" hidden="1" customWidth="1"/>
    <col min="15354" max="15354" width="8" style="185" customWidth="1"/>
    <col min="15355" max="15355" width="0" style="185" hidden="1" customWidth="1"/>
    <col min="15356" max="15358" width="8" style="185" bestFit="1" customWidth="1"/>
    <col min="15359" max="15359" width="17.42578125" style="185" bestFit="1" customWidth="1"/>
    <col min="15360" max="15587" width="11.42578125" style="185"/>
    <col min="15588" max="15588" width="59.5703125" style="185" customWidth="1"/>
    <col min="15589" max="15597" width="0" style="185" hidden="1" customWidth="1"/>
    <col min="15598" max="15598" width="6.5703125" style="185" customWidth="1"/>
    <col min="15599" max="15599" width="6.85546875" style="185" bestFit="1" customWidth="1"/>
    <col min="15600" max="15601" width="7.7109375" style="185" bestFit="1" customWidth="1"/>
    <col min="15602" max="15602" width="0" style="185" hidden="1" customWidth="1"/>
    <col min="15603" max="15603" width="9" style="185" customWidth="1"/>
    <col min="15604" max="15604" width="8" style="185" bestFit="1" customWidth="1"/>
    <col min="15605" max="15605" width="0" style="185" hidden="1" customWidth="1"/>
    <col min="15606" max="15606" width="8" style="185" customWidth="1"/>
    <col min="15607" max="15607" width="0" style="185" hidden="1" customWidth="1"/>
    <col min="15608" max="15608" width="8" style="185" bestFit="1" customWidth="1"/>
    <col min="15609" max="15609" width="0" style="185" hidden="1" customWidth="1"/>
    <col min="15610" max="15610" width="8" style="185" customWidth="1"/>
    <col min="15611" max="15611" width="0" style="185" hidden="1" customWidth="1"/>
    <col min="15612" max="15614" width="8" style="185" bestFit="1" customWidth="1"/>
    <col min="15615" max="15615" width="17.42578125" style="185" bestFit="1" customWidth="1"/>
    <col min="15616" max="15843" width="11.42578125" style="185"/>
    <col min="15844" max="15844" width="59.5703125" style="185" customWidth="1"/>
    <col min="15845" max="15853" width="0" style="185" hidden="1" customWidth="1"/>
    <col min="15854" max="15854" width="6.5703125" style="185" customWidth="1"/>
    <col min="15855" max="15855" width="6.85546875" style="185" bestFit="1" customWidth="1"/>
    <col min="15856" max="15857" width="7.7109375" style="185" bestFit="1" customWidth="1"/>
    <col min="15858" max="15858" width="0" style="185" hidden="1" customWidth="1"/>
    <col min="15859" max="15859" width="9" style="185" customWidth="1"/>
    <col min="15860" max="15860" width="8" style="185" bestFit="1" customWidth="1"/>
    <col min="15861" max="15861" width="0" style="185" hidden="1" customWidth="1"/>
    <col min="15862" max="15862" width="8" style="185" customWidth="1"/>
    <col min="15863" max="15863" width="0" style="185" hidden="1" customWidth="1"/>
    <col min="15864" max="15864" width="8" style="185" bestFit="1" customWidth="1"/>
    <col min="15865" max="15865" width="0" style="185" hidden="1" customWidth="1"/>
    <col min="15866" max="15866" width="8" style="185" customWidth="1"/>
    <col min="15867" max="15867" width="0" style="185" hidden="1" customWidth="1"/>
    <col min="15868" max="15870" width="8" style="185" bestFit="1" customWidth="1"/>
    <col min="15871" max="15871" width="17.42578125" style="185" bestFit="1" customWidth="1"/>
    <col min="15872" max="16099" width="11.42578125" style="185"/>
    <col min="16100" max="16100" width="59.5703125" style="185" customWidth="1"/>
    <col min="16101" max="16109" width="0" style="185" hidden="1" customWidth="1"/>
    <col min="16110" max="16110" width="6.5703125" style="185" customWidth="1"/>
    <col min="16111" max="16111" width="6.85546875" style="185" bestFit="1" customWidth="1"/>
    <col min="16112" max="16113" width="7.7109375" style="185" bestFit="1" customWidth="1"/>
    <col min="16114" max="16114" width="0" style="185" hidden="1" customWidth="1"/>
    <col min="16115" max="16115" width="9" style="185" customWidth="1"/>
    <col min="16116" max="16116" width="8" style="185" bestFit="1" customWidth="1"/>
    <col min="16117" max="16117" width="0" style="185" hidden="1" customWidth="1"/>
    <col min="16118" max="16118" width="8" style="185" customWidth="1"/>
    <col min="16119" max="16119" width="0" style="185" hidden="1" customWidth="1"/>
    <col min="16120" max="16120" width="8" style="185" bestFit="1" customWidth="1"/>
    <col min="16121" max="16121" width="0" style="185" hidden="1" customWidth="1"/>
    <col min="16122" max="16122" width="8" style="185" customWidth="1"/>
    <col min="16123" max="16123" width="0" style="185" hidden="1" customWidth="1"/>
    <col min="16124" max="16126" width="8" style="185" bestFit="1" customWidth="1"/>
    <col min="16127" max="16127" width="17.42578125" style="185" bestFit="1" customWidth="1"/>
    <col min="16128" max="16384" width="11.42578125" style="185"/>
  </cols>
  <sheetData>
    <row r="1" spans="1:5" s="131" customFormat="1" ht="13.5" customHeight="1">
      <c r="A1" s="180" t="s">
        <v>744</v>
      </c>
    </row>
    <row r="2" spans="1:5" s="131" customFormat="1" ht="13.5" customHeight="1">
      <c r="A2" s="160" t="s">
        <v>35</v>
      </c>
    </row>
    <row r="3" spans="1:5" s="131" customFormat="1" ht="13.5" customHeight="1"/>
    <row r="4" spans="1:5" s="193" customFormat="1" ht="13.5" customHeight="1">
      <c r="A4" s="191"/>
      <c r="B4" s="191"/>
      <c r="C4" s="191">
        <v>2013</v>
      </c>
      <c r="D4" s="191"/>
      <c r="E4" s="191">
        <v>2013</v>
      </c>
    </row>
    <row r="5" spans="1:5" s="193" customFormat="1" ht="13.5" customHeight="1">
      <c r="A5" s="219"/>
      <c r="B5" s="219"/>
      <c r="C5" s="219" t="s">
        <v>773</v>
      </c>
      <c r="D5" s="219"/>
      <c r="E5" s="219" t="s">
        <v>773</v>
      </c>
    </row>
    <row r="6" spans="1:5" s="197" customFormat="1" ht="13.5" customHeight="1">
      <c r="A6" s="194"/>
      <c r="B6" s="194"/>
      <c r="C6" s="194" t="s">
        <v>607</v>
      </c>
      <c r="D6" s="194"/>
      <c r="E6" s="194" t="s">
        <v>606</v>
      </c>
    </row>
    <row r="7" spans="1:5" s="160" customFormat="1" ht="21" customHeight="1">
      <c r="A7" s="198" t="s">
        <v>665</v>
      </c>
    </row>
    <row r="8" spans="1:5" s="160" customFormat="1" ht="13.5" customHeight="1">
      <c r="A8" s="307" t="s">
        <v>667</v>
      </c>
      <c r="B8" s="180" t="s">
        <v>745</v>
      </c>
      <c r="C8" s="181" t="e">
        <f>Ü18!#REF!</f>
        <v>#REF!</v>
      </c>
      <c r="D8" s="181"/>
      <c r="E8" s="181">
        <f>Ü18!G8</f>
        <v>31900.61865724</v>
      </c>
    </row>
    <row r="9" spans="1:5" s="160" customFormat="1" ht="13.5" customHeight="1">
      <c r="A9" s="308"/>
      <c r="B9" s="160" t="s">
        <v>208</v>
      </c>
      <c r="C9" s="181"/>
      <c r="D9" s="181"/>
      <c r="E9" s="181"/>
    </row>
    <row r="10" spans="1:5" s="160" customFormat="1" ht="13.5" customHeight="1">
      <c r="A10" s="307"/>
      <c r="B10" s="160" t="s">
        <v>668</v>
      </c>
      <c r="C10" s="159" t="e">
        <f>Ü18!#REF!</f>
        <v>#REF!</v>
      </c>
      <c r="D10" s="159"/>
      <c r="E10" s="159">
        <f>Ü18!G10</f>
        <v>6460.9355978100002</v>
      </c>
    </row>
    <row r="11" spans="1:5" s="160" customFormat="1" ht="13.5" customHeight="1">
      <c r="A11" s="307"/>
      <c r="B11" s="160" t="s">
        <v>669</v>
      </c>
      <c r="C11" s="159" t="e">
        <f>Ü18!#REF!</f>
        <v>#REF!</v>
      </c>
      <c r="D11" s="159"/>
      <c r="E11" s="159">
        <f>Ü18!G11</f>
        <v>2570.4749580600001</v>
      </c>
    </row>
    <row r="12" spans="1:5" s="160" customFormat="1" ht="13.5" customHeight="1">
      <c r="A12" s="307"/>
      <c r="B12" s="160" t="s">
        <v>670</v>
      </c>
      <c r="C12" s="159" t="e">
        <f>Ü18!#REF!</f>
        <v>#REF!</v>
      </c>
      <c r="D12" s="159"/>
      <c r="E12" s="159">
        <f>Ü18!G12</f>
        <v>9703.616</v>
      </c>
    </row>
    <row r="13" spans="1:5" s="160" customFormat="1" ht="13.5" customHeight="1">
      <c r="A13" s="307"/>
      <c r="B13" s="160" t="s">
        <v>671</v>
      </c>
      <c r="C13" s="159" t="e">
        <f>Ü18!#REF!</f>
        <v>#REF!</v>
      </c>
      <c r="D13" s="159"/>
      <c r="E13" s="159" t="e">
        <f>Ü18!#REF!</f>
        <v>#REF!</v>
      </c>
    </row>
    <row r="14" spans="1:5" s="160" customFormat="1" ht="13.5" customHeight="1">
      <c r="A14" s="307"/>
      <c r="B14" s="160" t="s">
        <v>723</v>
      </c>
      <c r="C14" s="159" t="e">
        <f>Ü18!#REF!</f>
        <v>#REF!</v>
      </c>
      <c r="D14" s="159"/>
      <c r="E14" s="159" t="e">
        <f>Ü18!#REF!</f>
        <v>#REF!</v>
      </c>
    </row>
    <row r="15" spans="1:5" s="160" customFormat="1" ht="13.5" customHeight="1">
      <c r="A15" s="307"/>
      <c r="B15" s="160" t="s">
        <v>672</v>
      </c>
      <c r="C15" s="159" t="e">
        <f>Ü18!#REF!</f>
        <v>#REF!</v>
      </c>
      <c r="D15" s="159"/>
      <c r="E15" s="159">
        <f>Ü18!G14</f>
        <v>6365.2636628999999</v>
      </c>
    </row>
    <row r="16" spans="1:5" s="160" customFormat="1" ht="13.5" customHeight="1">
      <c r="A16" s="307" t="s">
        <v>630</v>
      </c>
      <c r="B16" s="180" t="s">
        <v>746</v>
      </c>
      <c r="C16" s="181" t="e">
        <f>Ü18!#REF!</f>
        <v>#REF!</v>
      </c>
      <c r="D16" s="181"/>
      <c r="E16" s="181">
        <f>Ü18!G15</f>
        <v>4980.16312801</v>
      </c>
    </row>
    <row r="17" spans="1:5" s="160" customFormat="1" ht="13.5" customHeight="1">
      <c r="A17" s="307"/>
      <c r="B17" s="160" t="s">
        <v>208</v>
      </c>
      <c r="C17" s="159"/>
      <c r="D17" s="159"/>
      <c r="E17" s="159"/>
    </row>
    <row r="18" spans="1:5" s="160" customFormat="1" ht="13.5" customHeight="1">
      <c r="A18" s="307"/>
      <c r="B18" s="160" t="s">
        <v>673</v>
      </c>
      <c r="C18" s="159" t="e">
        <f>Ü18!#REF!</f>
        <v>#REF!</v>
      </c>
      <c r="D18" s="159"/>
      <c r="E18" s="159">
        <f>Ü18!G17</f>
        <v>643.19438779999996</v>
      </c>
    </row>
    <row r="19" spans="1:5" s="160" customFormat="1" ht="13.5" customHeight="1">
      <c r="A19" s="307"/>
      <c r="B19" s="160" t="s">
        <v>674</v>
      </c>
      <c r="C19" s="159" t="e">
        <f>Ü18!#REF!</f>
        <v>#REF!</v>
      </c>
      <c r="D19" s="159"/>
      <c r="E19" s="159">
        <f>Ü18!G19</f>
        <v>801.60920945999999</v>
      </c>
    </row>
    <row r="20" spans="1:5" s="160" customFormat="1" ht="13.5" customHeight="1">
      <c r="A20" s="307"/>
      <c r="B20" s="160" t="s">
        <v>675</v>
      </c>
      <c r="C20" s="159" t="e">
        <f>Ü18!#REF!</f>
        <v>#REF!</v>
      </c>
      <c r="D20" s="159"/>
      <c r="E20" s="159" t="e">
        <f>Ü18!#REF!</f>
        <v>#REF!</v>
      </c>
    </row>
    <row r="21" spans="1:5" s="160" customFormat="1" ht="13.5" customHeight="1">
      <c r="A21" s="307" t="s">
        <v>631</v>
      </c>
      <c r="B21" s="180" t="s">
        <v>632</v>
      </c>
      <c r="C21" s="181" t="e">
        <f>Ü18!#REF!</f>
        <v>#REF!</v>
      </c>
      <c r="D21" s="181"/>
      <c r="E21" s="181">
        <f>Ü18!G20</f>
        <v>7085.2314378199999</v>
      </c>
    </row>
    <row r="22" spans="1:5" s="160" customFormat="1" ht="13.5" customHeight="1">
      <c r="A22" s="307"/>
      <c r="B22" s="160" t="s">
        <v>208</v>
      </c>
      <c r="C22" s="159"/>
      <c r="D22" s="159"/>
      <c r="E22" s="159"/>
    </row>
    <row r="23" spans="1:5" s="160" customFormat="1" ht="13.5" customHeight="1">
      <c r="A23" s="307"/>
      <c r="B23" s="160" t="s">
        <v>676</v>
      </c>
      <c r="C23" s="159" t="e">
        <f>Ü18!#REF!</f>
        <v>#REF!</v>
      </c>
      <c r="D23" s="159"/>
      <c r="E23" s="159">
        <f>Ü18!G22</f>
        <v>7085.2314378199999</v>
      </c>
    </row>
    <row r="24" spans="1:5" s="160" customFormat="1" ht="13.5" customHeight="1">
      <c r="A24" s="307" t="s">
        <v>633</v>
      </c>
      <c r="B24" s="180" t="s">
        <v>747</v>
      </c>
      <c r="C24" s="181" t="e">
        <f>Ü18!#REF!</f>
        <v>#REF!</v>
      </c>
      <c r="D24" s="181"/>
      <c r="E24" s="181">
        <f>Ü18!G23</f>
        <v>2000.13378526</v>
      </c>
    </row>
    <row r="25" spans="1:5" s="160" customFormat="1" ht="13.5" customHeight="1">
      <c r="A25" s="307"/>
      <c r="B25" s="160" t="s">
        <v>208</v>
      </c>
      <c r="C25" s="159"/>
      <c r="D25" s="159"/>
      <c r="E25" s="159"/>
    </row>
    <row r="26" spans="1:5" s="160" customFormat="1" ht="13.5" customHeight="1">
      <c r="A26" s="307"/>
      <c r="B26" s="160" t="s">
        <v>677</v>
      </c>
      <c r="C26" s="159" t="e">
        <f>Ü18!#REF!</f>
        <v>#REF!</v>
      </c>
      <c r="D26" s="159"/>
      <c r="E26" s="159">
        <f>Ü18!G25</f>
        <v>1793.7120013799999</v>
      </c>
    </row>
    <row r="27" spans="1:5" s="160" customFormat="1" ht="13.5" customHeight="1">
      <c r="A27" s="307" t="s">
        <v>634</v>
      </c>
      <c r="B27" s="180" t="s">
        <v>635</v>
      </c>
      <c r="C27" s="181" t="e">
        <f>Ü18!#REF!</f>
        <v>#REF!</v>
      </c>
      <c r="D27" s="181"/>
      <c r="E27" s="181">
        <f>Ü18!G26</f>
        <v>1989.7400339400001</v>
      </c>
    </row>
    <row r="28" spans="1:5" s="160" customFormat="1" ht="13.5" customHeight="1">
      <c r="A28" s="307"/>
      <c r="B28" s="160" t="s">
        <v>208</v>
      </c>
      <c r="C28" s="159"/>
      <c r="D28" s="159"/>
      <c r="E28" s="159"/>
    </row>
    <row r="29" spans="1:5" s="160" customFormat="1" ht="13.5" customHeight="1">
      <c r="A29" s="307"/>
      <c r="B29" s="160" t="s">
        <v>678</v>
      </c>
      <c r="C29" s="159" t="e">
        <f>Ü18!#REF!</f>
        <v>#REF!</v>
      </c>
      <c r="D29" s="159"/>
      <c r="E29" s="159">
        <f>Ü18!G28</f>
        <v>1962.2696036</v>
      </c>
    </row>
    <row r="30" spans="1:5" s="160" customFormat="1" ht="13.5" customHeight="1">
      <c r="A30" s="307" t="s">
        <v>636</v>
      </c>
      <c r="B30" s="180" t="s">
        <v>637</v>
      </c>
      <c r="C30" s="181" t="e">
        <f>Ü18!#REF!</f>
        <v>#REF!</v>
      </c>
      <c r="D30" s="181"/>
      <c r="E30" s="181">
        <f>Ü18!G29</f>
        <v>849.28641471000003</v>
      </c>
    </row>
    <row r="31" spans="1:5" s="160" customFormat="1" ht="13.5" customHeight="1">
      <c r="A31" s="307"/>
      <c r="B31" s="160" t="s">
        <v>208</v>
      </c>
      <c r="C31" s="159"/>
      <c r="D31" s="159"/>
      <c r="E31" s="159"/>
    </row>
    <row r="32" spans="1:5" s="160" customFormat="1" ht="13.5" customHeight="1">
      <c r="A32" s="307"/>
      <c r="B32" s="160" t="s">
        <v>679</v>
      </c>
      <c r="C32" s="159" t="e">
        <f>Ü18!#REF!</f>
        <v>#REF!</v>
      </c>
      <c r="D32" s="159"/>
      <c r="E32" s="159">
        <f>Ü18!G31</f>
        <v>807.01060813000004</v>
      </c>
    </row>
    <row r="33" spans="1:5" ht="13.5" customHeight="1">
      <c r="A33" s="307" t="s">
        <v>638</v>
      </c>
      <c r="B33" s="180" t="s">
        <v>639</v>
      </c>
      <c r="C33" s="181" t="e">
        <f>Ü18!#REF!</f>
        <v>#REF!</v>
      </c>
      <c r="D33" s="181"/>
      <c r="E33" s="181">
        <f>Ü18!G32</f>
        <v>438.85844137999999</v>
      </c>
    </row>
    <row r="34" spans="1:5" ht="13.5" customHeight="1">
      <c r="A34" s="307"/>
      <c r="B34" s="160" t="s">
        <v>208</v>
      </c>
      <c r="C34" s="159"/>
      <c r="D34" s="159"/>
      <c r="E34" s="159"/>
    </row>
    <row r="35" spans="1:5" ht="13.5" customHeight="1">
      <c r="A35" s="307"/>
      <c r="B35" s="160" t="s">
        <v>680</v>
      </c>
      <c r="C35" s="159" t="e">
        <f>Ü18!#REF!</f>
        <v>#REF!</v>
      </c>
      <c r="D35" s="159"/>
      <c r="E35" s="159">
        <f>Ü18!G34</f>
        <v>438.85844137999999</v>
      </c>
    </row>
    <row r="36" spans="1:5" ht="13.5" customHeight="1">
      <c r="A36" s="307" t="s">
        <v>640</v>
      </c>
      <c r="B36" s="180" t="s">
        <v>748</v>
      </c>
      <c r="C36" s="181" t="e">
        <f>Ü18!#REF!</f>
        <v>#REF!</v>
      </c>
      <c r="D36" s="181"/>
      <c r="E36" s="181">
        <f>Ü18!G35</f>
        <v>195.83647031999999</v>
      </c>
    </row>
    <row r="37" spans="1:5" ht="13.5" customHeight="1">
      <c r="A37" s="307" t="s">
        <v>641</v>
      </c>
      <c r="B37" s="180" t="s">
        <v>642</v>
      </c>
      <c r="C37" s="181" t="e">
        <f>Ü18!#REF!</f>
        <v>#REF!</v>
      </c>
      <c r="D37" s="181"/>
      <c r="E37" s="181">
        <f>Ü18!G36</f>
        <v>2000.32309386</v>
      </c>
    </row>
    <row r="38" spans="1:5" ht="13.5" customHeight="1">
      <c r="A38" s="307"/>
      <c r="B38" s="160" t="s">
        <v>208</v>
      </c>
      <c r="C38" s="159"/>
      <c r="D38" s="159"/>
      <c r="E38" s="159"/>
    </row>
    <row r="39" spans="1:5" ht="13.5" customHeight="1">
      <c r="A39" s="307"/>
      <c r="B39" s="160" t="s">
        <v>681</v>
      </c>
      <c r="C39" s="159" t="e">
        <f>Ü18!#REF!</f>
        <v>#REF!</v>
      </c>
      <c r="D39" s="159"/>
      <c r="E39" s="159">
        <f>Ü18!G38</f>
        <v>1581.7503144100001</v>
      </c>
    </row>
    <row r="40" spans="1:5" ht="13.5" customHeight="1">
      <c r="A40" s="307" t="s">
        <v>643</v>
      </c>
      <c r="B40" s="180" t="s">
        <v>644</v>
      </c>
      <c r="C40" s="181" t="e">
        <f>Ü18!#REF!</f>
        <v>#REF!</v>
      </c>
      <c r="D40" s="181"/>
      <c r="E40" s="181">
        <f>Ü18!G39</f>
        <v>7503.5763498799997</v>
      </c>
    </row>
    <row r="41" spans="1:5" ht="13.5" customHeight="1">
      <c r="A41" s="307"/>
      <c r="B41" s="160" t="s">
        <v>208</v>
      </c>
      <c r="C41" s="159"/>
      <c r="D41" s="159"/>
      <c r="E41" s="159"/>
    </row>
    <row r="42" spans="1:5" ht="13.5" customHeight="1">
      <c r="A42" s="307"/>
      <c r="B42" s="160" t="s">
        <v>682</v>
      </c>
      <c r="C42" s="159" t="e">
        <f>Ü18!#REF!</f>
        <v>#REF!</v>
      </c>
      <c r="D42" s="159"/>
      <c r="E42" s="159" t="e">
        <f>Ü18!#REF!</f>
        <v>#REF!</v>
      </c>
    </row>
    <row r="43" spans="1:5" ht="13.5" customHeight="1">
      <c r="A43" s="307"/>
      <c r="B43" s="160" t="s">
        <v>683</v>
      </c>
      <c r="C43" s="159" t="e">
        <f>Ü18!#REF!</f>
        <v>#REF!</v>
      </c>
      <c r="D43" s="159"/>
      <c r="E43" s="159" t="e">
        <f>Ü18!#REF!</f>
        <v>#REF!</v>
      </c>
    </row>
    <row r="44" spans="1:5" ht="13.5" customHeight="1">
      <c r="A44" s="307"/>
      <c r="B44" s="160" t="s">
        <v>684</v>
      </c>
      <c r="C44" s="159" t="e">
        <f>Ü18!#REF!</f>
        <v>#REF!</v>
      </c>
      <c r="D44" s="159"/>
      <c r="E44" s="159">
        <f>Ü18!G42</f>
        <v>4126.6524519699997</v>
      </c>
    </row>
    <row r="45" spans="1:5" ht="13.5" customHeight="1">
      <c r="A45" s="307" t="s">
        <v>645</v>
      </c>
      <c r="B45" s="180" t="s">
        <v>749</v>
      </c>
      <c r="C45" s="181" t="e">
        <f>Ü18!#REF!</f>
        <v>#REF!</v>
      </c>
      <c r="D45" s="181"/>
      <c r="E45" s="181">
        <f>Ü18!G43</f>
        <v>4031.7168710999999</v>
      </c>
    </row>
    <row r="46" spans="1:5" ht="13.5" customHeight="1">
      <c r="A46" s="307"/>
      <c r="B46" s="160" t="s">
        <v>208</v>
      </c>
      <c r="C46" s="159"/>
      <c r="D46" s="159"/>
      <c r="E46" s="159"/>
    </row>
    <row r="47" spans="1:5" ht="13.5" customHeight="1">
      <c r="A47" s="307"/>
      <c r="B47" s="160" t="s">
        <v>685</v>
      </c>
      <c r="C47" s="159" t="e">
        <f>Ü18!#REF!</f>
        <v>#REF!</v>
      </c>
      <c r="D47" s="159"/>
      <c r="E47" s="159">
        <f>Ü18!G45</f>
        <v>96.617499879999997</v>
      </c>
    </row>
    <row r="48" spans="1:5" ht="13.5" customHeight="1">
      <c r="A48" s="307"/>
      <c r="B48" s="160" t="s">
        <v>686</v>
      </c>
      <c r="C48" s="159" t="e">
        <f>Ü18!#REF!</f>
        <v>#REF!</v>
      </c>
      <c r="D48" s="159"/>
      <c r="E48" s="159">
        <f>Ü18!G46</f>
        <v>150.59449434999999</v>
      </c>
    </row>
    <row r="49" spans="1:5" ht="13.5" customHeight="1">
      <c r="A49" s="307"/>
      <c r="B49" s="160" t="s">
        <v>674</v>
      </c>
      <c r="C49" s="159" t="e">
        <f>Ü18!#REF!</f>
        <v>#REF!</v>
      </c>
      <c r="D49" s="159"/>
      <c r="E49" s="159">
        <f>Ü18!G47</f>
        <v>6.2478061900000004</v>
      </c>
    </row>
    <row r="50" spans="1:5" ht="13.5" customHeight="1">
      <c r="A50" s="307"/>
      <c r="B50" s="160" t="s">
        <v>687</v>
      </c>
      <c r="C50" s="159" t="e">
        <f>Ü18!#REF!</f>
        <v>#REF!</v>
      </c>
      <c r="D50" s="159"/>
      <c r="E50" s="159">
        <f>Ü18!G48</f>
        <v>3582.1642933799999</v>
      </c>
    </row>
    <row r="51" spans="1:5" ht="13.5" customHeight="1">
      <c r="A51" s="307"/>
      <c r="B51" s="160"/>
      <c r="C51" s="159"/>
      <c r="D51" s="159"/>
      <c r="E51" s="159"/>
    </row>
    <row r="52" spans="1:5" ht="13.5" customHeight="1">
      <c r="A52" s="307"/>
      <c r="B52" s="160"/>
      <c r="C52" s="159"/>
      <c r="D52" s="159"/>
      <c r="E52" s="159"/>
    </row>
    <row r="53" spans="1:5" ht="13.5" customHeight="1">
      <c r="A53" s="307"/>
      <c r="B53" s="160"/>
      <c r="C53" s="159"/>
      <c r="D53" s="159"/>
      <c r="E53" s="159"/>
    </row>
    <row r="54" spans="1:5" ht="13.5" customHeight="1">
      <c r="A54" s="191"/>
      <c r="B54" s="191"/>
      <c r="C54" s="191">
        <v>2013</v>
      </c>
      <c r="D54" s="191"/>
      <c r="E54" s="191">
        <v>2013</v>
      </c>
    </row>
    <row r="55" spans="1:5" ht="13.5" customHeight="1">
      <c r="A55" s="219"/>
      <c r="B55" s="219"/>
      <c r="C55" s="219" t="s">
        <v>773</v>
      </c>
      <c r="D55" s="219"/>
      <c r="E55" s="219" t="s">
        <v>773</v>
      </c>
    </row>
    <row r="56" spans="1:5" ht="13.5" customHeight="1">
      <c r="A56" s="194"/>
      <c r="B56" s="194"/>
      <c r="C56" s="194" t="s">
        <v>607</v>
      </c>
      <c r="D56" s="194"/>
      <c r="E56" s="194" t="s">
        <v>606</v>
      </c>
    </row>
    <row r="57" spans="1:5" ht="21" customHeight="1">
      <c r="A57" s="307" t="s">
        <v>646</v>
      </c>
      <c r="B57" s="180" t="s">
        <v>280</v>
      </c>
      <c r="C57" s="181" t="e">
        <f>Ü18!#REF!</f>
        <v>#REF!</v>
      </c>
      <c r="D57" s="181"/>
      <c r="E57" s="181">
        <f>Ü18!G49</f>
        <v>713.48023916</v>
      </c>
    </row>
    <row r="58" spans="1:5" ht="13.5" customHeight="1">
      <c r="A58" s="307"/>
      <c r="B58" s="160" t="s">
        <v>208</v>
      </c>
      <c r="C58" s="159"/>
      <c r="D58" s="159"/>
      <c r="E58" s="159"/>
    </row>
    <row r="59" spans="1:5" ht="13.5" customHeight="1">
      <c r="A59" s="307"/>
      <c r="B59" s="160" t="s">
        <v>688</v>
      </c>
      <c r="C59" s="159" t="e">
        <f>Ü18!#REF!</f>
        <v>#REF!</v>
      </c>
      <c r="D59" s="159"/>
      <c r="E59" s="159">
        <f>Ü18!G51</f>
        <v>300.2300333</v>
      </c>
    </row>
    <row r="60" spans="1:5" ht="13.5" customHeight="1">
      <c r="A60" s="307"/>
      <c r="B60" s="160" t="s">
        <v>689</v>
      </c>
      <c r="C60" s="159" t="e">
        <f>Ü18!#REF!</f>
        <v>#REF!</v>
      </c>
      <c r="D60" s="159"/>
      <c r="E60" s="159">
        <f>Ü18!G52</f>
        <v>412.19409683999999</v>
      </c>
    </row>
    <row r="61" spans="1:5" ht="13.5" customHeight="1">
      <c r="A61" s="307" t="s">
        <v>647</v>
      </c>
      <c r="B61" s="180" t="s">
        <v>648</v>
      </c>
      <c r="C61" s="181" t="e">
        <f>Ü18!#REF!</f>
        <v>#REF!</v>
      </c>
      <c r="D61" s="181"/>
      <c r="E61" s="181">
        <f>Ü18!G53</f>
        <v>5.3755536399999997</v>
      </c>
    </row>
    <row r="62" spans="1:5" ht="13.5" customHeight="1">
      <c r="A62" s="307" t="s">
        <v>649</v>
      </c>
      <c r="B62" s="180" t="s">
        <v>750</v>
      </c>
      <c r="C62" s="181" t="e">
        <f>Ü18!#REF!</f>
        <v>#REF!</v>
      </c>
      <c r="D62" s="181"/>
      <c r="E62" s="181">
        <f>Ü18!G54</f>
        <v>1091.12033004</v>
      </c>
    </row>
    <row r="63" spans="1:5" ht="13.5" customHeight="1">
      <c r="A63" s="307"/>
      <c r="B63" s="160" t="s">
        <v>208</v>
      </c>
      <c r="C63" s="159"/>
      <c r="D63" s="159"/>
      <c r="E63" s="159"/>
    </row>
    <row r="64" spans="1:5" ht="13.5" customHeight="1">
      <c r="A64" s="307"/>
      <c r="B64" s="160" t="s">
        <v>690</v>
      </c>
      <c r="C64" s="159" t="e">
        <f>Ü18!#REF!</f>
        <v>#REF!</v>
      </c>
      <c r="D64" s="159"/>
      <c r="E64" s="159">
        <f>Ü18!G56</f>
        <v>670.45282567000004</v>
      </c>
    </row>
    <row r="65" spans="1:5" ht="13.5" customHeight="1">
      <c r="A65" s="307"/>
      <c r="B65" s="160" t="s">
        <v>691</v>
      </c>
      <c r="C65" s="159" t="e">
        <f>Ü18!#REF!</f>
        <v>#REF!</v>
      </c>
      <c r="D65" s="159"/>
      <c r="E65" s="159">
        <f>Ü18!G57</f>
        <v>148.48549299999999</v>
      </c>
    </row>
    <row r="66" spans="1:5" ht="13.5" customHeight="1">
      <c r="A66" s="307" t="s">
        <v>650</v>
      </c>
      <c r="B66" s="180" t="s">
        <v>651</v>
      </c>
      <c r="C66" s="181" t="e">
        <f>Ü18!#REF!</f>
        <v>#REF!</v>
      </c>
      <c r="D66" s="181"/>
      <c r="E66" s="181">
        <f>Ü18!G58</f>
        <v>536.57703366999999</v>
      </c>
    </row>
    <row r="67" spans="1:5" ht="13.5" customHeight="1">
      <c r="A67" s="307"/>
      <c r="B67" s="160" t="s">
        <v>208</v>
      </c>
      <c r="C67" s="159"/>
      <c r="D67" s="159"/>
      <c r="E67" s="159"/>
    </row>
    <row r="68" spans="1:5" ht="13.5" customHeight="1">
      <c r="A68" s="307"/>
      <c r="B68" s="160" t="s">
        <v>692</v>
      </c>
      <c r="C68" s="159" t="e">
        <f>Ü18!#REF!</f>
        <v>#REF!</v>
      </c>
      <c r="D68" s="159"/>
      <c r="E68" s="159" t="e">
        <f>Ü18!#REF!</f>
        <v>#REF!</v>
      </c>
    </row>
    <row r="69" spans="1:5" ht="13.5" customHeight="1">
      <c r="A69" s="307"/>
      <c r="B69" s="160" t="s">
        <v>693</v>
      </c>
      <c r="C69" s="159" t="e">
        <f>Ü18!#REF!</f>
        <v>#REF!</v>
      </c>
      <c r="D69" s="159"/>
      <c r="E69" s="159" t="e">
        <f>Ü18!#REF!</f>
        <v>#REF!</v>
      </c>
    </row>
    <row r="70" spans="1:5" ht="13.5" customHeight="1">
      <c r="A70" s="307" t="s">
        <v>652</v>
      </c>
      <c r="B70" s="180" t="s">
        <v>653</v>
      </c>
      <c r="C70" s="181" t="e">
        <f>Ü18!#REF!</f>
        <v>#REF!</v>
      </c>
      <c r="D70" s="181"/>
      <c r="E70" s="181">
        <f>Ü18!G62</f>
        <v>57.190252000000001</v>
      </c>
    </row>
    <row r="71" spans="1:5" ht="13.5" customHeight="1">
      <c r="A71" s="307" t="s">
        <v>654</v>
      </c>
      <c r="B71" s="180" t="s">
        <v>655</v>
      </c>
      <c r="C71" s="181" t="e">
        <f>Ü18!#REF!</f>
        <v>#REF!</v>
      </c>
      <c r="D71" s="181"/>
      <c r="E71" s="181">
        <f>Ü18!G63</f>
        <v>114.21427597</v>
      </c>
    </row>
    <row r="72" spans="1:5" ht="13.5" customHeight="1">
      <c r="A72" s="307" t="s">
        <v>656</v>
      </c>
      <c r="B72" s="180" t="s">
        <v>657</v>
      </c>
      <c r="C72" s="181" t="e">
        <f>Ü18!#REF!</f>
        <v>#REF!</v>
      </c>
      <c r="D72" s="181"/>
      <c r="E72" s="181">
        <f>Ü18!G64</f>
        <v>3548.30676804</v>
      </c>
    </row>
    <row r="73" spans="1:5" ht="13.5" customHeight="1">
      <c r="A73" s="307"/>
      <c r="B73" s="160" t="s">
        <v>208</v>
      </c>
      <c r="C73" s="159"/>
      <c r="D73" s="159"/>
      <c r="E73" s="159"/>
    </row>
    <row r="74" spans="1:5" ht="13.5" customHeight="1">
      <c r="A74" s="307"/>
      <c r="B74" s="160" t="s">
        <v>694</v>
      </c>
      <c r="C74" s="159" t="e">
        <f>Ü18!#REF!</f>
        <v>#REF!</v>
      </c>
      <c r="D74" s="159"/>
      <c r="E74" s="159">
        <f>Ü18!G66</f>
        <v>3548.30676804</v>
      </c>
    </row>
    <row r="75" spans="1:5" ht="13.5" customHeight="1">
      <c r="A75" s="307" t="s">
        <v>658</v>
      </c>
      <c r="B75" s="180" t="s">
        <v>659</v>
      </c>
      <c r="C75" s="181" t="e">
        <f>Ü18!#REF!</f>
        <v>#REF!</v>
      </c>
      <c r="D75" s="181"/>
      <c r="E75" s="181">
        <f>Ü18!G67</f>
        <v>3985.3147375799999</v>
      </c>
    </row>
    <row r="76" spans="1:5" ht="13.5" customHeight="1">
      <c r="A76" s="307"/>
      <c r="B76" s="160" t="s">
        <v>208</v>
      </c>
      <c r="C76" s="159"/>
      <c r="D76" s="159"/>
      <c r="E76" s="159"/>
    </row>
    <row r="77" spans="1:5" ht="13.5" customHeight="1">
      <c r="A77" s="307"/>
      <c r="B77" s="160" t="s">
        <v>695</v>
      </c>
      <c r="C77" s="159" t="e">
        <f>Ü18!#REF!</f>
        <v>#REF!</v>
      </c>
      <c r="D77" s="159"/>
      <c r="E77" s="159">
        <f>Ü18!G69</f>
        <v>605.14784996000003</v>
      </c>
    </row>
    <row r="78" spans="1:5" ht="13.5" customHeight="1">
      <c r="A78" s="307"/>
      <c r="B78" s="160" t="s">
        <v>694</v>
      </c>
      <c r="C78" s="159" t="e">
        <f>Ü18!#REF!</f>
        <v>#REF!</v>
      </c>
      <c r="D78" s="159"/>
      <c r="E78" s="159">
        <f>Ü18!G70</f>
        <v>3380.1668876200001</v>
      </c>
    </row>
    <row r="79" spans="1:5" ht="13.5" customHeight="1">
      <c r="A79" s="307" t="s">
        <v>660</v>
      </c>
      <c r="B79" s="180" t="s">
        <v>661</v>
      </c>
      <c r="C79" s="181" t="e">
        <f>Ü18!#REF!</f>
        <v>#REF!</v>
      </c>
      <c r="D79" s="181"/>
      <c r="E79" s="181">
        <f>Ü18!G71</f>
        <v>3648.7126937399998</v>
      </c>
    </row>
    <row r="80" spans="1:5" ht="13.5" customHeight="1">
      <c r="A80" s="307"/>
      <c r="B80" s="160" t="s">
        <v>208</v>
      </c>
      <c r="C80" s="159"/>
      <c r="D80" s="159"/>
      <c r="E80" s="159"/>
    </row>
    <row r="81" spans="1:7" ht="13.5" customHeight="1">
      <c r="A81" s="307"/>
      <c r="B81" s="160" t="s">
        <v>695</v>
      </c>
      <c r="C81" s="159" t="e">
        <f>Ü18!#REF!</f>
        <v>#REF!</v>
      </c>
      <c r="D81" s="159"/>
      <c r="E81" s="159">
        <f>Ü18!G73</f>
        <v>212.61075769999999</v>
      </c>
    </row>
    <row r="82" spans="1:7" ht="13.5" customHeight="1">
      <c r="A82" s="307"/>
      <c r="B82" s="160" t="s">
        <v>696</v>
      </c>
      <c r="C82" s="159" t="e">
        <f>Ü18!#REF!</f>
        <v>#REF!</v>
      </c>
      <c r="D82" s="159"/>
      <c r="E82" s="159">
        <f>Ü18!G74</f>
        <v>3433.4673493599998</v>
      </c>
    </row>
    <row r="83" spans="1:7" ht="13.5" customHeight="1">
      <c r="A83" s="307" t="s">
        <v>662</v>
      </c>
      <c r="B83" s="180" t="s">
        <v>751</v>
      </c>
      <c r="C83" s="181" t="e">
        <f>Ü18!#REF!</f>
        <v>#REF!</v>
      </c>
      <c r="D83" s="181"/>
      <c r="E83" s="181">
        <f>Ü18!G75</f>
        <v>580.64611452999998</v>
      </c>
    </row>
    <row r="84" spans="1:7" ht="13.5" customHeight="1">
      <c r="A84" s="307"/>
      <c r="B84" s="160" t="s">
        <v>208</v>
      </c>
      <c r="C84" s="159"/>
      <c r="D84" s="159"/>
      <c r="E84" s="159"/>
    </row>
    <row r="85" spans="1:7" ht="13.5" customHeight="1">
      <c r="A85" s="307"/>
      <c r="B85" s="160" t="s">
        <v>695</v>
      </c>
      <c r="C85" s="159" t="e">
        <f>Ü18!#REF!</f>
        <v>#REF!</v>
      </c>
      <c r="D85" s="159"/>
      <c r="E85" s="159">
        <f>Ü18!G77</f>
        <v>283.26838774999999</v>
      </c>
    </row>
    <row r="86" spans="1:7" ht="13.5" customHeight="1">
      <c r="A86" s="307"/>
      <c r="B86" s="160" t="s">
        <v>694</v>
      </c>
      <c r="C86" s="159" t="e">
        <f>Ü18!#REF!</f>
        <v>#REF!</v>
      </c>
      <c r="D86" s="159"/>
      <c r="E86" s="159">
        <f>Ü18!G78</f>
        <v>37.436821569999999</v>
      </c>
    </row>
    <row r="87" spans="1:7" ht="13.5" customHeight="1">
      <c r="A87" s="307"/>
      <c r="B87" s="160" t="s">
        <v>681</v>
      </c>
      <c r="C87" s="159" t="e">
        <f>Ü18!#REF!</f>
        <v>#REF!</v>
      </c>
      <c r="D87" s="159"/>
      <c r="E87" s="159">
        <f>Ü18!G79</f>
        <v>134.82420906999999</v>
      </c>
    </row>
    <row r="88" spans="1:7" ht="13.5" customHeight="1">
      <c r="A88" s="307" t="s">
        <v>663</v>
      </c>
      <c r="B88" s="180" t="s">
        <v>664</v>
      </c>
      <c r="C88" s="181" t="e">
        <f>Ü18!#REF!</f>
        <v>#REF!</v>
      </c>
      <c r="D88" s="181"/>
      <c r="E88" s="181">
        <f>Ü18!G80</f>
        <v>853.27789317999998</v>
      </c>
    </row>
    <row r="89" spans="1:7" ht="13.5" customHeight="1">
      <c r="A89" s="307"/>
      <c r="B89" s="160" t="s">
        <v>208</v>
      </c>
      <c r="C89" s="159"/>
      <c r="D89" s="159"/>
      <c r="E89" s="159"/>
    </row>
    <row r="90" spans="1:7" ht="13.5" customHeight="1">
      <c r="A90" s="307"/>
      <c r="B90" s="160" t="s">
        <v>697</v>
      </c>
      <c r="C90" s="159" t="e">
        <f>Ü18!#REF!</f>
        <v>#REF!</v>
      </c>
      <c r="D90" s="159"/>
      <c r="E90" s="159">
        <f>Ü18!G82</f>
        <v>385.73158080000002</v>
      </c>
    </row>
    <row r="91" spans="1:7" ht="13.5" customHeight="1">
      <c r="A91" s="307"/>
      <c r="B91" s="160" t="s">
        <v>698</v>
      </c>
      <c r="C91" s="159" t="e">
        <f>Ü18!#REF!</f>
        <v>#REF!</v>
      </c>
      <c r="D91" s="159"/>
      <c r="E91" s="159">
        <f>Ü18!G83</f>
        <v>371.40109312999999</v>
      </c>
    </row>
    <row r="92" spans="1:7" ht="21" customHeight="1">
      <c r="A92" s="221" t="s">
        <v>666</v>
      </c>
      <c r="B92" s="411"/>
      <c r="C92" s="222" t="e">
        <f>Ü18!#REF!</f>
        <v>#REF!</v>
      </c>
      <c r="D92" s="222"/>
      <c r="E92" s="222">
        <f>Ü18!G84</f>
        <v>78109.700575070005</v>
      </c>
    </row>
    <row r="93" spans="1:7" ht="13.5" customHeight="1">
      <c r="B93" s="22"/>
    </row>
    <row r="94" spans="1:7" ht="13.5" customHeight="1">
      <c r="A94" s="132" t="s">
        <v>168</v>
      </c>
      <c r="B94" s="22"/>
    </row>
    <row r="95" spans="1:7" ht="28.5" customHeight="1">
      <c r="A95" s="572" t="s">
        <v>718</v>
      </c>
      <c r="B95" s="572"/>
      <c r="C95" s="572"/>
      <c r="D95" s="572"/>
      <c r="E95" s="572"/>
      <c r="F95" s="327"/>
      <c r="G95" s="327"/>
    </row>
  </sheetData>
  <mergeCells count="1">
    <mergeCell ref="A95:E95"/>
  </mergeCells>
  <printOptions horizontalCentered="1"/>
  <pageMargins left="0.19685039370078741" right="0.19685039370078741" top="0.24" bottom="0.17" header="0.15748031496062992" footer="0.11811023622047245"/>
  <pageSetup paperSize="9" scale="95" orientation="portrait" cellComments="asDisplayed"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tabColor rgb="FF92D050"/>
    <pageSetUpPr fitToPage="1"/>
  </sheetPr>
  <dimension ref="A1:G53"/>
  <sheetViews>
    <sheetView workbookViewId="0"/>
  </sheetViews>
  <sheetFormatPr baseColWidth="10" defaultColWidth="5" defaultRowHeight="12.75"/>
  <cols>
    <col min="1" max="1" width="1.7109375" style="125" customWidth="1"/>
    <col min="2" max="3" width="1.7109375" style="399" customWidth="1"/>
    <col min="4" max="4" width="59.5703125" style="399" customWidth="1"/>
    <col min="5" max="7" width="8.28515625" style="122" customWidth="1"/>
    <col min="8" max="16384" width="5" style="122"/>
  </cols>
  <sheetData>
    <row r="1" spans="1:7" s="18" customFormat="1" ht="13.5" customHeight="1">
      <c r="A1" s="67" t="s">
        <v>1007</v>
      </c>
      <c r="B1" s="50"/>
      <c r="C1" s="50"/>
      <c r="D1" s="50"/>
      <c r="E1" s="50"/>
      <c r="F1" s="50"/>
      <c r="G1" s="50"/>
    </row>
    <row r="2" spans="1:7" s="18" customFormat="1" ht="13.5" customHeight="1">
      <c r="A2" s="160" t="s">
        <v>35</v>
      </c>
      <c r="B2" s="50"/>
      <c r="C2" s="50"/>
      <c r="D2" s="50"/>
      <c r="E2" s="50"/>
      <c r="F2" s="50"/>
      <c r="G2" s="50"/>
    </row>
    <row r="3" spans="1:7" s="18" customFormat="1" ht="13.5" customHeight="1">
      <c r="A3" s="50"/>
      <c r="B3" s="50"/>
      <c r="C3" s="50"/>
      <c r="D3" s="50"/>
      <c r="E3" s="50"/>
      <c r="F3" s="50"/>
      <c r="G3" s="50"/>
    </row>
    <row r="4" spans="1:7" s="25" customFormat="1" ht="34.5" customHeight="1">
      <c r="A4" s="310"/>
      <c r="B4" s="311"/>
      <c r="C4" s="311"/>
      <c r="D4" s="311"/>
      <c r="E4" s="311" t="s">
        <v>937</v>
      </c>
      <c r="F4" s="311" t="s">
        <v>939</v>
      </c>
      <c r="G4" s="311" t="s">
        <v>1049</v>
      </c>
    </row>
    <row r="5" spans="1:7" s="21" customFormat="1" ht="21" customHeight="1">
      <c r="A5" s="96" t="s">
        <v>564</v>
      </c>
      <c r="B5" s="50"/>
      <c r="C5" s="50"/>
      <c r="D5" s="50"/>
      <c r="E5" s="50"/>
      <c r="F5" s="50"/>
      <c r="G5" s="50"/>
    </row>
    <row r="6" spans="1:7" s="130" customFormat="1" ht="13.5" customHeight="1">
      <c r="A6" s="351"/>
      <c r="B6" s="132" t="s">
        <v>563</v>
      </c>
      <c r="C6" s="132"/>
      <c r="D6" s="549"/>
      <c r="E6" s="497">
        <f>E7+E15+E29</f>
        <v>20475.561612159996</v>
      </c>
      <c r="F6" s="497">
        <f>F7+F15+F29</f>
        <v>20578.072</v>
      </c>
      <c r="G6" s="497">
        <f>G7+G15+G29</f>
        <v>20348.632000000001</v>
      </c>
    </row>
    <row r="7" spans="1:7" s="130" customFormat="1" ht="13.5" customHeight="1">
      <c r="A7" s="351"/>
      <c r="B7" s="132"/>
      <c r="C7" s="132" t="s">
        <v>562</v>
      </c>
      <c r="D7" s="549"/>
      <c r="E7" s="497">
        <f>SUM(E8:E14)</f>
        <v>8369.402</v>
      </c>
      <c r="F7" s="497">
        <f>SUM(F8:F14)</f>
        <v>8516.3770000000004</v>
      </c>
      <c r="G7" s="497">
        <f>SUM(G8:G14)</f>
        <v>8760.8390000000018</v>
      </c>
    </row>
    <row r="8" spans="1:7" s="130" customFormat="1" ht="13.5" customHeight="1">
      <c r="A8" s="351"/>
      <c r="B8" s="132"/>
      <c r="C8" s="132"/>
      <c r="D8" s="549" t="s">
        <v>561</v>
      </c>
      <c r="E8" s="497">
        <v>5742.165</v>
      </c>
      <c r="F8" s="497">
        <v>5841.2830000000004</v>
      </c>
      <c r="G8" s="497">
        <v>6106.6679999999997</v>
      </c>
    </row>
    <row r="9" spans="1:7" s="130" customFormat="1" ht="13.5" customHeight="1">
      <c r="A9" s="351"/>
      <c r="B9" s="132"/>
      <c r="C9" s="132"/>
      <c r="D9" s="549" t="s">
        <v>560</v>
      </c>
      <c r="E9" s="497">
        <v>644.09799999999996</v>
      </c>
      <c r="F9" s="497">
        <v>666.55</v>
      </c>
      <c r="G9" s="497">
        <v>612.27700000000004</v>
      </c>
    </row>
    <row r="10" spans="1:7" s="130" customFormat="1" ht="13.5" customHeight="1">
      <c r="A10" s="351"/>
      <c r="B10" s="132"/>
      <c r="C10" s="132"/>
      <c r="D10" s="549" t="s">
        <v>559</v>
      </c>
      <c r="E10" s="497">
        <v>364.839</v>
      </c>
      <c r="F10" s="497">
        <v>369.51600000000002</v>
      </c>
      <c r="G10" s="497">
        <v>375.51100000000002</v>
      </c>
    </row>
    <row r="11" spans="1:7" s="130" customFormat="1" ht="13.5" customHeight="1">
      <c r="A11" s="351"/>
      <c r="B11" s="132"/>
      <c r="C11" s="132"/>
      <c r="D11" s="549" t="s">
        <v>558</v>
      </c>
      <c r="E11" s="497">
        <v>1485.386</v>
      </c>
      <c r="F11" s="497">
        <v>1510.9760000000001</v>
      </c>
      <c r="G11" s="497">
        <v>1532.2170000000001</v>
      </c>
    </row>
    <row r="12" spans="1:7" s="130" customFormat="1" ht="13.5" customHeight="1">
      <c r="A12" s="351"/>
      <c r="B12" s="132"/>
      <c r="C12" s="132"/>
      <c r="D12" s="549" t="s">
        <v>557</v>
      </c>
      <c r="E12" s="497">
        <v>78.968000000000004</v>
      </c>
      <c r="F12" s="497">
        <v>73.296999999999997</v>
      </c>
      <c r="G12" s="497">
        <v>78.796999999999997</v>
      </c>
    </row>
    <row r="13" spans="1:7" s="130" customFormat="1" ht="13.5" customHeight="1">
      <c r="A13" s="351"/>
      <c r="B13" s="132"/>
      <c r="C13" s="132"/>
      <c r="D13" s="549" t="s">
        <v>556</v>
      </c>
      <c r="E13" s="497">
        <v>18.713999999999999</v>
      </c>
      <c r="F13" s="497">
        <v>18.73</v>
      </c>
      <c r="G13" s="497">
        <v>19.178000000000001</v>
      </c>
    </row>
    <row r="14" spans="1:7" s="130" customFormat="1" ht="13.5" customHeight="1">
      <c r="A14" s="351"/>
      <c r="B14" s="132"/>
      <c r="C14" s="132"/>
      <c r="D14" s="549" t="s">
        <v>555</v>
      </c>
      <c r="E14" s="497">
        <v>35.231999999999999</v>
      </c>
      <c r="F14" s="497">
        <v>36.024999999999999</v>
      </c>
      <c r="G14" s="497">
        <v>36.191000000000003</v>
      </c>
    </row>
    <row r="15" spans="1:7" s="130" customFormat="1" ht="13.5" customHeight="1">
      <c r="A15" s="351"/>
      <c r="B15" s="132"/>
      <c r="C15" s="132" t="s">
        <v>554</v>
      </c>
      <c r="D15" s="549"/>
      <c r="E15" s="497">
        <f t="shared" ref="E15:G15" si="0">SUM(E16:E28)</f>
        <v>5402.2036121599986</v>
      </c>
      <c r="F15" s="497">
        <f t="shared" si="0"/>
        <v>5502.7849999999999</v>
      </c>
      <c r="G15" s="497">
        <f t="shared" si="0"/>
        <v>5937.0589999999993</v>
      </c>
    </row>
    <row r="16" spans="1:7" s="130" customFormat="1" ht="13.5" customHeight="1">
      <c r="A16" s="351"/>
      <c r="B16" s="132"/>
      <c r="C16" s="132"/>
      <c r="D16" s="549" t="s">
        <v>553</v>
      </c>
      <c r="E16" s="497">
        <v>3.6199117200000002</v>
      </c>
      <c r="F16" s="497">
        <v>14.393000000000001</v>
      </c>
      <c r="G16" s="497">
        <v>19.859000000000002</v>
      </c>
    </row>
    <row r="17" spans="1:7" s="130" customFormat="1" ht="13.5" customHeight="1">
      <c r="A17" s="351"/>
      <c r="B17" s="132"/>
      <c r="C17" s="132"/>
      <c r="D17" s="549" t="s">
        <v>552</v>
      </c>
      <c r="E17" s="497">
        <v>10.081491359999999</v>
      </c>
      <c r="F17" s="497">
        <v>11.183</v>
      </c>
      <c r="G17" s="497">
        <v>10.457000000000001</v>
      </c>
    </row>
    <row r="18" spans="1:7" s="130" customFormat="1" ht="13.5" customHeight="1">
      <c r="A18" s="351"/>
      <c r="B18" s="132"/>
      <c r="C18" s="132"/>
      <c r="D18" s="549" t="s">
        <v>551</v>
      </c>
      <c r="E18" s="497">
        <v>857.52364514999999</v>
      </c>
      <c r="F18" s="497">
        <v>953.93200000000002</v>
      </c>
      <c r="G18" s="497">
        <v>1080.2460000000001</v>
      </c>
    </row>
    <row r="19" spans="1:7" s="130" customFormat="1" ht="13.5" customHeight="1">
      <c r="A19" s="351"/>
      <c r="B19" s="132"/>
      <c r="C19" s="132"/>
      <c r="D19" s="549" t="s">
        <v>550</v>
      </c>
      <c r="E19" s="497">
        <v>251.53278388000001</v>
      </c>
      <c r="F19" s="497">
        <v>255.95599999999999</v>
      </c>
      <c r="G19" s="497">
        <v>268.72699999999998</v>
      </c>
    </row>
    <row r="20" spans="1:7" s="130" customFormat="1" ht="13.5" customHeight="1">
      <c r="A20" s="351"/>
      <c r="B20" s="132"/>
      <c r="C20" s="132"/>
      <c r="D20" s="549" t="s">
        <v>549</v>
      </c>
      <c r="E20" s="497">
        <v>112.12527783</v>
      </c>
      <c r="F20" s="497">
        <v>109.86799999999999</v>
      </c>
      <c r="G20" s="497">
        <v>107.914</v>
      </c>
    </row>
    <row r="21" spans="1:7" s="130" customFormat="1" ht="13.5" customHeight="1">
      <c r="A21" s="351"/>
      <c r="B21" s="132"/>
      <c r="C21" s="132"/>
      <c r="D21" s="549" t="s">
        <v>548</v>
      </c>
      <c r="E21" s="497">
        <v>98.996924980000003</v>
      </c>
      <c r="F21" s="497">
        <v>101.17</v>
      </c>
      <c r="G21" s="497">
        <v>96.41</v>
      </c>
    </row>
    <row r="22" spans="1:7" s="130" customFormat="1" ht="13.5" customHeight="1">
      <c r="A22" s="351"/>
      <c r="B22" s="132"/>
      <c r="C22" s="132"/>
      <c r="D22" s="549" t="s">
        <v>547</v>
      </c>
      <c r="E22" s="497">
        <v>2449.2825977699999</v>
      </c>
      <c r="F22" s="497">
        <v>2392.047</v>
      </c>
      <c r="G22" s="497">
        <v>2696.1950000000002</v>
      </c>
    </row>
    <row r="23" spans="1:7" s="130" customFormat="1" ht="13.5" customHeight="1">
      <c r="A23" s="351"/>
      <c r="B23" s="132"/>
      <c r="C23" s="132"/>
      <c r="D23" s="549" t="s">
        <v>546</v>
      </c>
      <c r="E23" s="497">
        <v>247.93357673</v>
      </c>
      <c r="F23" s="497">
        <v>247.08099999999999</v>
      </c>
      <c r="G23" s="497">
        <v>254.29300000000001</v>
      </c>
    </row>
    <row r="24" spans="1:7" s="130" customFormat="1" ht="13.5" customHeight="1">
      <c r="A24" s="351"/>
      <c r="B24" s="132"/>
      <c r="C24" s="132"/>
      <c r="D24" s="549" t="s">
        <v>545</v>
      </c>
      <c r="E24" s="497">
        <v>450.58457682</v>
      </c>
      <c r="F24" s="497">
        <v>493.91399999999999</v>
      </c>
      <c r="G24" s="497">
        <v>506.7</v>
      </c>
    </row>
    <row r="25" spans="1:7" s="130" customFormat="1" ht="13.5" customHeight="1">
      <c r="A25" s="351"/>
      <c r="B25" s="132"/>
      <c r="C25" s="132"/>
      <c r="D25" s="549" t="s">
        <v>544</v>
      </c>
      <c r="E25" s="497">
        <v>61.277422899999998</v>
      </c>
      <c r="F25" s="497">
        <v>57.573</v>
      </c>
      <c r="G25" s="497">
        <v>78.905000000000001</v>
      </c>
    </row>
    <row r="26" spans="1:7" s="130" customFormat="1" ht="13.5" customHeight="1">
      <c r="A26" s="351"/>
      <c r="B26" s="132"/>
      <c r="C26" s="132"/>
      <c r="D26" s="549" t="s">
        <v>543</v>
      </c>
      <c r="E26" s="497">
        <v>80.405698799999996</v>
      </c>
      <c r="F26" s="497">
        <v>87.652000000000001</v>
      </c>
      <c r="G26" s="497">
        <v>54.37</v>
      </c>
    </row>
    <row r="27" spans="1:7" s="130" customFormat="1" ht="13.5" customHeight="1">
      <c r="A27" s="351"/>
      <c r="B27" s="132"/>
      <c r="C27" s="132"/>
      <c r="D27" s="549" t="s">
        <v>542</v>
      </c>
      <c r="E27" s="497">
        <v>38.60119813</v>
      </c>
      <c r="F27" s="497">
        <v>55.183</v>
      </c>
      <c r="G27" s="497">
        <v>48.994</v>
      </c>
    </row>
    <row r="28" spans="1:7" s="130" customFormat="1" ht="13.5" customHeight="1">
      <c r="A28" s="351"/>
      <c r="B28" s="132"/>
      <c r="C28" s="132"/>
      <c r="D28" s="549" t="s">
        <v>541</v>
      </c>
      <c r="E28" s="497">
        <f>739.96250609+0.276</f>
        <v>740.23850608999999</v>
      </c>
      <c r="F28" s="497">
        <f>722.601+0.232</f>
        <v>722.83299999999997</v>
      </c>
      <c r="G28" s="497">
        <f>0.36+713.629</f>
        <v>713.98900000000003</v>
      </c>
    </row>
    <row r="29" spans="1:7" s="130" customFormat="1" ht="13.5" customHeight="1">
      <c r="A29" s="351"/>
      <c r="B29" s="132"/>
      <c r="C29" s="132" t="s">
        <v>609</v>
      </c>
      <c r="D29" s="132"/>
      <c r="E29" s="497">
        <v>6703.9560000000001</v>
      </c>
      <c r="F29" s="497">
        <v>6558.91</v>
      </c>
      <c r="G29" s="497">
        <v>5650.7340000000004</v>
      </c>
    </row>
    <row r="30" spans="1:7" s="130" customFormat="1" ht="13.5" customHeight="1">
      <c r="A30" s="351"/>
      <c r="B30" s="132" t="s">
        <v>540</v>
      </c>
      <c r="C30" s="132"/>
      <c r="D30" s="549"/>
      <c r="E30" s="497">
        <f t="shared" ref="E30:G30" si="1">SUM(E31:E35)</f>
        <v>52249.814935359995</v>
      </c>
      <c r="F30" s="497">
        <f t="shared" si="1"/>
        <v>53282.523999999998</v>
      </c>
      <c r="G30" s="497">
        <f t="shared" si="1"/>
        <v>55661.814000000006</v>
      </c>
    </row>
    <row r="31" spans="1:7" s="130" customFormat="1" ht="13.5" customHeight="1">
      <c r="A31" s="351"/>
      <c r="B31" s="132"/>
      <c r="C31" s="132"/>
      <c r="D31" s="549" t="s">
        <v>539</v>
      </c>
      <c r="E31" s="497">
        <v>29548.95862799</v>
      </c>
      <c r="F31" s="497">
        <v>29935.21</v>
      </c>
      <c r="G31" s="497">
        <v>30804.576000000001</v>
      </c>
    </row>
    <row r="32" spans="1:7" s="130" customFormat="1" ht="13.5" customHeight="1">
      <c r="A32" s="351"/>
      <c r="B32" s="132"/>
      <c r="C32" s="132"/>
      <c r="D32" s="549" t="s">
        <v>538</v>
      </c>
      <c r="E32" s="497">
        <v>568.95148409000001</v>
      </c>
      <c r="F32" s="497">
        <v>551.34299999999996</v>
      </c>
      <c r="G32" s="497">
        <v>537.22</v>
      </c>
    </row>
    <row r="33" spans="1:7" s="130" customFormat="1" ht="13.5" customHeight="1">
      <c r="A33" s="351"/>
      <c r="B33" s="132"/>
      <c r="C33" s="132"/>
      <c r="D33" s="549" t="s">
        <v>537</v>
      </c>
      <c r="E33" s="497">
        <v>7276.1501271300003</v>
      </c>
      <c r="F33" s="497">
        <v>7875.08</v>
      </c>
      <c r="G33" s="497">
        <v>8822.75</v>
      </c>
    </row>
    <row r="34" spans="1:7" s="130" customFormat="1" ht="13.5" customHeight="1">
      <c r="A34" s="351"/>
      <c r="B34" s="132"/>
      <c r="C34" s="132"/>
      <c r="D34" s="549" t="s">
        <v>536</v>
      </c>
      <c r="E34" s="497">
        <v>14471.79683716</v>
      </c>
      <c r="F34" s="497">
        <v>14619.499</v>
      </c>
      <c r="G34" s="497">
        <f>9105.85+6096.287</f>
        <v>15202.137000000001</v>
      </c>
    </row>
    <row r="35" spans="1:7" s="130" customFormat="1" ht="13.5" customHeight="1">
      <c r="A35" s="351"/>
      <c r="B35" s="132"/>
      <c r="C35" s="132"/>
      <c r="D35" s="549" t="s">
        <v>535</v>
      </c>
      <c r="E35" s="497">
        <v>383.95785898999998</v>
      </c>
      <c r="F35" s="497">
        <v>301.392</v>
      </c>
      <c r="G35" s="497">
        <v>295.13099999999997</v>
      </c>
    </row>
    <row r="36" spans="1:7" s="130" customFormat="1" ht="13.5" customHeight="1">
      <c r="A36" s="351"/>
      <c r="B36" s="132" t="s">
        <v>534</v>
      </c>
      <c r="C36" s="132"/>
      <c r="D36" s="549"/>
      <c r="E36" s="497">
        <f t="shared" ref="E36:F36" si="2">SUM(E37:E39)</f>
        <v>1676.0534163699999</v>
      </c>
      <c r="F36" s="497">
        <f t="shared" si="2"/>
        <v>255.10499999999999</v>
      </c>
      <c r="G36" s="497">
        <f>SUM(G37:G39)</f>
        <v>329.45099999999996</v>
      </c>
    </row>
    <row r="37" spans="1:7" s="130" customFormat="1" ht="13.5" customHeight="1">
      <c r="A37" s="351"/>
      <c r="B37" s="132"/>
      <c r="C37" s="132" t="s">
        <v>533</v>
      </c>
      <c r="D37" s="549"/>
      <c r="E37" s="497">
        <v>454.97600935999998</v>
      </c>
      <c r="F37" s="497">
        <v>233.702</v>
      </c>
      <c r="G37" s="497">
        <v>275.20499999999998</v>
      </c>
    </row>
    <row r="38" spans="1:7" s="130" customFormat="1" ht="13.5" customHeight="1">
      <c r="A38" s="351"/>
      <c r="B38" s="132"/>
      <c r="C38" s="132" t="s">
        <v>532</v>
      </c>
      <c r="D38" s="549"/>
      <c r="E38" s="497">
        <v>1.6706850799999999</v>
      </c>
      <c r="F38" s="497">
        <v>1.5089999999999999</v>
      </c>
      <c r="G38" s="497">
        <v>1.157</v>
      </c>
    </row>
    <row r="39" spans="1:7" s="130" customFormat="1" ht="13.5" customHeight="1">
      <c r="A39" s="351"/>
      <c r="B39" s="132"/>
      <c r="C39" s="132" t="s">
        <v>531</v>
      </c>
      <c r="D39" s="549"/>
      <c r="E39" s="497">
        <v>1219.40672193</v>
      </c>
      <c r="F39" s="497">
        <v>19.893999999999998</v>
      </c>
      <c r="G39" s="497">
        <v>53.088999999999999</v>
      </c>
    </row>
    <row r="40" spans="1:7" s="130" customFormat="1" ht="13.5" customHeight="1">
      <c r="A40" s="351"/>
      <c r="B40" s="132" t="s">
        <v>530</v>
      </c>
      <c r="C40" s="132"/>
      <c r="D40" s="549"/>
      <c r="E40" s="497">
        <f t="shared" ref="E40:G40" si="3">SUM(E41:E43)</f>
        <v>251.09235655999998</v>
      </c>
      <c r="F40" s="497">
        <f t="shared" si="3"/>
        <v>603.51700000000005</v>
      </c>
      <c r="G40" s="497">
        <f t="shared" si="3"/>
        <v>685.64099999999996</v>
      </c>
    </row>
    <row r="41" spans="1:7" s="130" customFormat="1" ht="13.5" customHeight="1">
      <c r="A41" s="351"/>
      <c r="B41" s="132"/>
      <c r="C41" s="132" t="s">
        <v>529</v>
      </c>
      <c r="D41" s="549"/>
      <c r="E41" s="497">
        <v>0</v>
      </c>
      <c r="F41" s="497">
        <v>0.438</v>
      </c>
      <c r="G41" s="497">
        <v>0.375</v>
      </c>
    </row>
    <row r="42" spans="1:7" s="130" customFormat="1" ht="15">
      <c r="A42" s="351"/>
      <c r="B42" s="132"/>
      <c r="C42" s="132" t="s">
        <v>760</v>
      </c>
      <c r="D42" s="549"/>
      <c r="E42" s="497">
        <v>107.39409195</v>
      </c>
      <c r="F42" s="497">
        <v>454.00700000000001</v>
      </c>
      <c r="G42" s="497">
        <v>533.49599999999998</v>
      </c>
    </row>
    <row r="43" spans="1:7" s="130" customFormat="1" ht="15">
      <c r="A43" s="351"/>
      <c r="B43" s="132"/>
      <c r="C43" s="132" t="s">
        <v>608</v>
      </c>
      <c r="D43" s="132"/>
      <c r="E43" s="497">
        <v>143.69826461</v>
      </c>
      <c r="F43" s="497">
        <v>149.072</v>
      </c>
      <c r="G43" s="497">
        <v>151.77000000000001</v>
      </c>
    </row>
    <row r="44" spans="1:7" s="145" customFormat="1" ht="21" customHeight="1" collapsed="1">
      <c r="A44" s="492" t="s">
        <v>528</v>
      </c>
      <c r="B44" s="550"/>
      <c r="C44" s="550"/>
      <c r="D44" s="550"/>
      <c r="E44" s="498">
        <f t="shared" ref="E44:G44" si="4">E6+E30+E36+E40</f>
        <v>74652.522320449993</v>
      </c>
      <c r="F44" s="498">
        <f t="shared" si="4"/>
        <v>74719.217999999993</v>
      </c>
      <c r="G44" s="498">
        <f t="shared" si="4"/>
        <v>77025.538000000015</v>
      </c>
    </row>
    <row r="45" spans="1:7">
      <c r="D45" s="551"/>
      <c r="E45" s="412"/>
      <c r="F45" s="412"/>
      <c r="G45" s="412"/>
    </row>
    <row r="46" spans="1:7" s="132" customFormat="1" ht="13.5">
      <c r="A46" s="132" t="s">
        <v>168</v>
      </c>
    </row>
    <row r="47" spans="1:7">
      <c r="D47" s="551"/>
      <c r="E47" s="412"/>
      <c r="F47" s="412"/>
      <c r="G47" s="412"/>
    </row>
    <row r="48" spans="1:7">
      <c r="D48" s="551"/>
      <c r="E48" s="412"/>
      <c r="F48" s="412"/>
      <c r="G48" s="412"/>
    </row>
    <row r="49" spans="4:7">
      <c r="D49" s="551"/>
      <c r="E49" s="412"/>
      <c r="F49" s="412"/>
      <c r="G49" s="412"/>
    </row>
    <row r="50" spans="4:7">
      <c r="D50" s="551"/>
      <c r="E50" s="412"/>
      <c r="F50" s="412"/>
      <c r="G50" s="412"/>
    </row>
    <row r="51" spans="4:7">
      <c r="D51" s="551"/>
      <c r="E51" s="412"/>
      <c r="F51" s="412"/>
      <c r="G51" s="412"/>
    </row>
    <row r="52" spans="4:7">
      <c r="D52" s="551"/>
      <c r="E52" s="412"/>
      <c r="F52" s="412"/>
      <c r="G52" s="412"/>
    </row>
    <row r="53" spans="4:7">
      <c r="E53" s="412"/>
      <c r="F53" s="412"/>
      <c r="G53" s="412"/>
    </row>
  </sheetData>
  <pageMargins left="0.25" right="0.25" top="0.75" bottom="0.75" header="0.3" footer="0.3"/>
  <pageSetup paperSize="9" orientation="portrait" r:id="rId1"/>
  <ignoredErrors>
    <ignoredError sqref="E4"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tabColor rgb="FF92D050"/>
    <pageSetUpPr fitToPage="1"/>
  </sheetPr>
  <dimension ref="A1:G46"/>
  <sheetViews>
    <sheetView workbookViewId="0"/>
  </sheetViews>
  <sheetFormatPr baseColWidth="10" defaultColWidth="5" defaultRowHeight="12.75"/>
  <cols>
    <col min="1" max="1" width="1.7109375" style="125" customWidth="1"/>
    <col min="2" max="3" width="1.7109375" style="399" customWidth="1"/>
    <col min="4" max="4" width="59.5703125" style="399" customWidth="1"/>
    <col min="5" max="7" width="8.28515625" style="122" customWidth="1"/>
    <col min="8" max="16384" width="5" style="122"/>
  </cols>
  <sheetData>
    <row r="1" spans="1:7" s="18" customFormat="1" ht="13.5" customHeight="1">
      <c r="A1" s="67" t="s">
        <v>1008</v>
      </c>
      <c r="B1" s="45"/>
      <c r="C1" s="45"/>
      <c r="D1" s="45"/>
      <c r="E1" s="45"/>
      <c r="F1" s="45"/>
      <c r="G1" s="45"/>
    </row>
    <row r="2" spans="1:7" s="18" customFormat="1" ht="13.5" customHeight="1">
      <c r="A2" s="160" t="s">
        <v>724</v>
      </c>
      <c r="B2" s="45"/>
      <c r="C2" s="45"/>
      <c r="D2" s="45"/>
      <c r="E2" s="45"/>
      <c r="F2" s="45"/>
      <c r="G2" s="45"/>
    </row>
    <row r="3" spans="1:7" s="18" customFormat="1" ht="13.5" customHeight="1">
      <c r="A3" s="45"/>
      <c r="B3" s="45"/>
      <c r="C3" s="45"/>
      <c r="D3" s="45"/>
      <c r="E3" s="45"/>
      <c r="F3" s="45"/>
      <c r="G3" s="45"/>
    </row>
    <row r="4" spans="1:7" s="25" customFormat="1" ht="34.5" customHeight="1">
      <c r="A4" s="310"/>
      <c r="B4" s="311"/>
      <c r="C4" s="311"/>
      <c r="D4" s="311"/>
      <c r="E4" s="311" t="s">
        <v>945</v>
      </c>
      <c r="F4" s="311" t="s">
        <v>947</v>
      </c>
      <c r="G4" s="311" t="s">
        <v>1056</v>
      </c>
    </row>
    <row r="5" spans="1:7" s="21" customFormat="1" ht="21" customHeight="1">
      <c r="A5" s="96" t="s">
        <v>597</v>
      </c>
      <c r="B5" s="50"/>
      <c r="C5" s="50"/>
      <c r="D5" s="50"/>
      <c r="E5" s="50"/>
      <c r="F5" s="50"/>
      <c r="G5" s="50"/>
    </row>
    <row r="6" spans="1:7" s="130" customFormat="1" ht="13.5" customHeight="1">
      <c r="A6" s="351"/>
      <c r="B6" s="132"/>
      <c r="C6" s="132" t="s">
        <v>596</v>
      </c>
      <c r="D6" s="549"/>
      <c r="E6" s="497">
        <f t="shared" ref="E6:G6" si="0">SUM(E7:E13)</f>
        <v>8458.1767455800018</v>
      </c>
      <c r="F6" s="497">
        <f t="shared" si="0"/>
        <v>8732.9309999999987</v>
      </c>
      <c r="G6" s="497">
        <f t="shared" si="0"/>
        <v>8949.8860000000022</v>
      </c>
    </row>
    <row r="7" spans="1:7" s="130" customFormat="1" ht="13.5" customHeight="1">
      <c r="A7" s="351"/>
      <c r="B7" s="132"/>
      <c r="C7" s="132"/>
      <c r="D7" s="549" t="s">
        <v>595</v>
      </c>
      <c r="E7" s="497">
        <v>5735.20295953</v>
      </c>
      <c r="F7" s="497">
        <v>5842.6009999999997</v>
      </c>
      <c r="G7" s="497">
        <v>6108.2690000000002</v>
      </c>
    </row>
    <row r="8" spans="1:7" s="130" customFormat="1" ht="13.5" customHeight="1">
      <c r="A8" s="351"/>
      <c r="B8" s="132"/>
      <c r="C8" s="132"/>
      <c r="D8" s="549" t="s">
        <v>594</v>
      </c>
      <c r="E8" s="497">
        <v>642.69140003999996</v>
      </c>
      <c r="F8" s="497">
        <v>666.55</v>
      </c>
      <c r="G8" s="497">
        <v>612.24099999999999</v>
      </c>
    </row>
    <row r="9" spans="1:7" s="130" customFormat="1" ht="13.5" customHeight="1">
      <c r="A9" s="351"/>
      <c r="B9" s="132"/>
      <c r="C9" s="132"/>
      <c r="D9" s="549" t="s">
        <v>593</v>
      </c>
      <c r="E9" s="497">
        <v>365.46458287000002</v>
      </c>
      <c r="F9" s="497">
        <v>369.517</v>
      </c>
      <c r="G9" s="497">
        <v>375.03899999999999</v>
      </c>
    </row>
    <row r="10" spans="1:7" s="130" customFormat="1" ht="13.5" customHeight="1">
      <c r="A10" s="351"/>
      <c r="B10" s="132"/>
      <c r="C10" s="132"/>
      <c r="D10" s="549" t="s">
        <v>592</v>
      </c>
      <c r="E10" s="497">
        <v>1486.2932671399999</v>
      </c>
      <c r="F10" s="497">
        <v>1510.2929999999999</v>
      </c>
      <c r="G10" s="497">
        <v>1531.883</v>
      </c>
    </row>
    <row r="11" spans="1:7" s="130" customFormat="1" ht="13.5" customHeight="1">
      <c r="A11" s="351"/>
      <c r="B11" s="132"/>
      <c r="C11" s="132"/>
      <c r="D11" s="549" t="s">
        <v>591</v>
      </c>
      <c r="E11" s="497">
        <v>173.97348817</v>
      </c>
      <c r="F11" s="497">
        <v>289.22300000000001</v>
      </c>
      <c r="G11" s="497">
        <v>267.11099999999999</v>
      </c>
    </row>
    <row r="12" spans="1:7" s="130" customFormat="1" ht="13.5" customHeight="1">
      <c r="A12" s="351"/>
      <c r="B12" s="132"/>
      <c r="C12" s="132"/>
      <c r="D12" s="549" t="s">
        <v>590</v>
      </c>
      <c r="E12" s="497">
        <v>19.359422769999998</v>
      </c>
      <c r="F12" s="497">
        <v>18.73</v>
      </c>
      <c r="G12" s="497">
        <v>19.152000000000001</v>
      </c>
    </row>
    <row r="13" spans="1:7" s="130" customFormat="1" ht="13.5" customHeight="1">
      <c r="A13" s="351"/>
      <c r="B13" s="132"/>
      <c r="C13" s="132"/>
      <c r="D13" s="549" t="s">
        <v>589</v>
      </c>
      <c r="E13" s="497">
        <v>35.19162506</v>
      </c>
      <c r="F13" s="497">
        <v>36.017000000000003</v>
      </c>
      <c r="G13" s="497">
        <v>36.191000000000003</v>
      </c>
    </row>
    <row r="14" spans="1:7" s="130" customFormat="1" ht="13.5" customHeight="1">
      <c r="A14" s="351"/>
      <c r="B14" s="132"/>
      <c r="C14" s="132" t="s">
        <v>588</v>
      </c>
      <c r="D14" s="549"/>
      <c r="E14" s="497">
        <f t="shared" ref="E14:G14" si="1">SUM(E15:E29)</f>
        <v>7625.9510971500004</v>
      </c>
      <c r="F14" s="497">
        <f t="shared" si="1"/>
        <v>7242.1530000000002</v>
      </c>
      <c r="G14" s="497">
        <f t="shared" si="1"/>
        <v>7644.7599999999984</v>
      </c>
    </row>
    <row r="15" spans="1:7" s="130" customFormat="1" ht="13.5" customHeight="1">
      <c r="A15" s="351"/>
      <c r="B15" s="132"/>
      <c r="C15" s="132"/>
      <c r="D15" s="549" t="s">
        <v>587</v>
      </c>
      <c r="E15" s="497">
        <v>3.61188405</v>
      </c>
      <c r="F15" s="497">
        <v>14.391999999999999</v>
      </c>
      <c r="G15" s="497">
        <v>19.859000000000002</v>
      </c>
    </row>
    <row r="16" spans="1:7" s="130" customFormat="1" ht="13.5" customHeight="1">
      <c r="A16" s="351"/>
      <c r="B16" s="132"/>
      <c r="C16" s="132"/>
      <c r="D16" s="549" t="s">
        <v>586</v>
      </c>
      <c r="E16" s="497">
        <v>10.081448330000001</v>
      </c>
      <c r="F16" s="497">
        <v>11.183</v>
      </c>
      <c r="G16" s="497">
        <v>10.457000000000001</v>
      </c>
    </row>
    <row r="17" spans="1:7" s="130" customFormat="1" ht="13.5" customHeight="1">
      <c r="A17" s="351"/>
      <c r="B17" s="132"/>
      <c r="C17" s="132"/>
      <c r="D17" s="549" t="s">
        <v>585</v>
      </c>
      <c r="E17" s="497">
        <v>931.99486926999998</v>
      </c>
      <c r="F17" s="497">
        <v>969.38599999999997</v>
      </c>
      <c r="G17" s="497">
        <v>999.32299999999998</v>
      </c>
    </row>
    <row r="18" spans="1:7" s="130" customFormat="1" ht="13.5" customHeight="1">
      <c r="A18" s="351"/>
      <c r="B18" s="132"/>
      <c r="C18" s="132"/>
      <c r="D18" s="549" t="s">
        <v>584</v>
      </c>
      <c r="E18" s="497">
        <v>250.10502765000001</v>
      </c>
      <c r="F18" s="497">
        <v>264.04899999999998</v>
      </c>
      <c r="G18" s="497">
        <v>268.73700000000002</v>
      </c>
    </row>
    <row r="19" spans="1:7" s="130" customFormat="1" ht="13.5" customHeight="1">
      <c r="A19" s="351"/>
      <c r="B19" s="132"/>
      <c r="C19" s="132"/>
      <c r="D19" s="549" t="s">
        <v>583</v>
      </c>
      <c r="E19" s="497">
        <v>111.86008106</v>
      </c>
      <c r="F19" s="497">
        <v>110.10899999999999</v>
      </c>
      <c r="G19" s="497">
        <v>109.008</v>
      </c>
    </row>
    <row r="20" spans="1:7" s="130" customFormat="1" ht="13.5" customHeight="1">
      <c r="A20" s="351"/>
      <c r="B20" s="132"/>
      <c r="C20" s="132"/>
      <c r="D20" s="549" t="s">
        <v>582</v>
      </c>
      <c r="E20" s="497">
        <v>98.980544449999996</v>
      </c>
      <c r="F20" s="497">
        <v>103.17100000000001</v>
      </c>
      <c r="G20" s="497">
        <v>96.337000000000003</v>
      </c>
    </row>
    <row r="21" spans="1:7" s="130" customFormat="1" ht="13.5" customHeight="1">
      <c r="A21" s="351"/>
      <c r="B21" s="132"/>
      <c r="C21" s="132"/>
      <c r="D21" s="549" t="s">
        <v>581</v>
      </c>
      <c r="E21" s="497">
        <v>2482.7353424600001</v>
      </c>
      <c r="F21" s="497">
        <v>2403.7869999999998</v>
      </c>
      <c r="G21" s="497">
        <v>2704.6329999999998</v>
      </c>
    </row>
    <row r="22" spans="1:7" s="130" customFormat="1" ht="13.5" customHeight="1">
      <c r="A22" s="351"/>
      <c r="B22" s="132"/>
      <c r="C22" s="132"/>
      <c r="D22" s="549" t="s">
        <v>580</v>
      </c>
      <c r="E22" s="497">
        <v>239.31040831000001</v>
      </c>
      <c r="F22" s="497">
        <v>247.19300000000001</v>
      </c>
      <c r="G22" s="497">
        <v>254.7</v>
      </c>
    </row>
    <row r="23" spans="1:7" s="130" customFormat="1" ht="13.5" customHeight="1">
      <c r="A23" s="351"/>
      <c r="B23" s="132"/>
      <c r="C23" s="132"/>
      <c r="D23" s="549" t="s">
        <v>579</v>
      </c>
      <c r="E23" s="497">
        <v>422.71798646000002</v>
      </c>
      <c r="F23" s="497">
        <v>493.93299999999999</v>
      </c>
      <c r="G23" s="497">
        <v>506.68700000000001</v>
      </c>
    </row>
    <row r="24" spans="1:7" s="130" customFormat="1" ht="13.5" customHeight="1">
      <c r="A24" s="351"/>
      <c r="B24" s="132"/>
      <c r="C24" s="132"/>
      <c r="D24" s="549" t="s">
        <v>578</v>
      </c>
      <c r="E24" s="497">
        <v>81.612235229999996</v>
      </c>
      <c r="F24" s="497">
        <v>60.472999999999999</v>
      </c>
      <c r="G24" s="497">
        <v>78.905000000000001</v>
      </c>
    </row>
    <row r="25" spans="1:7" s="130" customFormat="1" ht="13.5" customHeight="1">
      <c r="A25" s="351"/>
      <c r="B25" s="132"/>
      <c r="C25" s="132"/>
      <c r="D25" s="549" t="s">
        <v>577</v>
      </c>
      <c r="E25" s="497">
        <v>80.097425040000005</v>
      </c>
      <c r="F25" s="497">
        <v>87.652000000000001</v>
      </c>
      <c r="G25" s="497">
        <v>54.37</v>
      </c>
    </row>
    <row r="26" spans="1:7" s="130" customFormat="1" ht="13.5" customHeight="1">
      <c r="A26" s="351"/>
      <c r="B26" s="132"/>
      <c r="C26" s="132"/>
      <c r="D26" s="549" t="s">
        <v>576</v>
      </c>
      <c r="E26" s="497">
        <v>424.28572327000001</v>
      </c>
      <c r="F26" s="497">
        <v>471.37799999999999</v>
      </c>
      <c r="G26" s="497">
        <v>491.67700000000002</v>
      </c>
    </row>
    <row r="27" spans="1:7" s="130" customFormat="1" ht="13.5" customHeight="1">
      <c r="A27" s="351"/>
      <c r="B27" s="132"/>
      <c r="C27" s="132"/>
      <c r="D27" s="549" t="s">
        <v>575</v>
      </c>
      <c r="E27" s="497">
        <v>38.313084140000001</v>
      </c>
      <c r="F27" s="497">
        <v>55.185000000000002</v>
      </c>
      <c r="G27" s="497">
        <v>49.139000000000003</v>
      </c>
    </row>
    <row r="28" spans="1:7" s="130" customFormat="1" ht="13.5" customHeight="1">
      <c r="A28" s="351"/>
      <c r="B28" s="132"/>
      <c r="C28" s="132"/>
      <c r="D28" s="549" t="s">
        <v>574</v>
      </c>
      <c r="E28" s="497">
        <v>1186.7767411100001</v>
      </c>
      <c r="F28" s="497">
        <v>1186.202</v>
      </c>
      <c r="G28" s="497">
        <v>1253.625</v>
      </c>
    </row>
    <row r="29" spans="1:7" s="130" customFormat="1" ht="13.5" customHeight="1">
      <c r="A29" s="351"/>
      <c r="B29" s="132"/>
      <c r="C29" s="132"/>
      <c r="D29" s="549" t="s">
        <v>573</v>
      </c>
      <c r="E29" s="497">
        <v>1263.46829632</v>
      </c>
      <c r="F29" s="497">
        <v>764.06</v>
      </c>
      <c r="G29" s="497">
        <v>747.303</v>
      </c>
    </row>
    <row r="30" spans="1:7" s="130" customFormat="1" ht="13.5" customHeight="1">
      <c r="A30" s="351"/>
      <c r="B30" s="132"/>
      <c r="C30" s="132" t="s">
        <v>572</v>
      </c>
      <c r="D30" s="549"/>
      <c r="E30" s="497">
        <f t="shared" ref="E30:G30" si="2">SUM(E31:E35)</f>
        <v>54937.010595380001</v>
      </c>
      <c r="F30" s="497">
        <f t="shared" si="2"/>
        <v>55639.561999999991</v>
      </c>
      <c r="G30" s="497">
        <f t="shared" si="2"/>
        <v>58583.281000000003</v>
      </c>
    </row>
    <row r="31" spans="1:7" s="130" customFormat="1" ht="13.5" customHeight="1">
      <c r="A31" s="351"/>
      <c r="B31" s="132"/>
      <c r="C31" s="132"/>
      <c r="D31" s="549" t="s">
        <v>571</v>
      </c>
      <c r="E31" s="497">
        <v>29498.63161882</v>
      </c>
      <c r="F31" s="497">
        <v>29940.482</v>
      </c>
      <c r="G31" s="497">
        <v>30798.102999999999</v>
      </c>
    </row>
    <row r="32" spans="1:7" s="130" customFormat="1" ht="13.5" customHeight="1">
      <c r="A32" s="351"/>
      <c r="B32" s="132"/>
      <c r="C32" s="132"/>
      <c r="D32" s="549" t="s">
        <v>570</v>
      </c>
      <c r="E32" s="497">
        <v>591.48821955999995</v>
      </c>
      <c r="F32" s="497">
        <v>600.53499999999997</v>
      </c>
      <c r="G32" s="497">
        <v>591.42499999999995</v>
      </c>
    </row>
    <row r="33" spans="1:7" s="130" customFormat="1" ht="13.5" customHeight="1">
      <c r="A33" s="351"/>
      <c r="B33" s="132"/>
      <c r="C33" s="132"/>
      <c r="D33" s="549" t="s">
        <v>569</v>
      </c>
      <c r="E33" s="497">
        <v>8671.9632562299994</v>
      </c>
      <c r="F33" s="497">
        <v>10165.704</v>
      </c>
      <c r="G33" s="497">
        <f>11580.876+30.477</f>
        <v>11611.353000000001</v>
      </c>
    </row>
    <row r="34" spans="1:7" s="130" customFormat="1" ht="13.5" customHeight="1">
      <c r="A34" s="351"/>
      <c r="B34" s="132"/>
      <c r="C34" s="132"/>
      <c r="D34" s="549" t="s">
        <v>568</v>
      </c>
      <c r="E34" s="497">
        <v>14498.82517575</v>
      </c>
      <c r="F34" s="497">
        <v>14613.232</v>
      </c>
      <c r="G34" s="497">
        <f>9099.65+6100.197</f>
        <v>15199.847</v>
      </c>
    </row>
    <row r="35" spans="1:7" s="130" customFormat="1" ht="13.5" customHeight="1">
      <c r="A35" s="351"/>
      <c r="B35" s="132"/>
      <c r="C35" s="132"/>
      <c r="D35" s="549" t="s">
        <v>567</v>
      </c>
      <c r="E35" s="497">
        <v>1676.1023250200001</v>
      </c>
      <c r="F35" s="497">
        <v>319.60899999999998</v>
      </c>
      <c r="G35" s="497">
        <v>382.553</v>
      </c>
    </row>
    <row r="36" spans="1:7" s="130" customFormat="1" ht="13.5" customHeight="1">
      <c r="A36" s="351"/>
      <c r="B36" s="132"/>
      <c r="C36" s="132" t="s">
        <v>566</v>
      </c>
      <c r="D36" s="549"/>
      <c r="E36" s="497">
        <v>7910.8389999999999</v>
      </c>
      <c r="F36" s="497">
        <v>7060.009</v>
      </c>
      <c r="G36" s="497">
        <v>6038.7330000000002</v>
      </c>
    </row>
    <row r="37" spans="1:7" s="552" customFormat="1" ht="21" customHeight="1" collapsed="1">
      <c r="A37" s="492"/>
      <c r="B37" s="492"/>
      <c r="C37" s="492" t="s">
        <v>565</v>
      </c>
      <c r="D37" s="492"/>
      <c r="E37" s="498">
        <f t="shared" ref="E37:G37" si="3">E6+E14+E30+E36</f>
        <v>78931.977438110014</v>
      </c>
      <c r="F37" s="498">
        <f t="shared" si="3"/>
        <v>78674.654999999999</v>
      </c>
      <c r="G37" s="498">
        <f t="shared" si="3"/>
        <v>81216.66</v>
      </c>
    </row>
    <row r="38" spans="1:7">
      <c r="A38" s="553"/>
      <c r="B38" s="124"/>
      <c r="C38" s="124"/>
      <c r="D38" s="554"/>
      <c r="E38" s="499"/>
      <c r="F38" s="499"/>
      <c r="G38" s="499"/>
    </row>
    <row r="39" spans="1:7" ht="14.25">
      <c r="A39" s="132" t="s">
        <v>168</v>
      </c>
      <c r="B39" s="124"/>
      <c r="C39" s="124"/>
      <c r="D39" s="554"/>
      <c r="E39" s="499"/>
      <c r="F39" s="499"/>
      <c r="G39" s="499"/>
    </row>
    <row r="40" spans="1:7">
      <c r="A40" s="553"/>
      <c r="B40" s="124"/>
      <c r="C40" s="124"/>
      <c r="D40" s="554"/>
      <c r="E40" s="499"/>
      <c r="F40" s="499"/>
      <c r="G40" s="499"/>
    </row>
    <row r="41" spans="1:7">
      <c r="A41" s="553"/>
      <c r="B41" s="124"/>
      <c r="C41" s="124"/>
      <c r="D41" s="554"/>
      <c r="E41" s="499"/>
      <c r="F41" s="499"/>
      <c r="G41" s="499"/>
    </row>
    <row r="42" spans="1:7">
      <c r="A42" s="553"/>
      <c r="B42" s="124"/>
      <c r="C42" s="124"/>
      <c r="D42" s="554"/>
      <c r="E42" s="499"/>
      <c r="F42" s="499"/>
      <c r="G42" s="499"/>
    </row>
    <row r="43" spans="1:7">
      <c r="A43" s="553"/>
      <c r="B43" s="124"/>
      <c r="C43" s="124"/>
      <c r="D43" s="554"/>
      <c r="E43" s="499"/>
      <c r="F43" s="499"/>
      <c r="G43" s="499"/>
    </row>
    <row r="44" spans="1:7">
      <c r="A44" s="553"/>
      <c r="B44" s="124"/>
      <c r="C44" s="124"/>
      <c r="D44" s="554"/>
      <c r="E44" s="499"/>
      <c r="F44" s="499"/>
      <c r="G44" s="499"/>
    </row>
    <row r="45" spans="1:7">
      <c r="D45" s="551"/>
      <c r="E45" s="412"/>
      <c r="F45" s="412"/>
      <c r="G45" s="412"/>
    </row>
    <row r="46" spans="1:7">
      <c r="E46" s="412"/>
      <c r="F46" s="412"/>
      <c r="G46" s="412"/>
    </row>
  </sheetData>
  <pageMargins left="0.25" right="0.25" top="0.75" bottom="0.75" header="0.3" footer="0.3"/>
  <pageSetup paperSize="9" orientation="portrait" r:id="rId1"/>
  <ignoredErrors>
    <ignoredError sqref="E30:F30" formulaRange="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tabColor rgb="FF92D050"/>
    <pageSetUpPr fitToPage="1"/>
  </sheetPr>
  <dimension ref="A1:IC26"/>
  <sheetViews>
    <sheetView workbookViewId="0"/>
  </sheetViews>
  <sheetFormatPr baseColWidth="10" defaultRowHeight="12.75"/>
  <cols>
    <col min="1" max="1" width="34.5703125" style="126" customWidth="1"/>
    <col min="2" max="2" width="7.7109375" style="399" customWidth="1"/>
    <col min="3" max="4" width="7.7109375" style="122" customWidth="1"/>
    <col min="5" max="5" width="8.140625" style="122" customWidth="1"/>
    <col min="6" max="8" width="8" style="122" customWidth="1"/>
    <col min="9" max="237" width="11.42578125" style="122"/>
    <col min="238" max="238" width="35.28515625" style="122" customWidth="1"/>
    <col min="239" max="245" width="0" style="122" hidden="1" customWidth="1"/>
    <col min="246" max="248" width="9.140625" style="122" bestFit="1" customWidth="1"/>
    <col min="249" max="254" width="9.5703125" style="122" customWidth="1"/>
    <col min="255" max="493" width="11.42578125" style="122"/>
    <col min="494" max="494" width="35.28515625" style="122" customWidth="1"/>
    <col min="495" max="501" width="0" style="122" hidden="1" customWidth="1"/>
    <col min="502" max="504" width="9.140625" style="122" bestFit="1" customWidth="1"/>
    <col min="505" max="510" width="9.5703125" style="122" customWidth="1"/>
    <col min="511" max="749" width="11.42578125" style="122"/>
    <col min="750" max="750" width="35.28515625" style="122" customWidth="1"/>
    <col min="751" max="757" width="0" style="122" hidden="1" customWidth="1"/>
    <col min="758" max="760" width="9.140625" style="122" bestFit="1" customWidth="1"/>
    <col min="761" max="766" width="9.5703125" style="122" customWidth="1"/>
    <col min="767" max="1005" width="11.42578125" style="122"/>
    <col min="1006" max="1006" width="35.28515625" style="122" customWidth="1"/>
    <col min="1007" max="1013" width="0" style="122" hidden="1" customWidth="1"/>
    <col min="1014" max="1016" width="9.140625" style="122" bestFit="1" customWidth="1"/>
    <col min="1017" max="1022" width="9.5703125" style="122" customWidth="1"/>
    <col min="1023" max="1261" width="11.42578125" style="122"/>
    <col min="1262" max="1262" width="35.28515625" style="122" customWidth="1"/>
    <col min="1263" max="1269" width="0" style="122" hidden="1" customWidth="1"/>
    <col min="1270" max="1272" width="9.140625" style="122" bestFit="1" customWidth="1"/>
    <col min="1273" max="1278" width="9.5703125" style="122" customWidth="1"/>
    <col min="1279" max="1517" width="11.42578125" style="122"/>
    <col min="1518" max="1518" width="35.28515625" style="122" customWidth="1"/>
    <col min="1519" max="1525" width="0" style="122" hidden="1" customWidth="1"/>
    <col min="1526" max="1528" width="9.140625" style="122" bestFit="1" customWidth="1"/>
    <col min="1529" max="1534" width="9.5703125" style="122" customWidth="1"/>
    <col min="1535" max="1773" width="11.42578125" style="122"/>
    <col min="1774" max="1774" width="35.28515625" style="122" customWidth="1"/>
    <col min="1775" max="1781" width="0" style="122" hidden="1" customWidth="1"/>
    <col min="1782" max="1784" width="9.140625" style="122" bestFit="1" customWidth="1"/>
    <col min="1785" max="1790" width="9.5703125" style="122" customWidth="1"/>
    <col min="1791" max="2029" width="11.42578125" style="122"/>
    <col min="2030" max="2030" width="35.28515625" style="122" customWidth="1"/>
    <col min="2031" max="2037" width="0" style="122" hidden="1" customWidth="1"/>
    <col min="2038" max="2040" width="9.140625" style="122" bestFit="1" customWidth="1"/>
    <col min="2041" max="2046" width="9.5703125" style="122" customWidth="1"/>
    <col min="2047" max="2285" width="11.42578125" style="122"/>
    <col min="2286" max="2286" width="35.28515625" style="122" customWidth="1"/>
    <col min="2287" max="2293" width="0" style="122" hidden="1" customWidth="1"/>
    <col min="2294" max="2296" width="9.140625" style="122" bestFit="1" customWidth="1"/>
    <col min="2297" max="2302" width="9.5703125" style="122" customWidth="1"/>
    <col min="2303" max="2541" width="11.42578125" style="122"/>
    <col min="2542" max="2542" width="35.28515625" style="122" customWidth="1"/>
    <col min="2543" max="2549" width="0" style="122" hidden="1" customWidth="1"/>
    <col min="2550" max="2552" width="9.140625" style="122" bestFit="1" customWidth="1"/>
    <col min="2553" max="2558" width="9.5703125" style="122" customWidth="1"/>
    <col min="2559" max="2797" width="11.42578125" style="122"/>
    <col min="2798" max="2798" width="35.28515625" style="122" customWidth="1"/>
    <col min="2799" max="2805" width="0" style="122" hidden="1" customWidth="1"/>
    <col min="2806" max="2808" width="9.140625" style="122" bestFit="1" customWidth="1"/>
    <col min="2809" max="2814" width="9.5703125" style="122" customWidth="1"/>
    <col min="2815" max="3053" width="11.42578125" style="122"/>
    <col min="3054" max="3054" width="35.28515625" style="122" customWidth="1"/>
    <col min="3055" max="3061" width="0" style="122" hidden="1" customWidth="1"/>
    <col min="3062" max="3064" width="9.140625" style="122" bestFit="1" customWidth="1"/>
    <col min="3065" max="3070" width="9.5703125" style="122" customWidth="1"/>
    <col min="3071" max="3309" width="11.42578125" style="122"/>
    <col min="3310" max="3310" width="35.28515625" style="122" customWidth="1"/>
    <col min="3311" max="3317" width="0" style="122" hidden="1" customWidth="1"/>
    <col min="3318" max="3320" width="9.140625" style="122" bestFit="1" customWidth="1"/>
    <col min="3321" max="3326" width="9.5703125" style="122" customWidth="1"/>
    <col min="3327" max="3565" width="11.42578125" style="122"/>
    <col min="3566" max="3566" width="35.28515625" style="122" customWidth="1"/>
    <col min="3567" max="3573" width="0" style="122" hidden="1" customWidth="1"/>
    <col min="3574" max="3576" width="9.140625" style="122" bestFit="1" customWidth="1"/>
    <col min="3577" max="3582" width="9.5703125" style="122" customWidth="1"/>
    <col min="3583" max="3821" width="11.42578125" style="122"/>
    <col min="3822" max="3822" width="35.28515625" style="122" customWidth="1"/>
    <col min="3823" max="3829" width="0" style="122" hidden="1" customWidth="1"/>
    <col min="3830" max="3832" width="9.140625" style="122" bestFit="1" customWidth="1"/>
    <col min="3833" max="3838" width="9.5703125" style="122" customWidth="1"/>
    <col min="3839" max="4077" width="11.42578125" style="122"/>
    <col min="4078" max="4078" width="35.28515625" style="122" customWidth="1"/>
    <col min="4079" max="4085" width="0" style="122" hidden="1" customWidth="1"/>
    <col min="4086" max="4088" width="9.140625" style="122" bestFit="1" customWidth="1"/>
    <col min="4089" max="4094" width="9.5703125" style="122" customWidth="1"/>
    <col min="4095" max="4333" width="11.42578125" style="122"/>
    <col min="4334" max="4334" width="35.28515625" style="122" customWidth="1"/>
    <col min="4335" max="4341" width="0" style="122" hidden="1" customWidth="1"/>
    <col min="4342" max="4344" width="9.140625" style="122" bestFit="1" customWidth="1"/>
    <col min="4345" max="4350" width="9.5703125" style="122" customWidth="1"/>
    <col min="4351" max="4589" width="11.42578125" style="122"/>
    <col min="4590" max="4590" width="35.28515625" style="122" customWidth="1"/>
    <col min="4591" max="4597" width="0" style="122" hidden="1" customWidth="1"/>
    <col min="4598" max="4600" width="9.140625" style="122" bestFit="1" customWidth="1"/>
    <col min="4601" max="4606" width="9.5703125" style="122" customWidth="1"/>
    <col min="4607" max="4845" width="11.42578125" style="122"/>
    <col min="4846" max="4846" width="35.28515625" style="122" customWidth="1"/>
    <col min="4847" max="4853" width="0" style="122" hidden="1" customWidth="1"/>
    <col min="4854" max="4856" width="9.140625" style="122" bestFit="1" customWidth="1"/>
    <col min="4857" max="4862" width="9.5703125" style="122" customWidth="1"/>
    <col min="4863" max="5101" width="11.42578125" style="122"/>
    <col min="5102" max="5102" width="35.28515625" style="122" customWidth="1"/>
    <col min="5103" max="5109" width="0" style="122" hidden="1" customWidth="1"/>
    <col min="5110" max="5112" width="9.140625" style="122" bestFit="1" customWidth="1"/>
    <col min="5113" max="5118" width="9.5703125" style="122" customWidth="1"/>
    <col min="5119" max="5357" width="11.42578125" style="122"/>
    <col min="5358" max="5358" width="35.28515625" style="122" customWidth="1"/>
    <col min="5359" max="5365" width="0" style="122" hidden="1" customWidth="1"/>
    <col min="5366" max="5368" width="9.140625" style="122" bestFit="1" customWidth="1"/>
    <col min="5369" max="5374" width="9.5703125" style="122" customWidth="1"/>
    <col min="5375" max="5613" width="11.42578125" style="122"/>
    <col min="5614" max="5614" width="35.28515625" style="122" customWidth="1"/>
    <col min="5615" max="5621" width="0" style="122" hidden="1" customWidth="1"/>
    <col min="5622" max="5624" width="9.140625" style="122" bestFit="1" customWidth="1"/>
    <col min="5625" max="5630" width="9.5703125" style="122" customWidth="1"/>
    <col min="5631" max="5869" width="11.42578125" style="122"/>
    <col min="5870" max="5870" width="35.28515625" style="122" customWidth="1"/>
    <col min="5871" max="5877" width="0" style="122" hidden="1" customWidth="1"/>
    <col min="5878" max="5880" width="9.140625" style="122" bestFit="1" customWidth="1"/>
    <col min="5881" max="5886" width="9.5703125" style="122" customWidth="1"/>
    <col min="5887" max="6125" width="11.42578125" style="122"/>
    <col min="6126" max="6126" width="35.28515625" style="122" customWidth="1"/>
    <col min="6127" max="6133" width="0" style="122" hidden="1" customWidth="1"/>
    <col min="6134" max="6136" width="9.140625" style="122" bestFit="1" customWidth="1"/>
    <col min="6137" max="6142" width="9.5703125" style="122" customWidth="1"/>
    <col min="6143" max="6381" width="11.42578125" style="122"/>
    <col min="6382" max="6382" width="35.28515625" style="122" customWidth="1"/>
    <col min="6383" max="6389" width="0" style="122" hidden="1" customWidth="1"/>
    <col min="6390" max="6392" width="9.140625" style="122" bestFit="1" customWidth="1"/>
    <col min="6393" max="6398" width="9.5703125" style="122" customWidth="1"/>
    <col min="6399" max="6637" width="11.42578125" style="122"/>
    <col min="6638" max="6638" width="35.28515625" style="122" customWidth="1"/>
    <col min="6639" max="6645" width="0" style="122" hidden="1" customWidth="1"/>
    <col min="6646" max="6648" width="9.140625" style="122" bestFit="1" customWidth="1"/>
    <col min="6649" max="6654" width="9.5703125" style="122" customWidth="1"/>
    <col min="6655" max="6893" width="11.42578125" style="122"/>
    <col min="6894" max="6894" width="35.28515625" style="122" customWidth="1"/>
    <col min="6895" max="6901" width="0" style="122" hidden="1" customWidth="1"/>
    <col min="6902" max="6904" width="9.140625" style="122" bestFit="1" customWidth="1"/>
    <col min="6905" max="6910" width="9.5703125" style="122" customWidth="1"/>
    <col min="6911" max="7149" width="11.42578125" style="122"/>
    <col min="7150" max="7150" width="35.28515625" style="122" customWidth="1"/>
    <col min="7151" max="7157" width="0" style="122" hidden="1" customWidth="1"/>
    <col min="7158" max="7160" width="9.140625" style="122" bestFit="1" customWidth="1"/>
    <col min="7161" max="7166" width="9.5703125" style="122" customWidth="1"/>
    <col min="7167" max="7405" width="11.42578125" style="122"/>
    <col min="7406" max="7406" width="35.28515625" style="122" customWidth="1"/>
    <col min="7407" max="7413" width="0" style="122" hidden="1" customWidth="1"/>
    <col min="7414" max="7416" width="9.140625" style="122" bestFit="1" customWidth="1"/>
    <col min="7417" max="7422" width="9.5703125" style="122" customWidth="1"/>
    <col min="7423" max="7661" width="11.42578125" style="122"/>
    <col min="7662" max="7662" width="35.28515625" style="122" customWidth="1"/>
    <col min="7663" max="7669" width="0" style="122" hidden="1" customWidth="1"/>
    <col min="7670" max="7672" width="9.140625" style="122" bestFit="1" customWidth="1"/>
    <col min="7673" max="7678" width="9.5703125" style="122" customWidth="1"/>
    <col min="7679" max="7917" width="11.42578125" style="122"/>
    <col min="7918" max="7918" width="35.28515625" style="122" customWidth="1"/>
    <col min="7919" max="7925" width="0" style="122" hidden="1" customWidth="1"/>
    <col min="7926" max="7928" width="9.140625" style="122" bestFit="1" customWidth="1"/>
    <col min="7929" max="7934" width="9.5703125" style="122" customWidth="1"/>
    <col min="7935" max="8173" width="11.42578125" style="122"/>
    <col min="8174" max="8174" width="35.28515625" style="122" customWidth="1"/>
    <col min="8175" max="8181" width="0" style="122" hidden="1" customWidth="1"/>
    <col min="8182" max="8184" width="9.140625" style="122" bestFit="1" customWidth="1"/>
    <col min="8185" max="8190" width="9.5703125" style="122" customWidth="1"/>
    <col min="8191" max="8429" width="11.42578125" style="122"/>
    <col min="8430" max="8430" width="35.28515625" style="122" customWidth="1"/>
    <col min="8431" max="8437" width="0" style="122" hidden="1" customWidth="1"/>
    <col min="8438" max="8440" width="9.140625" style="122" bestFit="1" customWidth="1"/>
    <col min="8441" max="8446" width="9.5703125" style="122" customWidth="1"/>
    <col min="8447" max="8685" width="11.42578125" style="122"/>
    <col min="8686" max="8686" width="35.28515625" style="122" customWidth="1"/>
    <col min="8687" max="8693" width="0" style="122" hidden="1" customWidth="1"/>
    <col min="8694" max="8696" width="9.140625" style="122" bestFit="1" customWidth="1"/>
    <col min="8697" max="8702" width="9.5703125" style="122" customWidth="1"/>
    <col min="8703" max="8941" width="11.42578125" style="122"/>
    <col min="8942" max="8942" width="35.28515625" style="122" customWidth="1"/>
    <col min="8943" max="8949" width="0" style="122" hidden="1" customWidth="1"/>
    <col min="8950" max="8952" width="9.140625" style="122" bestFit="1" customWidth="1"/>
    <col min="8953" max="8958" width="9.5703125" style="122" customWidth="1"/>
    <col min="8959" max="9197" width="11.42578125" style="122"/>
    <col min="9198" max="9198" width="35.28515625" style="122" customWidth="1"/>
    <col min="9199" max="9205" width="0" style="122" hidden="1" customWidth="1"/>
    <col min="9206" max="9208" width="9.140625" style="122" bestFit="1" customWidth="1"/>
    <col min="9209" max="9214" width="9.5703125" style="122" customWidth="1"/>
    <col min="9215" max="9453" width="11.42578125" style="122"/>
    <col min="9454" max="9454" width="35.28515625" style="122" customWidth="1"/>
    <col min="9455" max="9461" width="0" style="122" hidden="1" customWidth="1"/>
    <col min="9462" max="9464" width="9.140625" style="122" bestFit="1" customWidth="1"/>
    <col min="9465" max="9470" width="9.5703125" style="122" customWidth="1"/>
    <col min="9471" max="9709" width="11.42578125" style="122"/>
    <col min="9710" max="9710" width="35.28515625" style="122" customWidth="1"/>
    <col min="9711" max="9717" width="0" style="122" hidden="1" customWidth="1"/>
    <col min="9718" max="9720" width="9.140625" style="122" bestFit="1" customWidth="1"/>
    <col min="9721" max="9726" width="9.5703125" style="122" customWidth="1"/>
    <col min="9727" max="9965" width="11.42578125" style="122"/>
    <col min="9966" max="9966" width="35.28515625" style="122" customWidth="1"/>
    <col min="9967" max="9973" width="0" style="122" hidden="1" customWidth="1"/>
    <col min="9974" max="9976" width="9.140625" style="122" bestFit="1" customWidth="1"/>
    <col min="9977" max="9982" width="9.5703125" style="122" customWidth="1"/>
    <col min="9983" max="10221" width="11.42578125" style="122"/>
    <col min="10222" max="10222" width="35.28515625" style="122" customWidth="1"/>
    <col min="10223" max="10229" width="0" style="122" hidden="1" customWidth="1"/>
    <col min="10230" max="10232" width="9.140625" style="122" bestFit="1" customWidth="1"/>
    <col min="10233" max="10238" width="9.5703125" style="122" customWidth="1"/>
    <col min="10239" max="10477" width="11.42578125" style="122"/>
    <col min="10478" max="10478" width="35.28515625" style="122" customWidth="1"/>
    <col min="10479" max="10485" width="0" style="122" hidden="1" customWidth="1"/>
    <col min="10486" max="10488" width="9.140625" style="122" bestFit="1" customWidth="1"/>
    <col min="10489" max="10494" width="9.5703125" style="122" customWidth="1"/>
    <col min="10495" max="10733" width="11.42578125" style="122"/>
    <col min="10734" max="10734" width="35.28515625" style="122" customWidth="1"/>
    <col min="10735" max="10741" width="0" style="122" hidden="1" customWidth="1"/>
    <col min="10742" max="10744" width="9.140625" style="122" bestFit="1" customWidth="1"/>
    <col min="10745" max="10750" width="9.5703125" style="122" customWidth="1"/>
    <col min="10751" max="10989" width="11.42578125" style="122"/>
    <col min="10990" max="10990" width="35.28515625" style="122" customWidth="1"/>
    <col min="10991" max="10997" width="0" style="122" hidden="1" customWidth="1"/>
    <col min="10998" max="11000" width="9.140625" style="122" bestFit="1" customWidth="1"/>
    <col min="11001" max="11006" width="9.5703125" style="122" customWidth="1"/>
    <col min="11007" max="11245" width="11.42578125" style="122"/>
    <col min="11246" max="11246" width="35.28515625" style="122" customWidth="1"/>
    <col min="11247" max="11253" width="0" style="122" hidden="1" customWidth="1"/>
    <col min="11254" max="11256" width="9.140625" style="122" bestFit="1" customWidth="1"/>
    <col min="11257" max="11262" width="9.5703125" style="122" customWidth="1"/>
    <col min="11263" max="11501" width="11.42578125" style="122"/>
    <col min="11502" max="11502" width="35.28515625" style="122" customWidth="1"/>
    <col min="11503" max="11509" width="0" style="122" hidden="1" customWidth="1"/>
    <col min="11510" max="11512" width="9.140625" style="122" bestFit="1" customWidth="1"/>
    <col min="11513" max="11518" width="9.5703125" style="122" customWidth="1"/>
    <col min="11519" max="11757" width="11.42578125" style="122"/>
    <col min="11758" max="11758" width="35.28515625" style="122" customWidth="1"/>
    <col min="11759" max="11765" width="0" style="122" hidden="1" customWidth="1"/>
    <col min="11766" max="11768" width="9.140625" style="122" bestFit="1" customWidth="1"/>
    <col min="11769" max="11774" width="9.5703125" style="122" customWidth="1"/>
    <col min="11775" max="12013" width="11.42578125" style="122"/>
    <col min="12014" max="12014" width="35.28515625" style="122" customWidth="1"/>
    <col min="12015" max="12021" width="0" style="122" hidden="1" customWidth="1"/>
    <col min="12022" max="12024" width="9.140625" style="122" bestFit="1" customWidth="1"/>
    <col min="12025" max="12030" width="9.5703125" style="122" customWidth="1"/>
    <col min="12031" max="12269" width="11.42578125" style="122"/>
    <col min="12270" max="12270" width="35.28515625" style="122" customWidth="1"/>
    <col min="12271" max="12277" width="0" style="122" hidden="1" customWidth="1"/>
    <col min="12278" max="12280" width="9.140625" style="122" bestFit="1" customWidth="1"/>
    <col min="12281" max="12286" width="9.5703125" style="122" customWidth="1"/>
    <col min="12287" max="12525" width="11.42578125" style="122"/>
    <col min="12526" max="12526" width="35.28515625" style="122" customWidth="1"/>
    <col min="12527" max="12533" width="0" style="122" hidden="1" customWidth="1"/>
    <col min="12534" max="12536" width="9.140625" style="122" bestFit="1" customWidth="1"/>
    <col min="12537" max="12542" width="9.5703125" style="122" customWidth="1"/>
    <col min="12543" max="12781" width="11.42578125" style="122"/>
    <col min="12782" max="12782" width="35.28515625" style="122" customWidth="1"/>
    <col min="12783" max="12789" width="0" style="122" hidden="1" customWidth="1"/>
    <col min="12790" max="12792" width="9.140625" style="122" bestFit="1" customWidth="1"/>
    <col min="12793" max="12798" width="9.5703125" style="122" customWidth="1"/>
    <col min="12799" max="13037" width="11.42578125" style="122"/>
    <col min="13038" max="13038" width="35.28515625" style="122" customWidth="1"/>
    <col min="13039" max="13045" width="0" style="122" hidden="1" customWidth="1"/>
    <col min="13046" max="13048" width="9.140625" style="122" bestFit="1" customWidth="1"/>
    <col min="13049" max="13054" width="9.5703125" style="122" customWidth="1"/>
    <col min="13055" max="13293" width="11.42578125" style="122"/>
    <col min="13294" max="13294" width="35.28515625" style="122" customWidth="1"/>
    <col min="13295" max="13301" width="0" style="122" hidden="1" customWidth="1"/>
    <col min="13302" max="13304" width="9.140625" style="122" bestFit="1" customWidth="1"/>
    <col min="13305" max="13310" width="9.5703125" style="122" customWidth="1"/>
    <col min="13311" max="13549" width="11.42578125" style="122"/>
    <col min="13550" max="13550" width="35.28515625" style="122" customWidth="1"/>
    <col min="13551" max="13557" width="0" style="122" hidden="1" customWidth="1"/>
    <col min="13558" max="13560" width="9.140625" style="122" bestFit="1" customWidth="1"/>
    <col min="13561" max="13566" width="9.5703125" style="122" customWidth="1"/>
    <col min="13567" max="13805" width="11.42578125" style="122"/>
    <col min="13806" max="13806" width="35.28515625" style="122" customWidth="1"/>
    <col min="13807" max="13813" width="0" style="122" hidden="1" customWidth="1"/>
    <col min="13814" max="13816" width="9.140625" style="122" bestFit="1" customWidth="1"/>
    <col min="13817" max="13822" width="9.5703125" style="122" customWidth="1"/>
    <col min="13823" max="14061" width="11.42578125" style="122"/>
    <col min="14062" max="14062" width="35.28515625" style="122" customWidth="1"/>
    <col min="14063" max="14069" width="0" style="122" hidden="1" customWidth="1"/>
    <col min="14070" max="14072" width="9.140625" style="122" bestFit="1" customWidth="1"/>
    <col min="14073" max="14078" width="9.5703125" style="122" customWidth="1"/>
    <col min="14079" max="14317" width="11.42578125" style="122"/>
    <col min="14318" max="14318" width="35.28515625" style="122" customWidth="1"/>
    <col min="14319" max="14325" width="0" style="122" hidden="1" customWidth="1"/>
    <col min="14326" max="14328" width="9.140625" style="122" bestFit="1" customWidth="1"/>
    <col min="14329" max="14334" width="9.5703125" style="122" customWidth="1"/>
    <col min="14335" max="14573" width="11.42578125" style="122"/>
    <col min="14574" max="14574" width="35.28515625" style="122" customWidth="1"/>
    <col min="14575" max="14581" width="0" style="122" hidden="1" customWidth="1"/>
    <col min="14582" max="14584" width="9.140625" style="122" bestFit="1" customWidth="1"/>
    <col min="14585" max="14590" width="9.5703125" style="122" customWidth="1"/>
    <col min="14591" max="14829" width="11.42578125" style="122"/>
    <col min="14830" max="14830" width="35.28515625" style="122" customWidth="1"/>
    <col min="14831" max="14837" width="0" style="122" hidden="1" customWidth="1"/>
    <col min="14838" max="14840" width="9.140625" style="122" bestFit="1" customWidth="1"/>
    <col min="14841" max="14846" width="9.5703125" style="122" customWidth="1"/>
    <col min="14847" max="15085" width="11.42578125" style="122"/>
    <col min="15086" max="15086" width="35.28515625" style="122" customWidth="1"/>
    <col min="15087" max="15093" width="0" style="122" hidden="1" customWidth="1"/>
    <col min="15094" max="15096" width="9.140625" style="122" bestFit="1" customWidth="1"/>
    <col min="15097" max="15102" width="9.5703125" style="122" customWidth="1"/>
    <col min="15103" max="15341" width="11.42578125" style="122"/>
    <col min="15342" max="15342" width="35.28515625" style="122" customWidth="1"/>
    <col min="15343" max="15349" width="0" style="122" hidden="1" customWidth="1"/>
    <col min="15350" max="15352" width="9.140625" style="122" bestFit="1" customWidth="1"/>
    <col min="15353" max="15358" width="9.5703125" style="122" customWidth="1"/>
    <col min="15359" max="15597" width="11.42578125" style="122"/>
    <col min="15598" max="15598" width="35.28515625" style="122" customWidth="1"/>
    <col min="15599" max="15605" width="0" style="122" hidden="1" customWidth="1"/>
    <col min="15606" max="15608" width="9.140625" style="122" bestFit="1" customWidth="1"/>
    <col min="15609" max="15614" width="9.5703125" style="122" customWidth="1"/>
    <col min="15615" max="15853" width="11.42578125" style="122"/>
    <col min="15854" max="15854" width="35.28515625" style="122" customWidth="1"/>
    <col min="15855" max="15861" width="0" style="122" hidden="1" customWidth="1"/>
    <col min="15862" max="15864" width="9.140625" style="122" bestFit="1" customWidth="1"/>
    <col min="15865" max="15870" width="9.5703125" style="122" customWidth="1"/>
    <col min="15871" max="16109" width="11.42578125" style="122"/>
    <col min="16110" max="16110" width="35.28515625" style="122" customWidth="1"/>
    <col min="16111" max="16117" width="0" style="122" hidden="1" customWidth="1"/>
    <col min="16118" max="16120" width="9.140625" style="122" bestFit="1" customWidth="1"/>
    <col min="16121" max="16126" width="9.5703125" style="122" customWidth="1"/>
    <col min="16127" max="16384" width="11.42578125" style="122"/>
  </cols>
  <sheetData>
    <row r="1" spans="1:237" s="1" customFormat="1" ht="15">
      <c r="A1" s="155" t="s">
        <v>1010</v>
      </c>
      <c r="B1" s="140"/>
      <c r="C1" s="140"/>
      <c r="D1" s="140"/>
      <c r="E1" s="140"/>
      <c r="F1" s="250"/>
      <c r="G1" s="140"/>
      <c r="H1" s="140"/>
      <c r="I1" s="140"/>
      <c r="J1" s="140"/>
      <c r="K1" s="140"/>
      <c r="L1" s="140"/>
      <c r="M1" s="140"/>
      <c r="N1" s="140"/>
      <c r="O1" s="250"/>
      <c r="P1" s="250"/>
      <c r="Q1" s="250"/>
      <c r="R1" s="140"/>
      <c r="S1" s="140"/>
      <c r="T1" s="140"/>
      <c r="U1" s="140"/>
      <c r="V1" s="140"/>
      <c r="W1" s="140"/>
      <c r="X1" s="140"/>
      <c r="Y1" s="140"/>
      <c r="Z1" s="140"/>
      <c r="AA1" s="250"/>
      <c r="AB1" s="250"/>
      <c r="AC1" s="250"/>
      <c r="AD1" s="140"/>
      <c r="AE1" s="140"/>
      <c r="AF1" s="140"/>
      <c r="AG1" s="140"/>
      <c r="AH1" s="140"/>
      <c r="AI1" s="140"/>
      <c r="AJ1" s="140"/>
      <c r="AK1" s="140"/>
      <c r="AL1" s="140"/>
      <c r="AM1" s="250"/>
      <c r="AN1" s="250"/>
      <c r="AO1" s="250"/>
      <c r="AP1" s="140"/>
      <c r="AQ1" s="140"/>
      <c r="AR1" s="140"/>
      <c r="AS1" s="140"/>
      <c r="AT1" s="140"/>
      <c r="AU1" s="140"/>
      <c r="AV1" s="140"/>
      <c r="AW1" s="140"/>
      <c r="AX1" s="140"/>
      <c r="AY1" s="250"/>
      <c r="AZ1" s="250"/>
      <c r="BA1" s="250"/>
      <c r="BB1" s="140"/>
      <c r="BC1" s="140"/>
      <c r="BD1" s="140"/>
      <c r="BE1" s="140"/>
      <c r="BF1" s="140"/>
      <c r="BG1" s="140"/>
      <c r="BH1" s="140"/>
      <c r="BI1" s="140"/>
      <c r="BJ1" s="140"/>
      <c r="BK1" s="250"/>
      <c r="BL1" s="250"/>
      <c r="BM1" s="250"/>
      <c r="BN1" s="140"/>
      <c r="BO1" s="140"/>
      <c r="BP1" s="140"/>
      <c r="BQ1" s="140"/>
      <c r="BR1" s="140"/>
      <c r="BS1" s="140"/>
      <c r="BT1" s="140"/>
      <c r="BU1" s="140"/>
      <c r="BV1" s="140"/>
      <c r="BW1" s="250"/>
      <c r="BX1" s="250"/>
      <c r="BY1" s="250"/>
      <c r="BZ1" s="140"/>
      <c r="CA1" s="140"/>
      <c r="CB1" s="140"/>
      <c r="CC1" s="140"/>
      <c r="CD1" s="140"/>
      <c r="CE1" s="140"/>
      <c r="CF1" s="140"/>
      <c r="CG1" s="140"/>
      <c r="CH1" s="140"/>
      <c r="CI1" s="250"/>
      <c r="CJ1" s="250"/>
      <c r="CK1" s="250"/>
      <c r="CL1" s="140"/>
      <c r="CM1" s="140"/>
      <c r="CN1" s="140"/>
      <c r="CO1" s="140"/>
      <c r="CP1" s="140"/>
      <c r="CQ1" s="140"/>
      <c r="CR1" s="140"/>
      <c r="CS1" s="140"/>
      <c r="CT1" s="140"/>
      <c r="CU1" s="250"/>
      <c r="CV1" s="250"/>
      <c r="CW1" s="250"/>
      <c r="CX1" s="140"/>
      <c r="CY1" s="140"/>
      <c r="CZ1" s="140"/>
      <c r="DA1" s="140"/>
      <c r="DB1" s="140"/>
      <c r="DC1" s="140"/>
      <c r="DD1" s="140"/>
      <c r="DE1" s="140"/>
      <c r="DF1" s="140"/>
      <c r="DG1" s="250"/>
      <c r="DH1" s="250"/>
      <c r="DI1" s="250"/>
      <c r="DJ1" s="140"/>
      <c r="DK1" s="140"/>
      <c r="DL1" s="140"/>
      <c r="DM1" s="140"/>
      <c r="DN1" s="140"/>
      <c r="DO1" s="140"/>
      <c r="DP1" s="140"/>
      <c r="DQ1" s="140"/>
      <c r="DR1" s="140"/>
      <c r="DS1" s="250"/>
      <c r="DT1" s="250"/>
      <c r="DU1" s="250"/>
      <c r="DV1" s="140"/>
      <c r="DW1" s="140"/>
      <c r="DX1" s="140"/>
      <c r="DY1" s="140"/>
      <c r="DZ1" s="140"/>
      <c r="EA1" s="140"/>
      <c r="EB1" s="140"/>
      <c r="EC1" s="140"/>
      <c r="ED1" s="140"/>
      <c r="EE1" s="250"/>
      <c r="EF1" s="250"/>
      <c r="EG1" s="250"/>
      <c r="EH1" s="140"/>
      <c r="EI1" s="140"/>
      <c r="EJ1" s="140"/>
      <c r="EK1" s="140"/>
      <c r="EL1" s="140"/>
      <c r="EM1" s="140"/>
      <c r="EN1" s="140"/>
      <c r="EO1" s="140"/>
      <c r="EP1" s="140"/>
      <c r="EQ1" s="250"/>
      <c r="ER1" s="250"/>
      <c r="ES1" s="250"/>
      <c r="ET1" s="140"/>
      <c r="EU1" s="140"/>
      <c r="EV1" s="140"/>
      <c r="EW1" s="140"/>
      <c r="EX1" s="140"/>
      <c r="EY1" s="140"/>
      <c r="EZ1" s="140"/>
      <c r="FA1" s="140"/>
      <c r="FB1" s="140"/>
      <c r="FC1" s="250"/>
      <c r="FD1" s="250"/>
      <c r="FE1" s="250"/>
      <c r="FF1" s="140"/>
      <c r="FG1" s="140"/>
      <c r="FH1" s="140"/>
      <c r="FI1" s="140"/>
      <c r="FJ1" s="140"/>
      <c r="FK1" s="140"/>
      <c r="FL1" s="140"/>
      <c r="FM1" s="140"/>
      <c r="FN1" s="140"/>
      <c r="FO1" s="250"/>
      <c r="FP1" s="250"/>
      <c r="FQ1" s="250"/>
      <c r="FR1" s="140"/>
      <c r="FS1" s="140"/>
      <c r="FT1" s="140"/>
      <c r="FU1" s="140"/>
      <c r="FV1" s="140"/>
      <c r="FW1" s="140"/>
      <c r="FX1" s="140"/>
      <c r="FY1" s="140"/>
      <c r="FZ1" s="140"/>
      <c r="GA1" s="250"/>
      <c r="GB1" s="250"/>
      <c r="GC1" s="250"/>
      <c r="GD1" s="140"/>
      <c r="GE1" s="140"/>
      <c r="GF1" s="140"/>
      <c r="GG1" s="140"/>
      <c r="GH1" s="140"/>
      <c r="GI1" s="140"/>
      <c r="GJ1" s="140"/>
      <c r="GK1" s="140"/>
      <c r="GL1" s="140"/>
      <c r="GM1" s="250"/>
      <c r="GN1" s="250"/>
      <c r="GO1" s="250"/>
      <c r="GP1" s="140"/>
      <c r="GQ1" s="140"/>
      <c r="GR1" s="140"/>
      <c r="GS1" s="140"/>
      <c r="GT1" s="140"/>
      <c r="GU1" s="140"/>
      <c r="GV1" s="140"/>
      <c r="GW1" s="140"/>
      <c r="GX1" s="140"/>
      <c r="GY1" s="250"/>
      <c r="GZ1" s="250"/>
      <c r="HA1" s="250"/>
      <c r="HB1" s="140"/>
      <c r="HC1" s="140"/>
      <c r="HD1" s="140"/>
      <c r="HE1" s="140"/>
      <c r="HF1" s="140"/>
      <c r="HG1" s="140"/>
      <c r="HH1" s="140"/>
      <c r="HI1" s="140"/>
      <c r="HJ1" s="140"/>
      <c r="HK1" s="250"/>
      <c r="HL1" s="250"/>
      <c r="HM1" s="250"/>
      <c r="HN1" s="140"/>
      <c r="HO1" s="140"/>
      <c r="HP1" s="140"/>
      <c r="HQ1" s="140"/>
      <c r="HR1" s="140"/>
      <c r="HS1" s="140"/>
      <c r="HT1" s="140"/>
      <c r="HU1" s="140"/>
      <c r="HV1" s="140"/>
      <c r="HW1" s="250"/>
      <c r="HX1" s="250"/>
      <c r="HY1" s="250"/>
      <c r="HZ1" s="140"/>
      <c r="IA1" s="140"/>
      <c r="IB1" s="140"/>
      <c r="IC1" s="140"/>
    </row>
    <row r="2" spans="1:237" s="6" customFormat="1" ht="15">
      <c r="A2" s="152" t="s">
        <v>35</v>
      </c>
      <c r="B2" s="251"/>
      <c r="C2" s="251"/>
      <c r="D2" s="150"/>
      <c r="E2" s="150"/>
      <c r="F2" s="252"/>
      <c r="G2" s="251"/>
      <c r="H2" s="251"/>
      <c r="I2" s="251"/>
      <c r="J2" s="251"/>
      <c r="K2" s="251"/>
      <c r="L2" s="150"/>
      <c r="M2" s="150"/>
      <c r="N2" s="150"/>
      <c r="O2" s="252"/>
      <c r="P2" s="252"/>
      <c r="Q2" s="252"/>
      <c r="R2" s="251"/>
      <c r="S2" s="251"/>
      <c r="T2" s="251"/>
      <c r="U2" s="251"/>
      <c r="V2" s="251"/>
      <c r="W2" s="251"/>
      <c r="X2" s="150"/>
      <c r="Y2" s="150"/>
      <c r="Z2" s="150"/>
      <c r="AA2" s="252"/>
      <c r="AB2" s="252"/>
      <c r="AC2" s="252"/>
      <c r="AD2" s="251"/>
      <c r="AE2" s="251"/>
      <c r="AF2" s="251"/>
      <c r="AG2" s="251"/>
      <c r="AH2" s="251"/>
      <c r="AI2" s="251"/>
      <c r="AJ2" s="150"/>
      <c r="AK2" s="150"/>
      <c r="AL2" s="150"/>
      <c r="AM2" s="252"/>
      <c r="AN2" s="252"/>
      <c r="AO2" s="252"/>
      <c r="AP2" s="251"/>
      <c r="AQ2" s="251"/>
      <c r="AR2" s="251"/>
      <c r="AS2" s="251"/>
      <c r="AT2" s="251"/>
      <c r="AU2" s="251"/>
      <c r="AV2" s="150"/>
      <c r="AW2" s="150"/>
      <c r="AX2" s="150"/>
      <c r="AY2" s="252"/>
      <c r="AZ2" s="252"/>
      <c r="BA2" s="252"/>
      <c r="BB2" s="251"/>
      <c r="BC2" s="251"/>
      <c r="BD2" s="251"/>
      <c r="BE2" s="251"/>
      <c r="BF2" s="251"/>
      <c r="BG2" s="251"/>
      <c r="BH2" s="150"/>
      <c r="BI2" s="150"/>
      <c r="BJ2" s="150"/>
      <c r="BK2" s="252"/>
      <c r="BL2" s="252"/>
      <c r="BM2" s="252"/>
      <c r="BN2" s="251"/>
      <c r="BO2" s="251"/>
      <c r="BP2" s="251"/>
      <c r="BQ2" s="251"/>
      <c r="BR2" s="251"/>
      <c r="BS2" s="251"/>
      <c r="BT2" s="150"/>
      <c r="BU2" s="150"/>
      <c r="BV2" s="150"/>
      <c r="BW2" s="252"/>
      <c r="BX2" s="252"/>
      <c r="BY2" s="252"/>
      <c r="BZ2" s="251"/>
      <c r="CA2" s="251"/>
      <c r="CB2" s="251"/>
      <c r="CC2" s="251"/>
      <c r="CD2" s="251"/>
      <c r="CE2" s="251"/>
      <c r="CF2" s="150"/>
      <c r="CG2" s="150"/>
      <c r="CH2" s="150"/>
      <c r="CI2" s="252"/>
      <c r="CJ2" s="252"/>
      <c r="CK2" s="252"/>
      <c r="CL2" s="251"/>
      <c r="CM2" s="251"/>
      <c r="CN2" s="251"/>
      <c r="CO2" s="251"/>
      <c r="CP2" s="251"/>
      <c r="CQ2" s="251"/>
      <c r="CR2" s="150"/>
      <c r="CS2" s="150"/>
      <c r="CT2" s="150"/>
      <c r="CU2" s="252"/>
      <c r="CV2" s="252"/>
      <c r="CW2" s="252"/>
      <c r="CX2" s="251"/>
      <c r="CY2" s="251"/>
      <c r="CZ2" s="251"/>
      <c r="DA2" s="251"/>
      <c r="DB2" s="251"/>
      <c r="DC2" s="251"/>
      <c r="DD2" s="150"/>
      <c r="DE2" s="150"/>
      <c r="DF2" s="150"/>
      <c r="DG2" s="252"/>
      <c r="DH2" s="252"/>
      <c r="DI2" s="252"/>
      <c r="DJ2" s="251"/>
      <c r="DK2" s="251"/>
      <c r="DL2" s="251"/>
      <c r="DM2" s="251"/>
      <c r="DN2" s="251"/>
      <c r="DO2" s="251"/>
      <c r="DP2" s="150"/>
      <c r="DQ2" s="150"/>
      <c r="DR2" s="150"/>
      <c r="DS2" s="252"/>
      <c r="DT2" s="252"/>
      <c r="DU2" s="252"/>
      <c r="DV2" s="251"/>
      <c r="DW2" s="251"/>
      <c r="DX2" s="251"/>
      <c r="DY2" s="251"/>
      <c r="DZ2" s="251"/>
      <c r="EA2" s="251"/>
      <c r="EB2" s="150"/>
      <c r="EC2" s="150"/>
      <c r="ED2" s="150"/>
      <c r="EE2" s="252"/>
      <c r="EF2" s="252"/>
      <c r="EG2" s="252"/>
      <c r="EH2" s="251"/>
      <c r="EI2" s="251"/>
      <c r="EJ2" s="251"/>
      <c r="EK2" s="251"/>
      <c r="EL2" s="251"/>
      <c r="EM2" s="251"/>
      <c r="EN2" s="150"/>
      <c r="EO2" s="150"/>
      <c r="EP2" s="150"/>
      <c r="EQ2" s="252"/>
      <c r="ER2" s="252"/>
      <c r="ES2" s="252"/>
      <c r="ET2" s="251"/>
      <c r="EU2" s="251"/>
      <c r="EV2" s="251"/>
      <c r="EW2" s="251"/>
      <c r="EX2" s="251"/>
      <c r="EY2" s="251"/>
      <c r="EZ2" s="150"/>
      <c r="FA2" s="150"/>
      <c r="FB2" s="150"/>
      <c r="FC2" s="252"/>
      <c r="FD2" s="252"/>
      <c r="FE2" s="252"/>
      <c r="FF2" s="251"/>
      <c r="FG2" s="251"/>
      <c r="FH2" s="251"/>
      <c r="FI2" s="251"/>
      <c r="FJ2" s="251"/>
      <c r="FK2" s="251"/>
      <c r="FL2" s="150"/>
      <c r="FM2" s="150"/>
      <c r="FN2" s="150"/>
      <c r="FO2" s="252"/>
      <c r="FP2" s="252"/>
      <c r="FQ2" s="252"/>
      <c r="FR2" s="251"/>
      <c r="FS2" s="251"/>
      <c r="FT2" s="251"/>
      <c r="FU2" s="251"/>
      <c r="FV2" s="251"/>
      <c r="FW2" s="251"/>
      <c r="FX2" s="150"/>
      <c r="FY2" s="150"/>
      <c r="FZ2" s="150"/>
      <c r="GA2" s="252"/>
      <c r="GB2" s="252"/>
      <c r="GC2" s="252"/>
      <c r="GD2" s="251"/>
      <c r="GE2" s="251"/>
      <c r="GF2" s="251"/>
      <c r="GG2" s="251"/>
      <c r="GH2" s="251"/>
      <c r="GI2" s="251"/>
      <c r="GJ2" s="150"/>
      <c r="GK2" s="150"/>
      <c r="GL2" s="150"/>
      <c r="GM2" s="252"/>
      <c r="GN2" s="252"/>
      <c r="GO2" s="252"/>
      <c r="GP2" s="251"/>
      <c r="GQ2" s="251"/>
      <c r="GR2" s="251"/>
      <c r="GS2" s="251"/>
      <c r="GT2" s="251"/>
      <c r="GU2" s="251"/>
      <c r="GV2" s="150"/>
      <c r="GW2" s="150"/>
      <c r="GX2" s="150"/>
      <c r="GY2" s="252"/>
      <c r="GZ2" s="252"/>
      <c r="HA2" s="252"/>
      <c r="HB2" s="251"/>
      <c r="HC2" s="251"/>
      <c r="HD2" s="251"/>
      <c r="HE2" s="251"/>
      <c r="HF2" s="251"/>
      <c r="HG2" s="251"/>
      <c r="HH2" s="150"/>
      <c r="HI2" s="150"/>
      <c r="HJ2" s="150"/>
      <c r="HK2" s="252"/>
      <c r="HL2" s="252"/>
      <c r="HM2" s="252"/>
      <c r="HN2" s="251"/>
      <c r="HO2" s="251"/>
      <c r="HP2" s="251"/>
      <c r="HQ2" s="251"/>
      <c r="HR2" s="251"/>
      <c r="HS2" s="251"/>
      <c r="HT2" s="150"/>
      <c r="HU2" s="150"/>
      <c r="HV2" s="150"/>
      <c r="HW2" s="252"/>
      <c r="HX2" s="252"/>
      <c r="HY2" s="252"/>
      <c r="HZ2" s="251"/>
      <c r="IA2" s="251"/>
      <c r="IB2" s="251"/>
      <c r="IC2" s="251"/>
    </row>
    <row r="3" spans="1:237" s="2" customFormat="1" ht="11.25" customHeight="1">
      <c r="A3" s="253"/>
      <c r="B3" s="253"/>
      <c r="C3" s="253"/>
      <c r="D3" s="254"/>
      <c r="E3" s="254"/>
      <c r="F3" s="255"/>
      <c r="G3" s="253"/>
      <c r="H3" s="253"/>
      <c r="I3" s="253"/>
      <c r="J3" s="253"/>
      <c r="K3" s="253"/>
      <c r="L3" s="254"/>
      <c r="M3" s="254"/>
      <c r="N3" s="254"/>
      <c r="O3" s="255"/>
      <c r="P3" s="255"/>
      <c r="Q3" s="255"/>
      <c r="R3" s="253"/>
      <c r="S3" s="253"/>
      <c r="T3" s="253"/>
      <c r="U3" s="253"/>
      <c r="V3" s="253"/>
      <c r="W3" s="253"/>
      <c r="X3" s="254"/>
      <c r="Y3" s="254"/>
      <c r="Z3" s="254"/>
      <c r="AA3" s="255"/>
      <c r="AB3" s="255"/>
      <c r="AC3" s="255"/>
      <c r="AD3" s="253"/>
      <c r="AE3" s="253"/>
      <c r="AF3" s="253"/>
      <c r="AG3" s="253"/>
      <c r="AH3" s="253"/>
      <c r="AI3" s="253"/>
      <c r="AJ3" s="254"/>
      <c r="AK3" s="254"/>
      <c r="AL3" s="254"/>
      <c r="AM3" s="255"/>
      <c r="AN3" s="255"/>
      <c r="AO3" s="255"/>
      <c r="AP3" s="253"/>
      <c r="AQ3" s="253"/>
      <c r="AR3" s="253"/>
      <c r="AS3" s="253"/>
      <c r="AT3" s="253"/>
      <c r="AU3" s="253"/>
      <c r="AV3" s="254"/>
      <c r="AW3" s="254"/>
      <c r="AX3" s="254"/>
      <c r="AY3" s="255"/>
      <c r="AZ3" s="255"/>
      <c r="BA3" s="255"/>
      <c r="BB3" s="253"/>
      <c r="BC3" s="253"/>
      <c r="BD3" s="253"/>
      <c r="BE3" s="253"/>
      <c r="BF3" s="253"/>
      <c r="BG3" s="253"/>
      <c r="BH3" s="254"/>
      <c r="BI3" s="254"/>
      <c r="BJ3" s="254"/>
      <c r="BK3" s="255"/>
      <c r="BL3" s="255"/>
      <c r="BM3" s="255"/>
      <c r="BN3" s="253"/>
      <c r="BO3" s="253"/>
      <c r="BP3" s="253"/>
      <c r="BQ3" s="253"/>
      <c r="BR3" s="253"/>
      <c r="BS3" s="253"/>
      <c r="BT3" s="254"/>
      <c r="BU3" s="254"/>
      <c r="BV3" s="254"/>
      <c r="BW3" s="255"/>
      <c r="BX3" s="255"/>
      <c r="BY3" s="255"/>
      <c r="BZ3" s="253"/>
      <c r="CA3" s="253"/>
      <c r="CB3" s="253"/>
      <c r="CC3" s="253"/>
      <c r="CD3" s="253"/>
      <c r="CE3" s="253"/>
      <c r="CF3" s="254"/>
      <c r="CG3" s="254"/>
      <c r="CH3" s="254"/>
      <c r="CI3" s="255"/>
      <c r="CJ3" s="255"/>
      <c r="CK3" s="255"/>
      <c r="CL3" s="253"/>
      <c r="CM3" s="253"/>
      <c r="CN3" s="253"/>
      <c r="CO3" s="253"/>
      <c r="CP3" s="253"/>
      <c r="CQ3" s="253"/>
      <c r="CR3" s="254"/>
      <c r="CS3" s="254"/>
      <c r="CT3" s="254"/>
      <c r="CU3" s="255"/>
      <c r="CV3" s="255"/>
      <c r="CW3" s="255"/>
      <c r="CX3" s="253"/>
      <c r="CY3" s="253"/>
      <c r="CZ3" s="253"/>
      <c r="DA3" s="253"/>
      <c r="DB3" s="253"/>
      <c r="DC3" s="253"/>
      <c r="DD3" s="254"/>
      <c r="DE3" s="254"/>
      <c r="DF3" s="254"/>
      <c r="DG3" s="255"/>
      <c r="DH3" s="255"/>
      <c r="DI3" s="255"/>
      <c r="DJ3" s="253"/>
      <c r="DK3" s="253"/>
      <c r="DL3" s="253"/>
      <c r="DM3" s="253"/>
      <c r="DN3" s="253"/>
      <c r="DO3" s="253"/>
      <c r="DP3" s="254"/>
      <c r="DQ3" s="254"/>
      <c r="DR3" s="254"/>
      <c r="DS3" s="255"/>
      <c r="DT3" s="255"/>
      <c r="DU3" s="255"/>
      <c r="DV3" s="253"/>
      <c r="DW3" s="253"/>
      <c r="DX3" s="253"/>
      <c r="DY3" s="253"/>
      <c r="DZ3" s="253"/>
      <c r="EA3" s="253"/>
      <c r="EB3" s="254"/>
      <c r="EC3" s="254"/>
      <c r="ED3" s="254"/>
      <c r="EE3" s="255"/>
      <c r="EF3" s="255"/>
      <c r="EG3" s="255"/>
      <c r="EH3" s="253"/>
      <c r="EI3" s="253"/>
      <c r="EJ3" s="253"/>
      <c r="EK3" s="253"/>
      <c r="EL3" s="253"/>
      <c r="EM3" s="253"/>
      <c r="EN3" s="254"/>
      <c r="EO3" s="254"/>
      <c r="EP3" s="254"/>
      <c r="EQ3" s="255"/>
      <c r="ER3" s="255"/>
      <c r="ES3" s="255"/>
      <c r="ET3" s="253"/>
      <c r="EU3" s="253"/>
      <c r="EV3" s="253"/>
      <c r="EW3" s="253"/>
      <c r="EX3" s="253"/>
      <c r="EY3" s="253"/>
      <c r="EZ3" s="254"/>
      <c r="FA3" s="254"/>
      <c r="FB3" s="254"/>
      <c r="FC3" s="255"/>
      <c r="FD3" s="255"/>
      <c r="FE3" s="255"/>
      <c r="FF3" s="253"/>
      <c r="FG3" s="253"/>
      <c r="FH3" s="253"/>
      <c r="FI3" s="253"/>
      <c r="FJ3" s="253"/>
      <c r="FK3" s="253"/>
      <c r="FL3" s="254"/>
      <c r="FM3" s="254"/>
      <c r="FN3" s="254"/>
      <c r="FO3" s="255"/>
      <c r="FP3" s="255"/>
      <c r="FQ3" s="255"/>
      <c r="FR3" s="253"/>
      <c r="FS3" s="253"/>
      <c r="FT3" s="253"/>
      <c r="FU3" s="253"/>
      <c r="FV3" s="253"/>
      <c r="FW3" s="253"/>
      <c r="FX3" s="254"/>
      <c r="FY3" s="254"/>
      <c r="FZ3" s="254"/>
      <c r="GA3" s="255"/>
      <c r="GB3" s="255"/>
      <c r="GC3" s="255"/>
      <c r="GD3" s="253"/>
      <c r="GE3" s="253"/>
      <c r="GF3" s="253"/>
      <c r="GG3" s="253"/>
      <c r="GH3" s="253"/>
      <c r="GI3" s="253"/>
      <c r="GJ3" s="254"/>
      <c r="GK3" s="254"/>
      <c r="GL3" s="254"/>
      <c r="GM3" s="255"/>
      <c r="GN3" s="255"/>
      <c r="GO3" s="255"/>
      <c r="GP3" s="253"/>
      <c r="GQ3" s="253"/>
      <c r="GR3" s="253"/>
      <c r="GS3" s="253"/>
      <c r="GT3" s="253"/>
      <c r="GU3" s="253"/>
      <c r="GV3" s="254"/>
      <c r="GW3" s="254"/>
      <c r="GX3" s="254"/>
      <c r="GY3" s="255"/>
      <c r="GZ3" s="255"/>
      <c r="HA3" s="255"/>
      <c r="HB3" s="253"/>
      <c r="HC3" s="253"/>
      <c r="HD3" s="253"/>
      <c r="HE3" s="253"/>
      <c r="HF3" s="253"/>
      <c r="HG3" s="253"/>
      <c r="HH3" s="254"/>
      <c r="HI3" s="254"/>
      <c r="HJ3" s="254"/>
      <c r="HK3" s="255"/>
      <c r="HL3" s="255"/>
      <c r="HM3" s="255"/>
      <c r="HN3" s="253"/>
      <c r="HO3" s="253"/>
      <c r="HP3" s="253"/>
      <c r="HQ3" s="253"/>
      <c r="HR3" s="253"/>
      <c r="HS3" s="253"/>
      <c r="HT3" s="254"/>
      <c r="HU3" s="254"/>
      <c r="HV3" s="254"/>
      <c r="HW3" s="255"/>
      <c r="HX3" s="255"/>
      <c r="HY3" s="255"/>
      <c r="HZ3" s="253"/>
      <c r="IA3" s="253"/>
      <c r="IB3" s="253"/>
      <c r="IC3" s="253"/>
    </row>
    <row r="4" spans="1:237" s="3" customFormat="1" ht="34.5" customHeight="1">
      <c r="A4" s="256"/>
      <c r="B4" s="257">
        <v>2010</v>
      </c>
      <c r="C4" s="343">
        <v>2011</v>
      </c>
      <c r="D4" s="343">
        <v>2012</v>
      </c>
      <c r="E4" s="343">
        <v>2013</v>
      </c>
      <c r="F4" s="343">
        <v>2014</v>
      </c>
      <c r="G4" s="343" t="s">
        <v>939</v>
      </c>
      <c r="H4" s="343" t="s">
        <v>1056</v>
      </c>
      <c r="I4" s="259"/>
      <c r="J4" s="259"/>
      <c r="K4" s="259"/>
      <c r="L4" s="258"/>
      <c r="M4" s="258"/>
      <c r="N4" s="259"/>
      <c r="O4" s="259"/>
      <c r="P4" s="259"/>
      <c r="Q4" s="258"/>
      <c r="R4" s="260"/>
      <c r="S4" s="258"/>
      <c r="T4" s="258"/>
      <c r="U4" s="259"/>
      <c r="V4" s="259"/>
      <c r="W4" s="259"/>
      <c r="X4" s="258"/>
      <c r="Y4" s="258"/>
      <c r="Z4" s="259"/>
      <c r="AA4" s="259"/>
      <c r="AB4" s="259"/>
      <c r="AC4" s="258"/>
      <c r="AD4" s="260"/>
      <c r="AE4" s="258"/>
      <c r="AF4" s="258"/>
      <c r="AG4" s="259"/>
      <c r="AH4" s="259"/>
      <c r="AI4" s="259"/>
      <c r="AJ4" s="258"/>
      <c r="AK4" s="258"/>
      <c r="AL4" s="259"/>
      <c r="AM4" s="259"/>
      <c r="AN4" s="259"/>
      <c r="AO4" s="258"/>
      <c r="AP4" s="260"/>
      <c r="AQ4" s="258"/>
      <c r="AR4" s="258"/>
      <c r="AS4" s="259"/>
      <c r="AT4" s="259"/>
      <c r="AU4" s="259"/>
      <c r="AV4" s="258"/>
      <c r="AW4" s="258"/>
      <c r="AX4" s="259"/>
      <c r="AY4" s="259"/>
      <c r="AZ4" s="259"/>
      <c r="BA4" s="258"/>
      <c r="BB4" s="260"/>
      <c r="BC4" s="258"/>
      <c r="BD4" s="258"/>
      <c r="BE4" s="259"/>
      <c r="BF4" s="259"/>
      <c r="BG4" s="259"/>
      <c r="BH4" s="258"/>
      <c r="BI4" s="258"/>
      <c r="BJ4" s="259"/>
      <c r="BK4" s="259"/>
      <c r="BL4" s="259"/>
      <c r="BM4" s="258"/>
      <c r="BN4" s="260"/>
      <c r="BO4" s="258"/>
      <c r="BP4" s="258"/>
      <c r="BQ4" s="259"/>
      <c r="BR4" s="259"/>
      <c r="BS4" s="259"/>
      <c r="BT4" s="258"/>
      <c r="BU4" s="258"/>
      <c r="BV4" s="259"/>
      <c r="BW4" s="259"/>
      <c r="BX4" s="259"/>
      <c r="BY4" s="258"/>
      <c r="BZ4" s="260"/>
      <c r="CA4" s="258"/>
      <c r="CB4" s="258"/>
      <c r="CC4" s="259"/>
      <c r="CD4" s="259"/>
      <c r="CE4" s="259"/>
      <c r="CF4" s="258"/>
      <c r="CG4" s="258"/>
      <c r="CH4" s="259"/>
      <c r="CI4" s="259"/>
      <c r="CJ4" s="259"/>
      <c r="CK4" s="258"/>
      <c r="CL4" s="260"/>
      <c r="CM4" s="258"/>
      <c r="CN4" s="258"/>
      <c r="CO4" s="259"/>
      <c r="CP4" s="259"/>
      <c r="CQ4" s="259"/>
      <c r="CR4" s="258"/>
      <c r="CS4" s="258"/>
      <c r="CT4" s="259"/>
      <c r="CU4" s="259"/>
      <c r="CV4" s="259"/>
      <c r="CW4" s="258"/>
      <c r="CX4" s="260"/>
      <c r="CY4" s="258"/>
      <c r="CZ4" s="258"/>
      <c r="DA4" s="259"/>
      <c r="DB4" s="259"/>
      <c r="DC4" s="259"/>
      <c r="DD4" s="258"/>
      <c r="DE4" s="258"/>
      <c r="DF4" s="259"/>
      <c r="DG4" s="259"/>
      <c r="DH4" s="259"/>
      <c r="DI4" s="258"/>
      <c r="DJ4" s="260"/>
      <c r="DK4" s="258"/>
      <c r="DL4" s="258"/>
      <c r="DM4" s="259"/>
      <c r="DN4" s="259"/>
      <c r="DO4" s="259"/>
      <c r="DP4" s="258"/>
      <c r="DQ4" s="258"/>
      <c r="DR4" s="259"/>
      <c r="DS4" s="259"/>
      <c r="DT4" s="259"/>
      <c r="DU4" s="258"/>
      <c r="DV4" s="260"/>
      <c r="DW4" s="258"/>
      <c r="DX4" s="258"/>
      <c r="DY4" s="259"/>
      <c r="DZ4" s="259"/>
      <c r="EA4" s="259"/>
      <c r="EB4" s="258"/>
      <c r="EC4" s="258"/>
      <c r="ED4" s="259"/>
      <c r="EE4" s="259"/>
      <c r="EF4" s="259"/>
      <c r="EG4" s="258"/>
      <c r="EH4" s="260"/>
      <c r="EI4" s="258"/>
      <c r="EJ4" s="258"/>
      <c r="EK4" s="259"/>
      <c r="EL4" s="259"/>
      <c r="EM4" s="259"/>
      <c r="EN4" s="258"/>
      <c r="EO4" s="258"/>
      <c r="EP4" s="259"/>
      <c r="EQ4" s="259"/>
      <c r="ER4" s="259"/>
      <c r="ES4" s="258"/>
      <c r="ET4" s="260"/>
      <c r="EU4" s="258"/>
      <c r="EV4" s="258"/>
      <c r="EW4" s="259"/>
      <c r="EX4" s="259"/>
      <c r="EY4" s="259"/>
      <c r="EZ4" s="258"/>
      <c r="FA4" s="258"/>
      <c r="FB4" s="259"/>
      <c r="FC4" s="259"/>
      <c r="FD4" s="259"/>
      <c r="FE4" s="258"/>
      <c r="FF4" s="260"/>
      <c r="FG4" s="258"/>
      <c r="FH4" s="258"/>
      <c r="FI4" s="259"/>
      <c r="FJ4" s="259"/>
      <c r="FK4" s="259"/>
      <c r="FL4" s="258"/>
      <c r="FM4" s="258"/>
      <c r="FN4" s="259"/>
      <c r="FO4" s="259"/>
      <c r="FP4" s="259"/>
      <c r="FQ4" s="258"/>
      <c r="FR4" s="260"/>
      <c r="FS4" s="258"/>
      <c r="FT4" s="258"/>
      <c r="FU4" s="259"/>
      <c r="FV4" s="259"/>
      <c r="FW4" s="259"/>
      <c r="FX4" s="258"/>
      <c r="FY4" s="258"/>
      <c r="FZ4" s="259"/>
      <c r="GA4" s="259"/>
      <c r="GB4" s="259"/>
      <c r="GC4" s="258"/>
      <c r="GD4" s="260"/>
      <c r="GE4" s="258"/>
      <c r="GF4" s="258"/>
      <c r="GG4" s="259"/>
      <c r="GH4" s="259"/>
      <c r="GI4" s="259"/>
      <c r="GJ4" s="258"/>
      <c r="GK4" s="258"/>
      <c r="GL4" s="259"/>
      <c r="GM4" s="259"/>
      <c r="GN4" s="259"/>
      <c r="GO4" s="258"/>
      <c r="GP4" s="260"/>
      <c r="GQ4" s="258"/>
      <c r="GR4" s="258"/>
      <c r="GS4" s="259"/>
      <c r="GT4" s="259"/>
      <c r="GU4" s="259"/>
      <c r="GV4" s="258"/>
      <c r="GW4" s="258"/>
      <c r="GX4" s="259"/>
      <c r="GY4" s="259"/>
      <c r="GZ4" s="259"/>
      <c r="HA4" s="258"/>
      <c r="HB4" s="260"/>
      <c r="HC4" s="258"/>
      <c r="HD4" s="258"/>
      <c r="HE4" s="259"/>
      <c r="HF4" s="259"/>
      <c r="HG4" s="259"/>
      <c r="HH4" s="258"/>
      <c r="HI4" s="258"/>
      <c r="HJ4" s="259"/>
      <c r="HK4" s="259"/>
      <c r="HL4" s="259"/>
      <c r="HM4" s="258"/>
      <c r="HN4" s="260"/>
      <c r="HO4" s="258"/>
      <c r="HP4" s="258"/>
      <c r="HQ4" s="259"/>
      <c r="HR4" s="259"/>
      <c r="HS4" s="259"/>
      <c r="HT4" s="258"/>
      <c r="HU4" s="258"/>
      <c r="HV4" s="259"/>
      <c r="HW4" s="259"/>
      <c r="HX4" s="259"/>
      <c r="HY4" s="258"/>
      <c r="HZ4" s="260"/>
      <c r="IA4" s="258"/>
      <c r="IB4" s="258"/>
      <c r="IC4" s="259"/>
    </row>
    <row r="5" spans="1:237" s="342" customFormat="1" ht="18.75" customHeight="1">
      <c r="A5" s="344"/>
      <c r="B5" s="345"/>
      <c r="C5" s="331"/>
      <c r="D5" s="331"/>
      <c r="E5" s="512" t="s">
        <v>607</v>
      </c>
      <c r="F5" s="512" t="s">
        <v>607</v>
      </c>
      <c r="G5" s="512" t="s">
        <v>607</v>
      </c>
      <c r="H5" s="512" t="s">
        <v>607</v>
      </c>
    </row>
    <row r="6" spans="1:237" ht="14.25" hidden="1">
      <c r="A6" s="341" t="s">
        <v>930</v>
      </c>
      <c r="B6" s="132"/>
      <c r="C6" s="132"/>
      <c r="D6" s="132"/>
      <c r="E6" s="132"/>
      <c r="F6" s="132"/>
      <c r="G6" s="132"/>
      <c r="H6" s="132"/>
    </row>
    <row r="7" spans="1:237" ht="11.25" customHeight="1">
      <c r="A7" s="170"/>
      <c r="B7" s="132"/>
      <c r="C7" s="132"/>
      <c r="D7" s="132"/>
      <c r="E7" s="132"/>
      <c r="F7" s="132"/>
      <c r="G7" s="132"/>
      <c r="H7" s="132"/>
    </row>
    <row r="8" spans="1:237" ht="14.25">
      <c r="A8" s="452" t="s">
        <v>190</v>
      </c>
      <c r="B8" s="286">
        <v>3447.2820000000002</v>
      </c>
      <c r="C8" s="286">
        <v>3123.8209999999999</v>
      </c>
      <c r="D8" s="286">
        <v>3138.3130000000001</v>
      </c>
      <c r="E8" s="286">
        <v>3166.16</v>
      </c>
      <c r="F8" s="286">
        <v>3131.7653230000001</v>
      </c>
      <c r="G8" s="286">
        <v>3295.4</v>
      </c>
      <c r="H8" s="286">
        <v>3375.85</v>
      </c>
    </row>
    <row r="9" spans="1:237" ht="27">
      <c r="A9" s="346" t="s">
        <v>191</v>
      </c>
      <c r="B9" s="286">
        <v>1154.768</v>
      </c>
      <c r="C9" s="286">
        <v>1182.7550000000001</v>
      </c>
      <c r="D9" s="286">
        <v>1162.328</v>
      </c>
      <c r="E9" s="286">
        <v>1092.337</v>
      </c>
      <c r="F9" s="286">
        <v>1117.615953</v>
      </c>
      <c r="G9" s="286">
        <v>1122.252</v>
      </c>
      <c r="H9" s="286">
        <v>1146.0519999999999</v>
      </c>
    </row>
    <row r="10" spans="1:237" ht="28.5" customHeight="1">
      <c r="A10" s="346" t="s">
        <v>738</v>
      </c>
      <c r="B10" s="286">
        <v>388.81869999999998</v>
      </c>
      <c r="C10" s="286">
        <v>393.32600000000002</v>
      </c>
      <c r="D10" s="286">
        <v>412.85500000000002</v>
      </c>
      <c r="E10" s="286">
        <v>406.75099999999998</v>
      </c>
      <c r="F10" s="286">
        <v>425.78731900000002</v>
      </c>
      <c r="G10" s="286">
        <v>470.64800000000002</v>
      </c>
      <c r="H10" s="286">
        <v>476.32100000000003</v>
      </c>
    </row>
    <row r="11" spans="1:237" ht="14.25">
      <c r="A11" s="452" t="s">
        <v>192</v>
      </c>
      <c r="B11" s="286">
        <v>102.052249</v>
      </c>
      <c r="C11" s="286">
        <v>105.801</v>
      </c>
      <c r="D11" s="286">
        <v>107</v>
      </c>
      <c r="E11" s="286">
        <v>105.801</v>
      </c>
      <c r="F11" s="286">
        <v>105.595069</v>
      </c>
      <c r="G11" s="286">
        <v>110</v>
      </c>
      <c r="H11" s="286">
        <v>108.73099999999999</v>
      </c>
    </row>
    <row r="12" spans="1:237" ht="14.25">
      <c r="A12" s="452" t="s">
        <v>725</v>
      </c>
      <c r="B12" s="286">
        <v>1353.5633049999997</v>
      </c>
      <c r="C12" s="286">
        <v>1407.4249999999993</v>
      </c>
      <c r="D12" s="286">
        <v>1299.7050000000008</v>
      </c>
      <c r="E12" s="286">
        <v>1435.5020000000004</v>
      </c>
      <c r="F12" s="286">
        <v>1578.5323360000002</v>
      </c>
      <c r="G12" s="286">
        <v>1464.7049999999999</v>
      </c>
      <c r="H12" s="286">
        <v>1568.6460000000006</v>
      </c>
    </row>
    <row r="13" spans="1:237" s="146" customFormat="1" ht="16.5" customHeight="1">
      <c r="A13" s="347" t="s">
        <v>865</v>
      </c>
      <c r="B13" s="348">
        <v>6446.484254</v>
      </c>
      <c r="C13" s="348">
        <v>6213.1279999999997</v>
      </c>
      <c r="D13" s="348">
        <v>6120.201</v>
      </c>
      <c r="E13" s="348">
        <v>6206.5510000000004</v>
      </c>
      <c r="F13" s="348">
        <v>6359.2960000000003</v>
      </c>
      <c r="G13" s="348">
        <v>6463.0050000000001</v>
      </c>
      <c r="H13" s="348">
        <v>6675.6</v>
      </c>
    </row>
    <row r="14" spans="1:237" ht="14.25">
      <c r="A14" s="349" t="s">
        <v>866</v>
      </c>
      <c r="B14" s="350">
        <v>5756.5591919999997</v>
      </c>
      <c r="C14" s="350">
        <v>6085.0770000000002</v>
      </c>
      <c r="D14" s="350">
        <v>6303.2049999999999</v>
      </c>
      <c r="E14" s="350">
        <v>6511.2619999999997</v>
      </c>
      <c r="F14" s="350">
        <v>6723.2790000000005</v>
      </c>
      <c r="G14" s="350">
        <v>6928.4129999999996</v>
      </c>
      <c r="H14" s="350">
        <v>6992.491</v>
      </c>
    </row>
    <row r="15" spans="1:237" s="147" customFormat="1" ht="16.5" customHeight="1">
      <c r="A15" s="347" t="s">
        <v>193</v>
      </c>
      <c r="B15" s="348">
        <v>-689.92506200000025</v>
      </c>
      <c r="C15" s="348">
        <v>-128.05099999999948</v>
      </c>
      <c r="D15" s="348">
        <v>183.00399999999991</v>
      </c>
      <c r="E15" s="348">
        <v>304.71099999999933</v>
      </c>
      <c r="F15" s="348">
        <v>363.98300000000017</v>
      </c>
      <c r="G15" s="348">
        <v>465.40799999999945</v>
      </c>
      <c r="H15" s="348">
        <v>316.89099999999962</v>
      </c>
    </row>
    <row r="16" spans="1:237" s="147" customFormat="1" ht="16.5" customHeight="1">
      <c r="A16" s="347"/>
      <c r="B16" s="348"/>
      <c r="C16" s="348"/>
      <c r="D16" s="348"/>
      <c r="E16" s="348"/>
      <c r="F16" s="348"/>
      <c r="G16" s="348"/>
      <c r="H16" s="348"/>
    </row>
    <row r="17" spans="1:8" ht="27">
      <c r="A17" s="349" t="s">
        <v>931</v>
      </c>
      <c r="B17" s="350">
        <v>1806.4</v>
      </c>
      <c r="C17" s="350">
        <v>1767.7</v>
      </c>
      <c r="D17" s="350">
        <v>1765</v>
      </c>
      <c r="E17" s="350">
        <v>1760</v>
      </c>
      <c r="F17" s="350">
        <v>1755</v>
      </c>
      <c r="G17" s="350">
        <v>1762</v>
      </c>
      <c r="H17" s="350">
        <v>1762</v>
      </c>
    </row>
    <row r="18" spans="1:8" ht="12" customHeight="1">
      <c r="A18" s="352"/>
      <c r="B18" s="190"/>
      <c r="C18" s="190"/>
      <c r="D18" s="190"/>
      <c r="E18" s="190"/>
      <c r="F18" s="190"/>
      <c r="G18" s="190"/>
      <c r="H18" s="190"/>
    </row>
    <row r="19" spans="1:8" ht="10.5" customHeight="1">
      <c r="A19" s="141"/>
      <c r="B19" s="130"/>
      <c r="C19" s="130"/>
      <c r="D19" s="130"/>
      <c r="E19" s="130"/>
      <c r="G19" s="130"/>
      <c r="H19" s="130"/>
    </row>
    <row r="20" spans="1:8" ht="15">
      <c r="A20" s="301" t="s">
        <v>199</v>
      </c>
      <c r="B20" s="130"/>
      <c r="C20" s="130"/>
      <c r="D20" s="130"/>
      <c r="E20" s="130"/>
    </row>
    <row r="21" spans="1:8" ht="15">
      <c r="A21" s="301" t="s">
        <v>196</v>
      </c>
      <c r="B21" s="130"/>
      <c r="C21" s="130"/>
      <c r="D21" s="130"/>
      <c r="E21" s="130"/>
    </row>
    <row r="22" spans="1:8" ht="14.25">
      <c r="A22" s="170" t="s">
        <v>197</v>
      </c>
    </row>
    <row r="23" spans="1:8" ht="14.25">
      <c r="A23" s="170" t="s">
        <v>198</v>
      </c>
    </row>
    <row r="24" spans="1:8" ht="28.5" customHeight="1">
      <c r="A24" s="578" t="s">
        <v>867</v>
      </c>
      <c r="B24" s="578"/>
      <c r="C24" s="578"/>
      <c r="D24" s="578"/>
      <c r="E24" s="578"/>
    </row>
    <row r="25" spans="1:8" ht="14.25">
      <c r="A25" s="302" t="s">
        <v>868</v>
      </c>
    </row>
    <row r="26" spans="1:8" ht="32.25" customHeight="1">
      <c r="A26" s="572" t="s">
        <v>718</v>
      </c>
      <c r="B26" s="572"/>
      <c r="C26" s="572"/>
      <c r="D26" s="572"/>
      <c r="E26" s="572"/>
      <c r="F26" s="572"/>
      <c r="G26" s="572"/>
    </row>
  </sheetData>
  <mergeCells count="2">
    <mergeCell ref="A24:E24"/>
    <mergeCell ref="A26:G26"/>
  </mergeCells>
  <printOptions horizontalCentered="1"/>
  <pageMargins left="0.2" right="0.2" top="0.51" bottom="0.28999999999999998" header="0.17" footer="0.18"/>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Q44"/>
  <sheetViews>
    <sheetView zoomScale="90" zoomScaleNormal="90" workbookViewId="0"/>
  </sheetViews>
  <sheetFormatPr baseColWidth="10" defaultColWidth="11.42578125" defaultRowHeight="12.75"/>
  <cols>
    <col min="1" max="1" width="41.7109375" style="431" customWidth="1"/>
    <col min="2" max="9" width="6" style="431" customWidth="1"/>
    <col min="10" max="10" width="1.85546875" style="579" customWidth="1"/>
    <col min="11" max="11" width="2.5703125" style="431" customWidth="1"/>
    <col min="12" max="16384" width="11.42578125" style="431"/>
  </cols>
  <sheetData>
    <row r="1" spans="1:225" s="165" customFormat="1" ht="15">
      <c r="A1" s="155" t="s">
        <v>1011</v>
      </c>
      <c r="B1" s="140"/>
      <c r="C1" s="140"/>
      <c r="D1" s="140"/>
      <c r="E1" s="140"/>
      <c r="F1" s="140"/>
      <c r="G1" s="140"/>
      <c r="H1" s="140"/>
      <c r="I1" s="140"/>
      <c r="J1" s="579"/>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c r="CN1" s="140"/>
      <c r="CO1" s="140"/>
      <c r="CP1" s="140"/>
      <c r="CQ1" s="140"/>
      <c r="CR1" s="140"/>
      <c r="CS1" s="140"/>
      <c r="CT1" s="140"/>
      <c r="CU1" s="140"/>
      <c r="CV1" s="140"/>
      <c r="CW1" s="140"/>
      <c r="CX1" s="140"/>
      <c r="CY1" s="140"/>
      <c r="CZ1" s="140"/>
      <c r="DA1" s="140"/>
      <c r="DB1" s="140"/>
      <c r="DC1" s="140"/>
      <c r="DD1" s="140"/>
      <c r="DE1" s="140"/>
      <c r="DF1" s="140"/>
      <c r="DG1" s="140"/>
      <c r="DH1" s="140"/>
      <c r="DI1" s="140"/>
      <c r="DJ1" s="140"/>
      <c r="DK1" s="140"/>
      <c r="DL1" s="140"/>
      <c r="DM1" s="140"/>
      <c r="DN1" s="140"/>
      <c r="DO1" s="140"/>
      <c r="DP1" s="140"/>
      <c r="DQ1" s="140"/>
      <c r="DR1" s="140"/>
      <c r="DS1" s="140"/>
      <c r="DT1" s="140"/>
      <c r="DU1" s="140"/>
      <c r="DV1" s="140"/>
      <c r="DW1" s="140"/>
      <c r="DX1" s="140"/>
      <c r="DY1" s="140"/>
      <c r="DZ1" s="140"/>
      <c r="EA1" s="140"/>
      <c r="EB1" s="140"/>
      <c r="EC1" s="140"/>
      <c r="ED1" s="140"/>
      <c r="EE1" s="140"/>
      <c r="EF1" s="140"/>
      <c r="EG1" s="140"/>
      <c r="EH1" s="140"/>
      <c r="EI1" s="140"/>
      <c r="EJ1" s="140"/>
      <c r="EK1" s="140"/>
      <c r="EL1" s="140"/>
      <c r="EM1" s="140"/>
      <c r="EN1" s="140"/>
      <c r="EO1" s="140"/>
      <c r="EP1" s="140"/>
      <c r="EQ1" s="140"/>
      <c r="ER1" s="140"/>
      <c r="ES1" s="140"/>
      <c r="ET1" s="140"/>
      <c r="EU1" s="140"/>
      <c r="EV1" s="140"/>
      <c r="EW1" s="140"/>
      <c r="EX1" s="140"/>
      <c r="EY1" s="140"/>
      <c r="EZ1" s="140"/>
      <c r="FA1" s="140"/>
      <c r="FB1" s="140"/>
      <c r="FC1" s="140"/>
      <c r="FD1" s="140"/>
      <c r="FE1" s="140"/>
      <c r="FF1" s="140"/>
      <c r="FG1" s="140"/>
      <c r="FH1" s="140"/>
      <c r="FI1" s="140"/>
      <c r="FJ1" s="140"/>
      <c r="FK1" s="140"/>
      <c r="FL1" s="140"/>
      <c r="FM1" s="140"/>
      <c r="FN1" s="140"/>
      <c r="FO1" s="140"/>
      <c r="FP1" s="140"/>
      <c r="FQ1" s="140"/>
      <c r="FR1" s="140"/>
      <c r="FS1" s="140"/>
      <c r="FT1" s="140"/>
      <c r="FU1" s="140"/>
      <c r="FV1" s="140"/>
      <c r="FW1" s="140"/>
      <c r="FX1" s="140"/>
      <c r="FY1" s="140"/>
      <c r="FZ1" s="140"/>
      <c r="GA1" s="140"/>
      <c r="GB1" s="140"/>
      <c r="GC1" s="140"/>
      <c r="GD1" s="140"/>
      <c r="GE1" s="140"/>
      <c r="GF1" s="140"/>
      <c r="GG1" s="140"/>
      <c r="GH1" s="140"/>
      <c r="GI1" s="140"/>
      <c r="GJ1" s="140"/>
      <c r="GK1" s="140"/>
      <c r="GL1" s="140"/>
      <c r="GM1" s="140"/>
      <c r="GN1" s="140"/>
      <c r="GO1" s="140"/>
      <c r="GP1" s="140"/>
      <c r="GQ1" s="140"/>
      <c r="GR1" s="140"/>
      <c r="GS1" s="140"/>
      <c r="GT1" s="140"/>
      <c r="GU1" s="140"/>
      <c r="GV1" s="140"/>
      <c r="GW1" s="140"/>
      <c r="GX1" s="140"/>
      <c r="GY1" s="140"/>
      <c r="GZ1" s="140"/>
      <c r="HA1" s="140"/>
      <c r="HB1" s="140"/>
      <c r="HC1" s="140"/>
      <c r="HD1" s="140"/>
      <c r="HE1" s="140"/>
      <c r="HF1" s="140"/>
      <c r="HG1" s="140"/>
      <c r="HH1" s="140"/>
      <c r="HI1" s="140"/>
      <c r="HJ1" s="140"/>
      <c r="HK1" s="140"/>
      <c r="HL1" s="140"/>
      <c r="HM1" s="140"/>
      <c r="HN1" s="140"/>
      <c r="HO1" s="140"/>
      <c r="HP1" s="140"/>
      <c r="HQ1" s="140"/>
    </row>
    <row r="2" spans="1:225" s="166" customFormat="1" ht="11.25" customHeight="1">
      <c r="A2" s="251"/>
      <c r="B2" s="150"/>
      <c r="C2" s="150"/>
      <c r="D2" s="150"/>
      <c r="E2" s="150"/>
      <c r="F2" s="150"/>
      <c r="G2" s="150"/>
      <c r="H2" s="150"/>
      <c r="I2" s="150"/>
      <c r="J2" s="579"/>
      <c r="K2" s="251"/>
      <c r="L2" s="150"/>
      <c r="M2" s="150"/>
      <c r="N2" s="150"/>
      <c r="O2" s="150"/>
      <c r="P2" s="150"/>
      <c r="Q2" s="150"/>
      <c r="R2" s="251"/>
      <c r="S2" s="251"/>
      <c r="T2" s="251"/>
      <c r="U2" s="251"/>
      <c r="V2" s="251"/>
      <c r="W2" s="251"/>
      <c r="X2" s="150"/>
      <c r="Y2" s="150"/>
      <c r="Z2" s="150"/>
      <c r="AA2" s="150"/>
      <c r="AB2" s="150"/>
      <c r="AC2" s="150"/>
      <c r="AD2" s="251"/>
      <c r="AE2" s="251"/>
      <c r="AF2" s="251"/>
      <c r="AG2" s="251"/>
      <c r="AH2" s="251"/>
      <c r="AI2" s="251"/>
      <c r="AJ2" s="150"/>
      <c r="AK2" s="150"/>
      <c r="AL2" s="150"/>
      <c r="AM2" s="150"/>
      <c r="AN2" s="150"/>
      <c r="AO2" s="150"/>
      <c r="AP2" s="251"/>
      <c r="AQ2" s="251"/>
      <c r="AR2" s="251"/>
      <c r="AS2" s="251"/>
      <c r="AT2" s="251"/>
      <c r="AU2" s="251"/>
      <c r="AV2" s="150"/>
      <c r="AW2" s="150"/>
      <c r="AX2" s="150"/>
      <c r="AY2" s="150"/>
      <c r="AZ2" s="150"/>
      <c r="BA2" s="150"/>
      <c r="BB2" s="251"/>
      <c r="BC2" s="251"/>
      <c r="BD2" s="251"/>
      <c r="BE2" s="251"/>
      <c r="BF2" s="251"/>
      <c r="BG2" s="251"/>
      <c r="BH2" s="150"/>
      <c r="BI2" s="150"/>
      <c r="BJ2" s="150"/>
      <c r="BK2" s="150"/>
      <c r="BL2" s="150"/>
      <c r="BM2" s="150"/>
      <c r="BN2" s="251"/>
      <c r="BO2" s="251"/>
      <c r="BP2" s="251"/>
      <c r="BQ2" s="251"/>
      <c r="BR2" s="251"/>
      <c r="BS2" s="251"/>
      <c r="BT2" s="150"/>
      <c r="BU2" s="150"/>
      <c r="BV2" s="150"/>
      <c r="BW2" s="150"/>
      <c r="BX2" s="150"/>
      <c r="BY2" s="150"/>
      <c r="BZ2" s="251"/>
      <c r="CA2" s="251"/>
      <c r="CB2" s="251"/>
      <c r="CC2" s="251"/>
      <c r="CD2" s="251"/>
      <c r="CE2" s="251"/>
      <c r="CF2" s="150"/>
      <c r="CG2" s="150"/>
      <c r="CH2" s="150"/>
      <c r="CI2" s="150"/>
      <c r="CJ2" s="150"/>
      <c r="CK2" s="150"/>
      <c r="CL2" s="251"/>
      <c r="CM2" s="251"/>
      <c r="CN2" s="251"/>
      <c r="CO2" s="251"/>
      <c r="CP2" s="251"/>
      <c r="CQ2" s="251"/>
      <c r="CR2" s="150"/>
      <c r="CS2" s="150"/>
      <c r="CT2" s="150"/>
      <c r="CU2" s="150"/>
      <c r="CV2" s="150"/>
      <c r="CW2" s="150"/>
      <c r="CX2" s="251"/>
      <c r="CY2" s="251"/>
      <c r="CZ2" s="251"/>
      <c r="DA2" s="251"/>
      <c r="DB2" s="251"/>
      <c r="DC2" s="251"/>
      <c r="DD2" s="150"/>
      <c r="DE2" s="150"/>
      <c r="DF2" s="150"/>
      <c r="DG2" s="150"/>
      <c r="DH2" s="150"/>
      <c r="DI2" s="150"/>
      <c r="DJ2" s="251"/>
      <c r="DK2" s="251"/>
      <c r="DL2" s="251"/>
      <c r="DM2" s="251"/>
      <c r="DN2" s="251"/>
      <c r="DO2" s="251"/>
      <c r="DP2" s="150"/>
      <c r="DQ2" s="150"/>
      <c r="DR2" s="150"/>
      <c r="DS2" s="150"/>
      <c r="DT2" s="150"/>
      <c r="DU2" s="150"/>
      <c r="DV2" s="251"/>
      <c r="DW2" s="251"/>
      <c r="DX2" s="251"/>
      <c r="DY2" s="251"/>
      <c r="DZ2" s="251"/>
      <c r="EA2" s="251"/>
      <c r="EB2" s="150"/>
      <c r="EC2" s="150"/>
      <c r="ED2" s="150"/>
      <c r="EE2" s="150"/>
      <c r="EF2" s="150"/>
      <c r="EG2" s="150"/>
      <c r="EH2" s="251"/>
      <c r="EI2" s="251"/>
      <c r="EJ2" s="251"/>
      <c r="EK2" s="251"/>
      <c r="EL2" s="251"/>
      <c r="EM2" s="251"/>
      <c r="EN2" s="150"/>
      <c r="EO2" s="150"/>
      <c r="EP2" s="150"/>
      <c r="EQ2" s="150"/>
      <c r="ER2" s="150"/>
      <c r="ES2" s="150"/>
      <c r="ET2" s="251"/>
      <c r="EU2" s="251"/>
      <c r="EV2" s="251"/>
      <c r="EW2" s="251"/>
      <c r="EX2" s="251"/>
      <c r="EY2" s="251"/>
      <c r="EZ2" s="150"/>
      <c r="FA2" s="150"/>
      <c r="FB2" s="150"/>
      <c r="FC2" s="150"/>
      <c r="FD2" s="150"/>
      <c r="FE2" s="150"/>
      <c r="FF2" s="251"/>
      <c r="FG2" s="251"/>
      <c r="FH2" s="251"/>
      <c r="FI2" s="251"/>
      <c r="FJ2" s="251"/>
      <c r="FK2" s="251"/>
      <c r="FL2" s="150"/>
      <c r="FM2" s="150"/>
      <c r="FN2" s="150"/>
      <c r="FO2" s="150"/>
      <c r="FP2" s="150"/>
      <c r="FQ2" s="150"/>
      <c r="FR2" s="251"/>
      <c r="FS2" s="251"/>
      <c r="FT2" s="251"/>
      <c r="FU2" s="251"/>
      <c r="FV2" s="251"/>
      <c r="FW2" s="251"/>
      <c r="FX2" s="150"/>
      <c r="FY2" s="150"/>
      <c r="FZ2" s="150"/>
      <c r="GA2" s="150"/>
      <c r="GB2" s="150"/>
      <c r="GC2" s="150"/>
      <c r="GD2" s="251"/>
      <c r="GE2" s="251"/>
      <c r="GF2" s="251"/>
      <c r="GG2" s="251"/>
      <c r="GH2" s="251"/>
      <c r="GI2" s="251"/>
      <c r="GJ2" s="150"/>
      <c r="GK2" s="150"/>
      <c r="GL2" s="150"/>
      <c r="GM2" s="150"/>
      <c r="GN2" s="150"/>
      <c r="GO2" s="150"/>
      <c r="GP2" s="251"/>
      <c r="GQ2" s="251"/>
      <c r="GR2" s="251"/>
      <c r="GS2" s="251"/>
      <c r="GT2" s="251"/>
      <c r="GU2" s="251"/>
      <c r="GV2" s="150"/>
      <c r="GW2" s="150"/>
      <c r="GX2" s="150"/>
      <c r="GY2" s="150"/>
      <c r="GZ2" s="150"/>
      <c r="HA2" s="150"/>
      <c r="HB2" s="251"/>
      <c r="HC2" s="251"/>
      <c r="HD2" s="251"/>
      <c r="HE2" s="251"/>
      <c r="HF2" s="251"/>
      <c r="HG2" s="251"/>
      <c r="HH2" s="150"/>
      <c r="HI2" s="150"/>
      <c r="HJ2" s="150"/>
      <c r="HK2" s="150"/>
      <c r="HL2" s="150"/>
      <c r="HM2" s="150"/>
      <c r="HN2" s="251"/>
      <c r="HO2" s="251"/>
      <c r="HP2" s="251"/>
      <c r="HQ2" s="251"/>
    </row>
    <row r="3" spans="1:225" s="167" customFormat="1" ht="22.5" customHeight="1">
      <c r="A3" s="256"/>
      <c r="B3" s="257">
        <v>2009</v>
      </c>
      <c r="C3" s="257">
        <v>2010</v>
      </c>
      <c r="D3" s="257">
        <v>2011</v>
      </c>
      <c r="E3" s="257">
        <v>2012</v>
      </c>
      <c r="F3" s="257">
        <v>2013</v>
      </c>
      <c r="G3" s="257">
        <v>2014</v>
      </c>
      <c r="H3" s="257">
        <v>2015</v>
      </c>
      <c r="I3" s="257">
        <v>2016</v>
      </c>
      <c r="J3" s="579"/>
      <c r="K3" s="258"/>
      <c r="L3" s="258"/>
      <c r="M3" s="258"/>
      <c r="N3" s="259"/>
      <c r="O3" s="259"/>
      <c r="P3" s="259"/>
      <c r="Q3" s="258"/>
      <c r="R3" s="260"/>
      <c r="S3" s="258"/>
      <c r="T3" s="258"/>
      <c r="U3" s="259"/>
      <c r="V3" s="259"/>
      <c r="W3" s="259"/>
      <c r="X3" s="258"/>
      <c r="Y3" s="258"/>
      <c r="Z3" s="259"/>
      <c r="AA3" s="259"/>
      <c r="AB3" s="259"/>
      <c r="AC3" s="258"/>
      <c r="AD3" s="260"/>
      <c r="AE3" s="258"/>
      <c r="AF3" s="258"/>
      <c r="AG3" s="259"/>
      <c r="AH3" s="259"/>
      <c r="AI3" s="259"/>
      <c r="AJ3" s="258"/>
      <c r="AK3" s="258"/>
      <c r="AL3" s="259"/>
      <c r="AM3" s="259"/>
      <c r="AN3" s="259"/>
      <c r="AO3" s="258"/>
      <c r="AP3" s="260"/>
      <c r="AQ3" s="258"/>
      <c r="AR3" s="258"/>
      <c r="AS3" s="259"/>
      <c r="AT3" s="259"/>
      <c r="AU3" s="259"/>
      <c r="AV3" s="258"/>
      <c r="AW3" s="258"/>
      <c r="AX3" s="259"/>
      <c r="AY3" s="259"/>
      <c r="AZ3" s="259"/>
      <c r="BA3" s="258"/>
      <c r="BB3" s="260"/>
      <c r="BC3" s="258"/>
      <c r="BD3" s="258"/>
      <c r="BE3" s="259"/>
      <c r="BF3" s="259"/>
      <c r="BG3" s="259"/>
      <c r="BH3" s="258"/>
      <c r="BI3" s="258"/>
      <c r="BJ3" s="259"/>
      <c r="BK3" s="259"/>
      <c r="BL3" s="259"/>
      <c r="BM3" s="258"/>
      <c r="BN3" s="260"/>
      <c r="BO3" s="258"/>
      <c r="BP3" s="258"/>
      <c r="BQ3" s="259"/>
      <c r="BR3" s="259"/>
      <c r="BS3" s="259"/>
      <c r="BT3" s="258"/>
      <c r="BU3" s="258"/>
      <c r="BV3" s="259"/>
      <c r="BW3" s="259"/>
      <c r="BX3" s="259"/>
      <c r="BY3" s="258"/>
      <c r="BZ3" s="260"/>
      <c r="CA3" s="258"/>
      <c r="CB3" s="258"/>
      <c r="CC3" s="259"/>
      <c r="CD3" s="259"/>
      <c r="CE3" s="259"/>
      <c r="CF3" s="258"/>
      <c r="CG3" s="258"/>
      <c r="CH3" s="259"/>
      <c r="CI3" s="259"/>
      <c r="CJ3" s="259"/>
      <c r="CK3" s="258"/>
      <c r="CL3" s="260"/>
      <c r="CM3" s="258"/>
      <c r="CN3" s="258"/>
      <c r="CO3" s="259"/>
      <c r="CP3" s="259"/>
      <c r="CQ3" s="259"/>
      <c r="CR3" s="258"/>
      <c r="CS3" s="258"/>
      <c r="CT3" s="259"/>
      <c r="CU3" s="259"/>
      <c r="CV3" s="259"/>
      <c r="CW3" s="258"/>
      <c r="CX3" s="260"/>
      <c r="CY3" s="258"/>
      <c r="CZ3" s="258"/>
      <c r="DA3" s="259"/>
      <c r="DB3" s="259"/>
      <c r="DC3" s="259"/>
      <c r="DD3" s="258"/>
      <c r="DE3" s="258"/>
      <c r="DF3" s="259"/>
      <c r="DG3" s="259"/>
      <c r="DH3" s="259"/>
      <c r="DI3" s="258"/>
      <c r="DJ3" s="260"/>
      <c r="DK3" s="258"/>
      <c r="DL3" s="258"/>
      <c r="DM3" s="259"/>
      <c r="DN3" s="259"/>
      <c r="DO3" s="259"/>
      <c r="DP3" s="258"/>
      <c r="DQ3" s="258"/>
      <c r="DR3" s="259"/>
      <c r="DS3" s="259"/>
      <c r="DT3" s="259"/>
      <c r="DU3" s="258"/>
      <c r="DV3" s="260"/>
      <c r="DW3" s="258"/>
      <c r="DX3" s="258"/>
      <c r="DY3" s="259"/>
      <c r="DZ3" s="259"/>
      <c r="EA3" s="259"/>
      <c r="EB3" s="258"/>
      <c r="EC3" s="258"/>
      <c r="ED3" s="259"/>
      <c r="EE3" s="259"/>
      <c r="EF3" s="259"/>
      <c r="EG3" s="258"/>
      <c r="EH3" s="260"/>
      <c r="EI3" s="258"/>
      <c r="EJ3" s="258"/>
      <c r="EK3" s="259"/>
      <c r="EL3" s="259"/>
      <c r="EM3" s="259"/>
      <c r="EN3" s="258"/>
      <c r="EO3" s="258"/>
      <c r="EP3" s="259"/>
      <c r="EQ3" s="259"/>
      <c r="ER3" s="259"/>
      <c r="ES3" s="258"/>
      <c r="ET3" s="260"/>
      <c r="EU3" s="258"/>
      <c r="EV3" s="258"/>
      <c r="EW3" s="259"/>
      <c r="EX3" s="259"/>
      <c r="EY3" s="259"/>
      <c r="EZ3" s="258"/>
      <c r="FA3" s="258"/>
      <c r="FB3" s="259"/>
      <c r="FC3" s="259"/>
      <c r="FD3" s="259"/>
      <c r="FE3" s="258"/>
      <c r="FF3" s="260"/>
      <c r="FG3" s="258"/>
      <c r="FH3" s="258"/>
      <c r="FI3" s="259"/>
      <c r="FJ3" s="259"/>
      <c r="FK3" s="259"/>
      <c r="FL3" s="258"/>
      <c r="FM3" s="258"/>
      <c r="FN3" s="259"/>
      <c r="FO3" s="259"/>
      <c r="FP3" s="259"/>
      <c r="FQ3" s="258"/>
      <c r="FR3" s="260"/>
      <c r="FS3" s="258"/>
      <c r="FT3" s="258"/>
      <c r="FU3" s="259"/>
      <c r="FV3" s="259"/>
      <c r="FW3" s="259"/>
      <c r="FX3" s="258"/>
      <c r="FY3" s="258"/>
      <c r="FZ3" s="259"/>
      <c r="GA3" s="259"/>
      <c r="GB3" s="259"/>
      <c r="GC3" s="258"/>
      <c r="GD3" s="260"/>
      <c r="GE3" s="258"/>
      <c r="GF3" s="258"/>
      <c r="GG3" s="259"/>
      <c r="GH3" s="259"/>
      <c r="GI3" s="259"/>
      <c r="GJ3" s="258"/>
      <c r="GK3" s="258"/>
      <c r="GL3" s="259"/>
      <c r="GM3" s="259"/>
      <c r="GN3" s="259"/>
      <c r="GO3" s="258"/>
      <c r="GP3" s="260"/>
      <c r="GQ3" s="258"/>
      <c r="GR3" s="258"/>
      <c r="GS3" s="259"/>
      <c r="GT3" s="259"/>
      <c r="GU3" s="259"/>
      <c r="GV3" s="258"/>
      <c r="GW3" s="258"/>
      <c r="GX3" s="259"/>
      <c r="GY3" s="259"/>
      <c r="GZ3" s="259"/>
      <c r="HA3" s="258"/>
      <c r="HB3" s="260"/>
      <c r="HC3" s="258"/>
      <c r="HD3" s="258"/>
      <c r="HE3" s="259"/>
      <c r="HF3" s="259"/>
      <c r="HG3" s="259"/>
      <c r="HH3" s="258"/>
      <c r="HI3" s="258"/>
      <c r="HJ3" s="259"/>
      <c r="HK3" s="259"/>
      <c r="HL3" s="259"/>
      <c r="HM3" s="258"/>
      <c r="HN3" s="260"/>
      <c r="HO3" s="258"/>
      <c r="HP3" s="258"/>
      <c r="HQ3" s="259"/>
    </row>
    <row r="4" spans="1:225" s="165" customFormat="1" ht="11.25" customHeight="1">
      <c r="A4" s="341"/>
      <c r="B4" s="341"/>
      <c r="C4" s="341"/>
      <c r="D4" s="341"/>
      <c r="E4" s="341"/>
      <c r="F4" s="341"/>
      <c r="G4" s="341"/>
      <c r="H4" s="341"/>
      <c r="I4" s="341"/>
      <c r="J4" s="579"/>
      <c r="K4" s="249"/>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c r="FH4" s="140"/>
      <c r="FI4" s="140"/>
      <c r="FJ4" s="140"/>
      <c r="FK4" s="140"/>
      <c r="FL4" s="140"/>
      <c r="FM4" s="140"/>
      <c r="FN4" s="140"/>
      <c r="FO4" s="140"/>
      <c r="FP4" s="140"/>
      <c r="FQ4" s="140"/>
      <c r="FR4" s="140"/>
      <c r="FS4" s="140"/>
      <c r="FT4" s="140"/>
      <c r="FU4" s="140"/>
      <c r="FV4" s="140"/>
      <c r="FW4" s="140"/>
      <c r="FX4" s="140"/>
      <c r="FY4" s="140"/>
      <c r="FZ4" s="140"/>
      <c r="GA4" s="140"/>
      <c r="GB4" s="140"/>
      <c r="GC4" s="140"/>
      <c r="GD4" s="140"/>
      <c r="GE4" s="140"/>
      <c r="GF4" s="140"/>
      <c r="GG4" s="140"/>
      <c r="GH4" s="140"/>
      <c r="GI4" s="140"/>
      <c r="GJ4" s="140"/>
      <c r="GK4" s="140"/>
      <c r="GL4" s="140"/>
      <c r="GM4" s="140"/>
      <c r="GN4" s="140"/>
      <c r="GO4" s="140"/>
      <c r="GP4" s="140"/>
      <c r="GQ4" s="140"/>
      <c r="GR4" s="140"/>
      <c r="GS4" s="140"/>
      <c r="GT4" s="140"/>
      <c r="GU4" s="140"/>
      <c r="GV4" s="140"/>
      <c r="GW4" s="140"/>
      <c r="GX4" s="140"/>
      <c r="GY4" s="140"/>
      <c r="GZ4" s="140"/>
      <c r="HA4" s="140"/>
      <c r="HB4" s="140"/>
      <c r="HC4" s="140"/>
      <c r="HD4" s="140"/>
      <c r="HE4" s="140"/>
      <c r="HF4" s="140"/>
      <c r="HG4" s="140"/>
      <c r="HH4" s="140"/>
      <c r="HI4" s="140"/>
      <c r="HJ4" s="140"/>
      <c r="HK4" s="140"/>
      <c r="HL4" s="140"/>
      <c r="HM4" s="140"/>
      <c r="HN4" s="140"/>
      <c r="HO4" s="140"/>
      <c r="HP4" s="140"/>
      <c r="HQ4" s="140"/>
    </row>
    <row r="5" spans="1:225" s="415" customFormat="1" ht="15">
      <c r="A5" s="413" t="s">
        <v>752</v>
      </c>
      <c r="B5" s="413"/>
      <c r="C5" s="413"/>
      <c r="D5" s="414"/>
      <c r="E5" s="414"/>
      <c r="F5" s="414"/>
      <c r="G5" s="414"/>
      <c r="H5" s="414"/>
      <c r="I5" s="414"/>
      <c r="J5" s="579"/>
    </row>
    <row r="6" spans="1:225" s="418" customFormat="1" ht="15">
      <c r="A6" s="416" t="s">
        <v>472</v>
      </c>
      <c r="B6" s="417">
        <v>22.711376999999999</v>
      </c>
      <c r="C6" s="417">
        <v>23.694071999999998</v>
      </c>
      <c r="D6" s="417">
        <v>24.635370000000002</v>
      </c>
      <c r="E6" s="417">
        <v>25.454787</v>
      </c>
      <c r="F6" s="417">
        <v>26.706021999999997</v>
      </c>
      <c r="G6" s="417">
        <v>27.881955730000001</v>
      </c>
      <c r="H6" s="417">
        <v>28.619159</v>
      </c>
      <c r="I6" s="417">
        <v>29.543532156000001</v>
      </c>
      <c r="J6" s="579"/>
    </row>
    <row r="7" spans="1:225" s="418" customFormat="1" ht="15">
      <c r="A7" s="416"/>
      <c r="B7" s="403">
        <v>7.9358132614739091E-2</v>
      </c>
      <c r="C7" s="403">
        <v>8.0535131789459077E-2</v>
      </c>
      <c r="D7" s="403">
        <v>7.9810059123673768E-2</v>
      </c>
      <c r="E7" s="403">
        <v>8.0245068693569094E-2</v>
      </c>
      <c r="F7" s="403">
        <v>8.2785086917139969E-2</v>
      </c>
      <c r="G7" s="403">
        <v>8.474861618378339E-2</v>
      </c>
      <c r="H7" s="403">
        <v>8.5356434728145789E-2</v>
      </c>
      <c r="I7" s="403">
        <v>8.5623499176907036E-2</v>
      </c>
      <c r="J7" s="579"/>
    </row>
    <row r="8" spans="1:225" s="418" customFormat="1" ht="15">
      <c r="A8" s="416" t="s">
        <v>141</v>
      </c>
      <c r="B8" s="417">
        <v>7.5647110000000044</v>
      </c>
      <c r="C8" s="417">
        <v>7.7712179999999895</v>
      </c>
      <c r="D8" s="417">
        <v>7.8770940000000014</v>
      </c>
      <c r="E8" s="417">
        <v>8.5844090000000008</v>
      </c>
      <c r="F8" s="417">
        <v>8.6544340000000073</v>
      </c>
      <c r="G8" s="417">
        <v>9.0505466547140863</v>
      </c>
      <c r="H8" s="417">
        <v>9.6121069999999893</v>
      </c>
      <c r="I8" s="417">
        <v>9.9787877929999986</v>
      </c>
      <c r="J8" s="579"/>
    </row>
    <row r="9" spans="1:225" s="418" customFormat="1" ht="15">
      <c r="A9" s="416"/>
      <c r="B9" s="403">
        <v>2.6432626200083596E-2</v>
      </c>
      <c r="C9" s="403">
        <v>2.6414035788977757E-2</v>
      </c>
      <c r="D9" s="403">
        <v>2.5519054021219734E-2</v>
      </c>
      <c r="E9" s="403">
        <v>2.7061962447326424E-2</v>
      </c>
      <c r="F9" s="403">
        <v>2.6827584838679905E-2</v>
      </c>
      <c r="G9" s="403">
        <v>2.7509594811833842E-2</v>
      </c>
      <c r="H9" s="403">
        <v>2.8668039607503918E-2</v>
      </c>
      <c r="I9" s="403">
        <v>2.8920669467308136E-2</v>
      </c>
      <c r="J9" s="579"/>
    </row>
    <row r="10" spans="1:225" s="418" customFormat="1" ht="15">
      <c r="A10" s="416" t="s">
        <v>774</v>
      </c>
      <c r="B10" s="419">
        <v>0.47925600000000007</v>
      </c>
      <c r="C10" s="419">
        <v>0.52522700000000011</v>
      </c>
      <c r="D10" s="419">
        <v>0.56129300000000004</v>
      </c>
      <c r="E10" s="419">
        <v>0.6299570000000001</v>
      </c>
      <c r="F10" s="419">
        <v>0.72418899999999997</v>
      </c>
      <c r="G10" s="419">
        <v>0.53780725099999993</v>
      </c>
      <c r="H10" s="419">
        <v>0.55082200000000003</v>
      </c>
      <c r="I10" s="419">
        <v>0.558480372</v>
      </c>
      <c r="J10" s="579"/>
    </row>
    <row r="11" spans="1:225" s="418" customFormat="1" ht="15">
      <c r="A11" s="416"/>
      <c r="B11" s="403">
        <v>1.6746171403173575E-3</v>
      </c>
      <c r="C11" s="403">
        <v>1.7852239861676049E-3</v>
      </c>
      <c r="D11" s="403">
        <v>1.8183947517615615E-3</v>
      </c>
      <c r="E11" s="403">
        <v>1.9859110484403077E-3</v>
      </c>
      <c r="F11" s="403">
        <v>2.2448887861111128E-3</v>
      </c>
      <c r="G11" s="403">
        <v>1.6346923701200014E-3</v>
      </c>
      <c r="H11" s="403">
        <v>1.6428226311551194E-3</v>
      </c>
      <c r="I11" s="403">
        <v>1.6185960236494319E-3</v>
      </c>
      <c r="J11" s="579"/>
    </row>
    <row r="12" spans="1:225" s="418" customFormat="1" ht="15">
      <c r="A12" s="416" t="s">
        <v>142</v>
      </c>
      <c r="B12" s="419">
        <v>30.755344000000001</v>
      </c>
      <c r="C12" s="419">
        <v>31.99051699999999</v>
      </c>
      <c r="D12" s="419">
        <v>33.073757000000001</v>
      </c>
      <c r="E12" s="419">
        <v>34.669153000000001</v>
      </c>
      <c r="F12" s="419">
        <v>36.084645000000009</v>
      </c>
      <c r="G12" s="419">
        <v>37.470309635714081</v>
      </c>
      <c r="H12" s="419">
        <v>38.782087999999987</v>
      </c>
      <c r="I12" s="419">
        <v>40.080800320999998</v>
      </c>
      <c r="J12" s="579"/>
    </row>
    <row r="13" spans="1:225" s="418" customFormat="1" ht="15">
      <c r="A13" s="416"/>
      <c r="B13" s="403">
        <v>0.10746537595514004</v>
      </c>
      <c r="C13" s="403">
        <v>0.10873439156460443</v>
      </c>
      <c r="D13" s="403">
        <v>0.10714750789665506</v>
      </c>
      <c r="E13" s="403">
        <v>0.10929294218933583</v>
      </c>
      <c r="F13" s="403">
        <v>0.11185756054193099</v>
      </c>
      <c r="G13" s="403">
        <v>0.11389290336573721</v>
      </c>
      <c r="H13" s="403">
        <v>0.11566729696680482</v>
      </c>
      <c r="I13" s="403">
        <v>0.1161627646678646</v>
      </c>
      <c r="J13" s="579"/>
    </row>
    <row r="14" spans="1:225" s="418" customFormat="1" ht="7.5" customHeight="1">
      <c r="A14" s="420"/>
      <c r="B14" s="421"/>
      <c r="C14" s="421"/>
      <c r="D14" s="421"/>
      <c r="E14" s="421"/>
      <c r="F14" s="421"/>
      <c r="G14" s="421"/>
      <c r="H14" s="421"/>
      <c r="I14" s="421"/>
      <c r="J14" s="579"/>
    </row>
    <row r="15" spans="1:225" s="418" customFormat="1" ht="7.5" customHeight="1">
      <c r="A15" s="416"/>
      <c r="B15" s="416"/>
      <c r="C15" s="416"/>
      <c r="D15" s="416"/>
      <c r="E15" s="416"/>
      <c r="F15" s="416"/>
      <c r="G15" s="416"/>
      <c r="H15" s="416"/>
      <c r="I15" s="416"/>
      <c r="J15" s="579"/>
    </row>
    <row r="16" spans="1:225" s="415" customFormat="1" ht="15">
      <c r="A16" s="413" t="s">
        <v>766</v>
      </c>
      <c r="B16" s="413"/>
      <c r="C16" s="413"/>
      <c r="D16" s="414"/>
      <c r="E16" s="414"/>
      <c r="F16" s="414"/>
      <c r="G16" s="414"/>
      <c r="H16" s="414"/>
      <c r="I16" s="414"/>
      <c r="J16" s="579"/>
    </row>
    <row r="17" spans="1:10" s="418" customFormat="1" ht="15">
      <c r="A17" s="416" t="s">
        <v>143</v>
      </c>
      <c r="B17" s="422">
        <v>1065.6300000000001</v>
      </c>
      <c r="C17" s="422">
        <v>1093.3699999999999</v>
      </c>
      <c r="D17" s="422">
        <v>1110.1600000000001</v>
      </c>
      <c r="E17" s="422">
        <v>1148.17</v>
      </c>
      <c r="F17" s="422">
        <v>1178.75</v>
      </c>
      <c r="G17" s="422">
        <v>1206.8699999999999</v>
      </c>
      <c r="H17" s="422">
        <v>1233.83</v>
      </c>
      <c r="I17" s="422">
        <v>1256.3499999999999</v>
      </c>
      <c r="J17" s="579"/>
    </row>
    <row r="18" spans="1:10" s="418" customFormat="1" ht="15">
      <c r="A18" s="416"/>
      <c r="B18" s="403">
        <v>3.9628881669447245E-2</v>
      </c>
      <c r="C18" s="403">
        <v>2.6031549412084663E-2</v>
      </c>
      <c r="D18" s="403">
        <v>1.5356192322818618E-2</v>
      </c>
      <c r="E18" s="403">
        <v>3.4238307991640834E-2</v>
      </c>
      <c r="F18" s="403">
        <v>2.6633686649189515E-2</v>
      </c>
      <c r="G18" s="403">
        <v>2.3855779427359398E-2</v>
      </c>
      <c r="H18" s="403">
        <v>2.2338777167383427E-2</v>
      </c>
      <c r="I18" s="403">
        <v>1.8252109285720061E-2</v>
      </c>
      <c r="J18" s="579"/>
    </row>
    <row r="19" spans="1:10" s="418" customFormat="1" ht="15">
      <c r="A19" s="416" t="s">
        <v>144</v>
      </c>
      <c r="B19" s="422">
        <v>957.23</v>
      </c>
      <c r="C19" s="422">
        <v>967.37</v>
      </c>
      <c r="D19" s="422">
        <v>999.65</v>
      </c>
      <c r="E19" s="422">
        <v>1022.98</v>
      </c>
      <c r="F19" s="422">
        <v>1036.96</v>
      </c>
      <c r="G19" s="422">
        <v>1052.43</v>
      </c>
      <c r="H19" s="422">
        <v>1074.8</v>
      </c>
      <c r="I19" s="422">
        <v>1107.93</v>
      </c>
      <c r="J19" s="579"/>
    </row>
    <row r="20" spans="1:10" s="418" customFormat="1" ht="15">
      <c r="A20" s="416"/>
      <c r="B20" s="403">
        <v>-7.0228215767634663E-3</v>
      </c>
      <c r="C20" s="403">
        <v>1.0593065407477812E-2</v>
      </c>
      <c r="D20" s="403">
        <v>3.3368824751646188E-2</v>
      </c>
      <c r="E20" s="403">
        <v>2.3338168358925666E-2</v>
      </c>
      <c r="F20" s="403">
        <v>1.366595632368181E-2</v>
      </c>
      <c r="G20" s="403">
        <v>1.4918608239469243E-2</v>
      </c>
      <c r="H20" s="403">
        <v>2.1255570441739487E-2</v>
      </c>
      <c r="I20" s="403">
        <v>3.0824339411983728E-2</v>
      </c>
      <c r="J20" s="579"/>
    </row>
    <row r="21" spans="1:10" s="418" customFormat="1" ht="15">
      <c r="A21" s="416" t="s">
        <v>145</v>
      </c>
      <c r="B21" s="422">
        <v>620.34</v>
      </c>
      <c r="C21" s="422">
        <v>633.13</v>
      </c>
      <c r="D21" s="422">
        <v>645.70000000000005</v>
      </c>
      <c r="E21" s="422">
        <v>668.76</v>
      </c>
      <c r="F21" s="422">
        <v>687.23</v>
      </c>
      <c r="G21" s="422">
        <v>703.5</v>
      </c>
      <c r="H21" s="422">
        <v>719.66</v>
      </c>
      <c r="I21" s="422">
        <v>735.72</v>
      </c>
      <c r="J21" s="579"/>
    </row>
    <row r="22" spans="1:10" s="418" customFormat="1" ht="15">
      <c r="A22" s="416"/>
      <c r="B22" s="403">
        <v>2.7342132719474006E-2</v>
      </c>
      <c r="C22" s="403">
        <v>2.0617725763291038E-2</v>
      </c>
      <c r="D22" s="403">
        <v>1.9853742517334592E-2</v>
      </c>
      <c r="E22" s="403">
        <v>3.5713179495121483E-2</v>
      </c>
      <c r="F22" s="403">
        <v>2.7618278605179777E-2</v>
      </c>
      <c r="G22" s="403">
        <v>2.3674752266344575E-2</v>
      </c>
      <c r="H22" s="403">
        <v>2.2970859985785314E-2</v>
      </c>
      <c r="I22" s="403">
        <v>2.2316093710919128E-2</v>
      </c>
      <c r="J22" s="579"/>
    </row>
    <row r="23" spans="1:10" s="418" customFormat="1" ht="15">
      <c r="A23" s="416" t="s">
        <v>146</v>
      </c>
      <c r="B23" s="422">
        <v>295.25</v>
      </c>
      <c r="C23" s="422">
        <v>297.86</v>
      </c>
      <c r="D23" s="422">
        <v>301.5</v>
      </c>
      <c r="E23" s="422">
        <v>311.43</v>
      </c>
      <c r="F23" s="422">
        <v>319.74</v>
      </c>
      <c r="G23" s="422">
        <v>326.74</v>
      </c>
      <c r="H23" s="422">
        <v>333.54</v>
      </c>
      <c r="I23" s="422">
        <v>341.37</v>
      </c>
      <c r="J23" s="579"/>
    </row>
    <row r="24" spans="1:10" s="418" customFormat="1" ht="15">
      <c r="A24" s="416"/>
      <c r="B24" s="403">
        <v>2.6635140303904955E-2</v>
      </c>
      <c r="C24" s="403">
        <v>8.8399661303980148E-3</v>
      </c>
      <c r="D24" s="403">
        <v>1.222050627811719E-2</v>
      </c>
      <c r="E24" s="403">
        <v>3.2935323383084601E-2</v>
      </c>
      <c r="F24" s="403">
        <v>2.6683363837780569E-2</v>
      </c>
      <c r="G24" s="403">
        <v>2.1892787890160754E-2</v>
      </c>
      <c r="H24" s="403">
        <v>2.0811654526534894E-2</v>
      </c>
      <c r="I24" s="403">
        <v>2.3475445223961094E-2</v>
      </c>
      <c r="J24" s="579"/>
    </row>
    <row r="25" spans="1:10" s="418" customFormat="1" ht="15">
      <c r="A25" s="416" t="s">
        <v>147</v>
      </c>
      <c r="B25" s="422">
        <v>239.24</v>
      </c>
      <c r="C25" s="422">
        <v>241.26</v>
      </c>
      <c r="D25" s="422">
        <v>245.94</v>
      </c>
      <c r="E25" s="422">
        <v>253.8</v>
      </c>
      <c r="F25" s="422">
        <v>261.20999999999998</v>
      </c>
      <c r="G25" s="422">
        <v>266.98</v>
      </c>
      <c r="H25" s="422">
        <v>273.38</v>
      </c>
      <c r="I25" s="422">
        <v>278.45999999999998</v>
      </c>
      <c r="J25" s="579"/>
    </row>
    <row r="26" spans="1:10" s="418" customFormat="1" ht="15">
      <c r="A26" s="414"/>
      <c r="B26" s="403">
        <v>3.6568457538994792E-2</v>
      </c>
      <c r="C26" s="403">
        <v>8.4434041130245011E-3</v>
      </c>
      <c r="D26" s="403">
        <v>1.9398159661775705E-2</v>
      </c>
      <c r="E26" s="403">
        <v>3.1959014393754627E-2</v>
      </c>
      <c r="F26" s="403">
        <v>2.9196217494089707E-2</v>
      </c>
      <c r="G26" s="403">
        <v>2.2089506527315336E-2</v>
      </c>
      <c r="H26" s="403">
        <v>2.3971833096111981E-2</v>
      </c>
      <c r="I26" s="403">
        <v>1.8582193284073394E-2</v>
      </c>
      <c r="J26" s="579"/>
    </row>
    <row r="27" spans="1:10" s="418" customFormat="1" ht="7.5" customHeight="1">
      <c r="A27" s="423"/>
      <c r="B27" s="424"/>
      <c r="C27" s="424"/>
      <c r="D27" s="424"/>
      <c r="E27" s="424"/>
      <c r="F27" s="424"/>
      <c r="G27" s="424"/>
      <c r="H27" s="424"/>
      <c r="I27" s="424"/>
      <c r="J27" s="579"/>
    </row>
    <row r="28" spans="1:10" s="415" customFormat="1" ht="7.5" customHeight="1">
      <c r="A28" s="414"/>
      <c r="B28" s="414"/>
      <c r="C28" s="414"/>
      <c r="D28" s="414"/>
      <c r="E28" s="414"/>
      <c r="F28" s="414"/>
      <c r="G28" s="414"/>
      <c r="H28" s="414"/>
      <c r="I28" s="414"/>
      <c r="J28" s="579"/>
    </row>
    <row r="29" spans="1:10" s="415" customFormat="1" ht="15">
      <c r="A29" s="413" t="s">
        <v>767</v>
      </c>
      <c r="B29" s="413"/>
      <c r="C29" s="413"/>
      <c r="D29" s="414"/>
      <c r="E29" s="414"/>
      <c r="F29" s="414"/>
      <c r="G29" s="414"/>
      <c r="H29" s="414"/>
      <c r="I29" s="414"/>
      <c r="J29" s="579"/>
    </row>
    <row r="30" spans="1:10" s="418" customFormat="1" ht="21.75" customHeight="1">
      <c r="A30" s="416" t="s">
        <v>769</v>
      </c>
      <c r="B30" s="417">
        <v>27.786269000000001</v>
      </c>
      <c r="C30" s="417">
        <v>28.986419999999995</v>
      </c>
      <c r="D30" s="417">
        <v>29.983412000000001</v>
      </c>
      <c r="E30" s="417">
        <v>31.430923000000003</v>
      </c>
      <c r="F30" s="417">
        <v>32.715980999999999</v>
      </c>
      <c r="G30" s="417">
        <v>33.891923833454086</v>
      </c>
      <c r="H30" s="417">
        <v>34.868061999999995</v>
      </c>
      <c r="I30" s="417">
        <v>35.984870999999998</v>
      </c>
      <c r="J30" s="579"/>
    </row>
    <row r="31" spans="1:10" s="418" customFormat="1" ht="15">
      <c r="A31" s="414"/>
      <c r="B31" s="403">
        <v>5.223907840108765E-2</v>
      </c>
      <c r="C31" s="403">
        <v>4.3192232825500776E-2</v>
      </c>
      <c r="D31" s="403">
        <v>3.4395140897013364E-2</v>
      </c>
      <c r="E31" s="403">
        <v>4.8277060662742524E-2</v>
      </c>
      <c r="F31" s="403">
        <v>4.0885149952484552E-2</v>
      </c>
      <c r="G31" s="403">
        <v>3.5943988152276014E-2</v>
      </c>
      <c r="H31" s="403">
        <v>2.8801497706140263E-2</v>
      </c>
      <c r="I31" s="403">
        <v>3.2029569065238087E-2</v>
      </c>
      <c r="J31" s="579"/>
    </row>
    <row r="32" spans="1:10" s="418" customFormat="1" ht="15" customHeight="1">
      <c r="A32" s="414" t="s">
        <v>753</v>
      </c>
      <c r="B32" s="422">
        <v>3483.8020000000001</v>
      </c>
      <c r="C32" s="422">
        <v>3524.2939999999999</v>
      </c>
      <c r="D32" s="422">
        <v>3590.29</v>
      </c>
      <c r="E32" s="422">
        <v>3655.2460000000001</v>
      </c>
      <c r="F32" s="422">
        <v>3697.7244999999998</v>
      </c>
      <c r="G32" s="422">
        <v>3739.9400799999999</v>
      </c>
      <c r="H32" s="422">
        <v>3781.8910000000001</v>
      </c>
      <c r="I32" s="422">
        <v>3812.2900800000002</v>
      </c>
      <c r="J32" s="579"/>
    </row>
    <row r="33" spans="1:10" s="418" customFormat="1" ht="15" customHeight="1">
      <c r="A33" s="414" t="s">
        <v>754</v>
      </c>
      <c r="B33" s="422">
        <v>2172.6478333333334</v>
      </c>
      <c r="C33" s="422">
        <v>2206.3982499999997</v>
      </c>
      <c r="D33" s="422">
        <v>2235.48</v>
      </c>
      <c r="E33" s="422">
        <v>2259.98</v>
      </c>
      <c r="F33" s="422">
        <v>2285.81</v>
      </c>
      <c r="G33" s="422">
        <v>2308.0884999999998</v>
      </c>
      <c r="H33" s="422">
        <v>2321.61</v>
      </c>
      <c r="I33" s="422">
        <v>2344.12</v>
      </c>
      <c r="J33" s="579"/>
    </row>
    <row r="34" spans="1:10" s="418" customFormat="1" ht="15" customHeight="1">
      <c r="A34" s="414" t="s">
        <v>775</v>
      </c>
      <c r="B34" s="402">
        <v>623.64274242145018</v>
      </c>
      <c r="C34" s="402">
        <v>626.05396995823833</v>
      </c>
      <c r="D34" s="402">
        <v>622.64608151430662</v>
      </c>
      <c r="E34" s="402">
        <v>618.28396775483782</v>
      </c>
      <c r="F34" s="402">
        <v>618.16665898176029</v>
      </c>
      <c r="G34" s="402">
        <v>617.1458501014273</v>
      </c>
      <c r="H34" s="402">
        <v>613.87543956184891</v>
      </c>
      <c r="I34" s="402">
        <v>614.88500371409293</v>
      </c>
      <c r="J34" s="579"/>
    </row>
    <row r="35" spans="1:10" s="425" customFormat="1" ht="15" customHeight="1">
      <c r="A35" s="414" t="s">
        <v>804</v>
      </c>
      <c r="B35" s="403">
        <v>0.24596411602484447</v>
      </c>
      <c r="C35" s="403">
        <v>0.24292255107974628</v>
      </c>
      <c r="D35" s="403">
        <v>0.23816749938629594</v>
      </c>
      <c r="E35" s="403">
        <v>0.24760942385872536</v>
      </c>
      <c r="F35" s="403">
        <v>0.23983702763322198</v>
      </c>
      <c r="G35" s="403">
        <v>0.24153914773332263</v>
      </c>
      <c r="H35" s="403">
        <v>0.24784913592068566</v>
      </c>
      <c r="I35" s="403">
        <v>0.24896677993157978</v>
      </c>
      <c r="J35" s="579"/>
    </row>
    <row r="36" spans="1:10" s="425" customFormat="1" ht="7.5" customHeight="1">
      <c r="A36" s="426"/>
      <c r="B36" s="427"/>
      <c r="C36" s="427"/>
      <c r="D36" s="427"/>
      <c r="E36" s="427"/>
      <c r="F36" s="427"/>
      <c r="G36" s="427"/>
      <c r="H36" s="427"/>
      <c r="I36" s="427"/>
      <c r="J36" s="579"/>
    </row>
    <row r="37" spans="1:10" s="418" customFormat="1" ht="7.5" customHeight="1">
      <c r="J37" s="579"/>
    </row>
    <row r="38" spans="1:10" s="418" customFormat="1" ht="11.25" customHeight="1">
      <c r="A38" s="416" t="s">
        <v>148</v>
      </c>
      <c r="J38" s="579"/>
    </row>
    <row r="39" spans="1:10" s="418" customFormat="1" ht="15">
      <c r="A39" s="428" t="s">
        <v>605</v>
      </c>
      <c r="J39" s="579"/>
    </row>
    <row r="40" spans="1:10" s="418" customFormat="1" ht="30" customHeight="1">
      <c r="A40" s="580" t="s">
        <v>768</v>
      </c>
      <c r="B40" s="581"/>
      <c r="C40" s="581"/>
      <c r="D40" s="581"/>
      <c r="E40" s="581"/>
      <c r="F40" s="581"/>
      <c r="G40" s="541"/>
      <c r="H40" s="541"/>
      <c r="I40" s="541"/>
      <c r="J40" s="579"/>
    </row>
    <row r="41" spans="1:10" s="418" customFormat="1" ht="15">
      <c r="A41" s="429" t="s">
        <v>764</v>
      </c>
      <c r="B41" s="430"/>
      <c r="C41" s="430"/>
      <c r="D41" s="430"/>
      <c r="E41" s="430"/>
      <c r="F41" s="430"/>
      <c r="G41" s="430"/>
      <c r="H41" s="430"/>
      <c r="I41" s="430"/>
      <c r="J41" s="579"/>
    </row>
    <row r="42" spans="1:10" s="418" customFormat="1" ht="30" customHeight="1">
      <c r="A42" s="580" t="s">
        <v>765</v>
      </c>
      <c r="B42" s="581"/>
      <c r="C42" s="581"/>
      <c r="D42" s="581"/>
      <c r="E42" s="581"/>
      <c r="F42" s="581"/>
      <c r="G42" s="541"/>
      <c r="H42" s="541"/>
      <c r="I42" s="541"/>
      <c r="J42" s="579"/>
    </row>
    <row r="43" spans="1:10" s="418" customFormat="1" ht="15">
      <c r="A43" s="580" t="s">
        <v>785</v>
      </c>
      <c r="B43" s="581"/>
      <c r="C43" s="581"/>
      <c r="D43" s="581"/>
      <c r="E43" s="581"/>
      <c r="F43" s="581"/>
      <c r="G43" s="541"/>
      <c r="H43" s="541"/>
      <c r="I43" s="541"/>
      <c r="J43" s="579"/>
    </row>
    <row r="44" spans="1:10" s="418" customFormat="1" ht="15">
      <c r="A44" s="580" t="s">
        <v>805</v>
      </c>
      <c r="B44" s="581"/>
      <c r="C44" s="581"/>
      <c r="D44" s="581"/>
      <c r="E44" s="581"/>
      <c r="F44" s="581"/>
      <c r="J44" s="579"/>
    </row>
  </sheetData>
  <mergeCells count="5">
    <mergeCell ref="J1:J1048576"/>
    <mergeCell ref="A40:F40"/>
    <mergeCell ref="A42:F42"/>
    <mergeCell ref="A43:F43"/>
    <mergeCell ref="A44:F44"/>
  </mergeCells>
  <pageMargins left="0.41" right="0.17" top="0.86614173228346458" bottom="0.27559055118110237" header="0.51181102362204722" footer="0.15748031496062992"/>
  <pageSetup paperSize="9"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IR47"/>
  <sheetViews>
    <sheetView showGridLines="0" workbookViewId="0"/>
  </sheetViews>
  <sheetFormatPr baseColWidth="10" defaultColWidth="11.42578125" defaultRowHeight="11.45" customHeight="1"/>
  <cols>
    <col min="1" max="1" width="25.28515625" style="10" customWidth="1"/>
    <col min="2" max="11" width="5.85546875" style="10" customWidth="1"/>
    <col min="12" max="16384" width="11.42578125" style="10"/>
  </cols>
  <sheetData>
    <row r="1" spans="1:252" s="1" customFormat="1" ht="15">
      <c r="A1" s="155" t="s">
        <v>991</v>
      </c>
      <c r="B1" s="140"/>
      <c r="C1" s="140"/>
      <c r="D1" s="140"/>
      <c r="E1" s="250"/>
      <c r="F1" s="250"/>
      <c r="G1" s="250"/>
      <c r="H1" s="250"/>
      <c r="I1" s="250"/>
      <c r="J1" s="250"/>
      <c r="K1" s="250"/>
      <c r="L1" s="140"/>
      <c r="M1" s="140"/>
      <c r="N1" s="140"/>
      <c r="O1" s="140"/>
      <c r="P1" s="140"/>
      <c r="Q1" s="140"/>
      <c r="R1" s="250"/>
      <c r="S1" s="250"/>
      <c r="T1" s="250"/>
      <c r="U1" s="140"/>
      <c r="V1" s="140"/>
      <c r="W1" s="140"/>
      <c r="X1" s="140"/>
      <c r="Y1" s="140"/>
      <c r="Z1" s="140"/>
      <c r="AA1" s="140"/>
      <c r="AB1" s="140"/>
      <c r="AC1" s="140"/>
      <c r="AD1" s="250"/>
      <c r="AE1" s="250"/>
      <c r="AF1" s="250"/>
      <c r="AG1" s="140"/>
      <c r="AH1" s="140"/>
      <c r="AI1" s="140"/>
      <c r="AJ1" s="140"/>
      <c r="AK1" s="140"/>
      <c r="AL1" s="140"/>
      <c r="AM1" s="140"/>
      <c r="AN1" s="140"/>
      <c r="AO1" s="140"/>
      <c r="AP1" s="250"/>
      <c r="AQ1" s="250"/>
      <c r="AR1" s="250"/>
      <c r="AS1" s="140"/>
      <c r="AT1" s="140"/>
      <c r="AU1" s="140"/>
      <c r="AV1" s="140"/>
      <c r="AW1" s="140"/>
      <c r="AX1" s="140"/>
      <c r="AY1" s="140"/>
      <c r="AZ1" s="140"/>
      <c r="BA1" s="140"/>
      <c r="BB1" s="250"/>
      <c r="BC1" s="250"/>
      <c r="BD1" s="250"/>
      <c r="BE1" s="140"/>
      <c r="BF1" s="140"/>
      <c r="BG1" s="140"/>
      <c r="BH1" s="140"/>
      <c r="BI1" s="140"/>
      <c r="BJ1" s="140"/>
      <c r="BK1" s="140"/>
      <c r="BL1" s="140"/>
      <c r="BM1" s="140"/>
      <c r="BN1" s="250"/>
      <c r="BO1" s="250"/>
      <c r="BP1" s="250"/>
      <c r="BQ1" s="140"/>
      <c r="BR1" s="140"/>
      <c r="BS1" s="140"/>
      <c r="BT1" s="140"/>
      <c r="BU1" s="140"/>
      <c r="BV1" s="140"/>
      <c r="BW1" s="140"/>
      <c r="BX1" s="140"/>
      <c r="BY1" s="140"/>
      <c r="BZ1" s="250"/>
      <c r="CA1" s="250"/>
      <c r="CB1" s="250"/>
      <c r="CC1" s="140"/>
      <c r="CD1" s="140"/>
      <c r="CE1" s="140"/>
      <c r="CF1" s="140"/>
      <c r="CG1" s="140"/>
      <c r="CH1" s="140"/>
      <c r="CI1" s="140"/>
      <c r="CJ1" s="140"/>
      <c r="CK1" s="140"/>
      <c r="CL1" s="250"/>
      <c r="CM1" s="250"/>
      <c r="CN1" s="250"/>
      <c r="CO1" s="140"/>
      <c r="CP1" s="140"/>
      <c r="CQ1" s="140"/>
      <c r="CR1" s="140"/>
      <c r="CS1" s="140"/>
      <c r="CT1" s="140"/>
      <c r="CU1" s="140"/>
      <c r="CV1" s="140"/>
      <c r="CW1" s="140"/>
      <c r="CX1" s="250"/>
      <c r="CY1" s="250"/>
      <c r="CZ1" s="250"/>
      <c r="DA1" s="140"/>
      <c r="DB1" s="140"/>
      <c r="DC1" s="140"/>
      <c r="DD1" s="140"/>
      <c r="DE1" s="140"/>
      <c r="DF1" s="140"/>
      <c r="DG1" s="140"/>
      <c r="DH1" s="140"/>
      <c r="DI1" s="140"/>
      <c r="DJ1" s="250"/>
      <c r="DK1" s="250"/>
      <c r="DL1" s="250"/>
      <c r="DM1" s="140"/>
      <c r="DN1" s="140"/>
      <c r="DO1" s="140"/>
      <c r="DP1" s="140"/>
      <c r="DQ1" s="140"/>
      <c r="DR1" s="140"/>
      <c r="DS1" s="140"/>
      <c r="DT1" s="140"/>
      <c r="DU1" s="140"/>
      <c r="DV1" s="250"/>
      <c r="DW1" s="250"/>
      <c r="DX1" s="250"/>
      <c r="DY1" s="140"/>
      <c r="DZ1" s="140"/>
      <c r="EA1" s="140"/>
      <c r="EB1" s="140"/>
      <c r="EC1" s="140"/>
      <c r="ED1" s="140"/>
      <c r="EE1" s="140"/>
      <c r="EF1" s="140"/>
      <c r="EG1" s="140"/>
      <c r="EH1" s="250"/>
      <c r="EI1" s="250"/>
      <c r="EJ1" s="250"/>
      <c r="EK1" s="140"/>
      <c r="EL1" s="140"/>
      <c r="EM1" s="140"/>
      <c r="EN1" s="140"/>
      <c r="EO1" s="140"/>
      <c r="EP1" s="140"/>
      <c r="EQ1" s="140"/>
      <c r="ER1" s="140"/>
      <c r="ES1" s="140"/>
      <c r="ET1" s="250"/>
      <c r="EU1" s="250"/>
      <c r="EV1" s="250"/>
      <c r="EW1" s="140"/>
      <c r="EX1" s="140"/>
      <c r="EY1" s="140"/>
      <c r="EZ1" s="140"/>
      <c r="FA1" s="140"/>
      <c r="FB1" s="140"/>
      <c r="FC1" s="140"/>
      <c r="FD1" s="140"/>
      <c r="FE1" s="140"/>
      <c r="FF1" s="250"/>
      <c r="FG1" s="250"/>
      <c r="FH1" s="250"/>
      <c r="FI1" s="140"/>
      <c r="FJ1" s="140"/>
      <c r="FK1" s="140"/>
      <c r="FL1" s="140"/>
      <c r="FM1" s="140"/>
      <c r="FN1" s="140"/>
      <c r="FO1" s="140"/>
      <c r="FP1" s="140"/>
      <c r="FQ1" s="140"/>
      <c r="FR1" s="250"/>
      <c r="FS1" s="250"/>
      <c r="FT1" s="250"/>
      <c r="FU1" s="140"/>
      <c r="FV1" s="140"/>
      <c r="FW1" s="140"/>
      <c r="FX1" s="140"/>
      <c r="FY1" s="140"/>
      <c r="FZ1" s="140"/>
      <c r="GA1" s="140"/>
      <c r="GB1" s="140"/>
      <c r="GC1" s="140"/>
      <c r="GD1" s="250"/>
      <c r="GE1" s="250"/>
      <c r="GF1" s="250"/>
      <c r="GG1" s="140"/>
      <c r="GH1" s="140"/>
      <c r="GI1" s="140"/>
      <c r="GJ1" s="140"/>
      <c r="GK1" s="140"/>
      <c r="GL1" s="140"/>
      <c r="GM1" s="140"/>
      <c r="GN1" s="140"/>
      <c r="GO1" s="140"/>
      <c r="GP1" s="250"/>
      <c r="GQ1" s="250"/>
      <c r="GR1" s="250"/>
      <c r="GS1" s="140"/>
      <c r="GT1" s="140"/>
      <c r="GU1" s="140"/>
      <c r="GV1" s="140"/>
      <c r="GW1" s="140"/>
      <c r="GX1" s="140"/>
      <c r="GY1" s="140"/>
      <c r="GZ1" s="140"/>
      <c r="HA1" s="140"/>
      <c r="HB1" s="250"/>
      <c r="HC1" s="250"/>
      <c r="HD1" s="250"/>
      <c r="HE1" s="140"/>
      <c r="HF1" s="140"/>
      <c r="HG1" s="140"/>
      <c r="HH1" s="140"/>
      <c r="HI1" s="140"/>
      <c r="HJ1" s="140"/>
      <c r="HK1" s="140"/>
      <c r="HL1" s="140"/>
      <c r="HM1" s="140"/>
      <c r="HN1" s="250"/>
      <c r="HO1" s="250"/>
      <c r="HP1" s="250"/>
      <c r="HQ1" s="140"/>
      <c r="HR1" s="140"/>
      <c r="HS1" s="140"/>
      <c r="HT1" s="140"/>
      <c r="HU1" s="140"/>
      <c r="HV1" s="140"/>
      <c r="HW1" s="140"/>
      <c r="HX1" s="140"/>
      <c r="HY1" s="140"/>
      <c r="HZ1" s="250"/>
      <c r="IA1" s="250"/>
      <c r="IB1" s="250"/>
      <c r="IC1" s="140"/>
      <c r="ID1" s="140"/>
      <c r="IE1" s="140"/>
      <c r="IF1" s="140"/>
      <c r="IG1" s="140"/>
      <c r="IH1" s="140"/>
      <c r="II1" s="140"/>
      <c r="IJ1" s="140"/>
      <c r="IK1" s="140"/>
      <c r="IL1" s="250"/>
      <c r="IM1" s="250"/>
      <c r="IN1" s="250"/>
      <c r="IO1" s="140"/>
      <c r="IP1" s="140"/>
      <c r="IQ1" s="140"/>
      <c r="IR1" s="140"/>
    </row>
    <row r="2" spans="1:252" s="6" customFormat="1" ht="15">
      <c r="A2" s="152" t="s">
        <v>0</v>
      </c>
      <c r="B2" s="150"/>
      <c r="C2" s="150"/>
      <c r="D2" s="150"/>
      <c r="E2" s="252"/>
      <c r="F2" s="252"/>
      <c r="G2" s="252"/>
      <c r="H2" s="252"/>
      <c r="I2" s="252"/>
      <c r="J2" s="252"/>
      <c r="K2" s="252"/>
      <c r="L2" s="251"/>
      <c r="M2" s="251"/>
      <c r="N2" s="251"/>
      <c r="O2" s="150"/>
      <c r="P2" s="150"/>
      <c r="Q2" s="150"/>
      <c r="R2" s="252"/>
      <c r="S2" s="252"/>
      <c r="T2" s="252"/>
      <c r="U2" s="251"/>
      <c r="V2" s="251"/>
      <c r="W2" s="251"/>
      <c r="X2" s="251"/>
      <c r="Y2" s="251"/>
      <c r="Z2" s="251"/>
      <c r="AA2" s="150"/>
      <c r="AB2" s="150"/>
      <c r="AC2" s="150"/>
      <c r="AD2" s="252"/>
      <c r="AE2" s="252"/>
      <c r="AF2" s="252"/>
      <c r="AG2" s="251"/>
      <c r="AH2" s="251"/>
      <c r="AI2" s="251"/>
      <c r="AJ2" s="251"/>
      <c r="AK2" s="251"/>
      <c r="AL2" s="251"/>
      <c r="AM2" s="150"/>
      <c r="AN2" s="150"/>
      <c r="AO2" s="150"/>
      <c r="AP2" s="252"/>
      <c r="AQ2" s="252"/>
      <c r="AR2" s="252"/>
      <c r="AS2" s="251"/>
      <c r="AT2" s="251"/>
      <c r="AU2" s="251"/>
      <c r="AV2" s="251"/>
      <c r="AW2" s="251"/>
      <c r="AX2" s="251"/>
      <c r="AY2" s="150"/>
      <c r="AZ2" s="150"/>
      <c r="BA2" s="150"/>
      <c r="BB2" s="252"/>
      <c r="BC2" s="252"/>
      <c r="BD2" s="252"/>
      <c r="BE2" s="251"/>
      <c r="BF2" s="251"/>
      <c r="BG2" s="251"/>
      <c r="BH2" s="251"/>
      <c r="BI2" s="251"/>
      <c r="BJ2" s="251"/>
      <c r="BK2" s="150"/>
      <c r="BL2" s="150"/>
      <c r="BM2" s="150"/>
      <c r="BN2" s="252"/>
      <c r="BO2" s="252"/>
      <c r="BP2" s="252"/>
      <c r="BQ2" s="251"/>
      <c r="BR2" s="251"/>
      <c r="BS2" s="251"/>
      <c r="BT2" s="251"/>
      <c r="BU2" s="251"/>
      <c r="BV2" s="251"/>
      <c r="BW2" s="150"/>
      <c r="BX2" s="150"/>
      <c r="BY2" s="150"/>
      <c r="BZ2" s="252"/>
      <c r="CA2" s="252"/>
      <c r="CB2" s="252"/>
      <c r="CC2" s="251"/>
      <c r="CD2" s="251"/>
      <c r="CE2" s="251"/>
      <c r="CF2" s="251"/>
      <c r="CG2" s="251"/>
      <c r="CH2" s="251"/>
      <c r="CI2" s="150"/>
      <c r="CJ2" s="150"/>
      <c r="CK2" s="150"/>
      <c r="CL2" s="252"/>
      <c r="CM2" s="252"/>
      <c r="CN2" s="252"/>
      <c r="CO2" s="251"/>
      <c r="CP2" s="251"/>
      <c r="CQ2" s="251"/>
      <c r="CR2" s="251"/>
      <c r="CS2" s="251"/>
      <c r="CT2" s="251"/>
      <c r="CU2" s="150"/>
      <c r="CV2" s="150"/>
      <c r="CW2" s="150"/>
      <c r="CX2" s="252"/>
      <c r="CY2" s="252"/>
      <c r="CZ2" s="252"/>
      <c r="DA2" s="251"/>
      <c r="DB2" s="251"/>
      <c r="DC2" s="251"/>
      <c r="DD2" s="251"/>
      <c r="DE2" s="251"/>
      <c r="DF2" s="251"/>
      <c r="DG2" s="150"/>
      <c r="DH2" s="150"/>
      <c r="DI2" s="150"/>
      <c r="DJ2" s="252"/>
      <c r="DK2" s="252"/>
      <c r="DL2" s="252"/>
      <c r="DM2" s="251"/>
      <c r="DN2" s="251"/>
      <c r="DO2" s="251"/>
      <c r="DP2" s="251"/>
      <c r="DQ2" s="251"/>
      <c r="DR2" s="251"/>
      <c r="DS2" s="150"/>
      <c r="DT2" s="150"/>
      <c r="DU2" s="150"/>
      <c r="DV2" s="252"/>
      <c r="DW2" s="252"/>
      <c r="DX2" s="252"/>
      <c r="DY2" s="251"/>
      <c r="DZ2" s="251"/>
      <c r="EA2" s="251"/>
      <c r="EB2" s="251"/>
      <c r="EC2" s="251"/>
      <c r="ED2" s="251"/>
      <c r="EE2" s="150"/>
      <c r="EF2" s="150"/>
      <c r="EG2" s="150"/>
      <c r="EH2" s="252"/>
      <c r="EI2" s="252"/>
      <c r="EJ2" s="252"/>
      <c r="EK2" s="251"/>
      <c r="EL2" s="251"/>
      <c r="EM2" s="251"/>
      <c r="EN2" s="251"/>
      <c r="EO2" s="251"/>
      <c r="EP2" s="251"/>
      <c r="EQ2" s="150"/>
      <c r="ER2" s="150"/>
      <c r="ES2" s="150"/>
      <c r="ET2" s="252"/>
      <c r="EU2" s="252"/>
      <c r="EV2" s="252"/>
      <c r="EW2" s="251"/>
      <c r="EX2" s="251"/>
      <c r="EY2" s="251"/>
      <c r="EZ2" s="251"/>
      <c r="FA2" s="251"/>
      <c r="FB2" s="251"/>
      <c r="FC2" s="150"/>
      <c r="FD2" s="150"/>
      <c r="FE2" s="150"/>
      <c r="FF2" s="252"/>
      <c r="FG2" s="252"/>
      <c r="FH2" s="252"/>
      <c r="FI2" s="251"/>
      <c r="FJ2" s="251"/>
      <c r="FK2" s="251"/>
      <c r="FL2" s="251"/>
      <c r="FM2" s="251"/>
      <c r="FN2" s="251"/>
      <c r="FO2" s="150"/>
      <c r="FP2" s="150"/>
      <c r="FQ2" s="150"/>
      <c r="FR2" s="252"/>
      <c r="FS2" s="252"/>
      <c r="FT2" s="252"/>
      <c r="FU2" s="251"/>
      <c r="FV2" s="251"/>
      <c r="FW2" s="251"/>
      <c r="FX2" s="251"/>
      <c r="FY2" s="251"/>
      <c r="FZ2" s="251"/>
      <c r="GA2" s="150"/>
      <c r="GB2" s="150"/>
      <c r="GC2" s="150"/>
      <c r="GD2" s="252"/>
      <c r="GE2" s="252"/>
      <c r="GF2" s="252"/>
      <c r="GG2" s="251"/>
      <c r="GH2" s="251"/>
      <c r="GI2" s="251"/>
      <c r="GJ2" s="251"/>
      <c r="GK2" s="251"/>
      <c r="GL2" s="251"/>
      <c r="GM2" s="150"/>
      <c r="GN2" s="150"/>
      <c r="GO2" s="150"/>
      <c r="GP2" s="252"/>
      <c r="GQ2" s="252"/>
      <c r="GR2" s="252"/>
      <c r="GS2" s="251"/>
      <c r="GT2" s="251"/>
      <c r="GU2" s="251"/>
      <c r="GV2" s="251"/>
      <c r="GW2" s="251"/>
      <c r="GX2" s="251"/>
      <c r="GY2" s="150"/>
      <c r="GZ2" s="150"/>
      <c r="HA2" s="150"/>
      <c r="HB2" s="252"/>
      <c r="HC2" s="252"/>
      <c r="HD2" s="252"/>
      <c r="HE2" s="251"/>
      <c r="HF2" s="251"/>
      <c r="HG2" s="251"/>
      <c r="HH2" s="251"/>
      <c r="HI2" s="251"/>
      <c r="HJ2" s="251"/>
      <c r="HK2" s="150"/>
      <c r="HL2" s="150"/>
      <c r="HM2" s="150"/>
      <c r="HN2" s="252"/>
      <c r="HO2" s="252"/>
      <c r="HP2" s="252"/>
      <c r="HQ2" s="251"/>
      <c r="HR2" s="251"/>
      <c r="HS2" s="251"/>
      <c r="HT2" s="251"/>
      <c r="HU2" s="251"/>
      <c r="HV2" s="251"/>
      <c r="HW2" s="150"/>
      <c r="HX2" s="150"/>
      <c r="HY2" s="150"/>
      <c r="HZ2" s="252"/>
      <c r="IA2" s="252"/>
      <c r="IB2" s="252"/>
      <c r="IC2" s="251"/>
      <c r="ID2" s="251"/>
      <c r="IE2" s="251"/>
      <c r="IF2" s="251"/>
      <c r="IG2" s="251"/>
      <c r="IH2" s="251"/>
      <c r="II2" s="150"/>
      <c r="IJ2" s="150"/>
      <c r="IK2" s="150"/>
      <c r="IL2" s="252"/>
      <c r="IM2" s="252"/>
      <c r="IN2" s="252"/>
      <c r="IO2" s="251"/>
      <c r="IP2" s="251"/>
      <c r="IQ2" s="251"/>
      <c r="IR2" s="251"/>
    </row>
    <row r="3" spans="1:252" s="2" customFormat="1" ht="18" customHeight="1">
      <c r="A3" s="253"/>
      <c r="B3" s="254"/>
      <c r="C3" s="254"/>
      <c r="D3" s="254"/>
      <c r="E3" s="255"/>
      <c r="F3" s="255"/>
      <c r="G3" s="255"/>
      <c r="H3" s="255"/>
      <c r="I3" s="255"/>
      <c r="J3" s="255"/>
      <c r="K3" s="255"/>
      <c r="L3" s="253"/>
      <c r="M3" s="253"/>
      <c r="N3" s="253"/>
      <c r="O3" s="254"/>
      <c r="P3" s="254"/>
      <c r="Q3" s="254"/>
      <c r="R3" s="255"/>
      <c r="S3" s="255"/>
      <c r="T3" s="255"/>
      <c r="U3" s="253"/>
      <c r="V3" s="253"/>
      <c r="W3" s="253"/>
      <c r="X3" s="253"/>
      <c r="Y3" s="253"/>
      <c r="Z3" s="253"/>
      <c r="AA3" s="254"/>
      <c r="AB3" s="254"/>
      <c r="AC3" s="254"/>
      <c r="AD3" s="255"/>
      <c r="AE3" s="255"/>
      <c r="AF3" s="255"/>
      <c r="AG3" s="253"/>
      <c r="AH3" s="253"/>
      <c r="AI3" s="253"/>
      <c r="AJ3" s="253"/>
      <c r="AK3" s="253"/>
      <c r="AL3" s="253"/>
      <c r="AM3" s="254"/>
      <c r="AN3" s="254"/>
      <c r="AO3" s="254"/>
      <c r="AP3" s="255"/>
      <c r="AQ3" s="255"/>
      <c r="AR3" s="255"/>
      <c r="AS3" s="253"/>
      <c r="AT3" s="253"/>
      <c r="AU3" s="253"/>
      <c r="AV3" s="253"/>
      <c r="AW3" s="253"/>
      <c r="AX3" s="253"/>
      <c r="AY3" s="254"/>
      <c r="AZ3" s="254"/>
      <c r="BA3" s="254"/>
      <c r="BB3" s="255"/>
      <c r="BC3" s="255"/>
      <c r="BD3" s="255"/>
      <c r="BE3" s="253"/>
      <c r="BF3" s="253"/>
      <c r="BG3" s="253"/>
      <c r="BH3" s="253"/>
      <c r="BI3" s="253"/>
      <c r="BJ3" s="253"/>
      <c r="BK3" s="254"/>
      <c r="BL3" s="254"/>
      <c r="BM3" s="254"/>
      <c r="BN3" s="255"/>
      <c r="BO3" s="255"/>
      <c r="BP3" s="255"/>
      <c r="BQ3" s="253"/>
      <c r="BR3" s="253"/>
      <c r="BS3" s="253"/>
      <c r="BT3" s="253"/>
      <c r="BU3" s="253"/>
      <c r="BV3" s="253"/>
      <c r="BW3" s="254"/>
      <c r="BX3" s="254"/>
      <c r="BY3" s="254"/>
      <c r="BZ3" s="255"/>
      <c r="CA3" s="255"/>
      <c r="CB3" s="255"/>
      <c r="CC3" s="253"/>
      <c r="CD3" s="253"/>
      <c r="CE3" s="253"/>
      <c r="CF3" s="253"/>
      <c r="CG3" s="253"/>
      <c r="CH3" s="253"/>
      <c r="CI3" s="254"/>
      <c r="CJ3" s="254"/>
      <c r="CK3" s="254"/>
      <c r="CL3" s="255"/>
      <c r="CM3" s="255"/>
      <c r="CN3" s="255"/>
      <c r="CO3" s="253"/>
      <c r="CP3" s="253"/>
      <c r="CQ3" s="253"/>
      <c r="CR3" s="253"/>
      <c r="CS3" s="253"/>
      <c r="CT3" s="253"/>
      <c r="CU3" s="254"/>
      <c r="CV3" s="254"/>
      <c r="CW3" s="254"/>
      <c r="CX3" s="255"/>
      <c r="CY3" s="255"/>
      <c r="CZ3" s="255"/>
      <c r="DA3" s="253"/>
      <c r="DB3" s="253"/>
      <c r="DC3" s="253"/>
      <c r="DD3" s="253"/>
      <c r="DE3" s="253"/>
      <c r="DF3" s="253"/>
      <c r="DG3" s="254"/>
      <c r="DH3" s="254"/>
      <c r="DI3" s="254"/>
      <c r="DJ3" s="255"/>
      <c r="DK3" s="255"/>
      <c r="DL3" s="255"/>
      <c r="DM3" s="253"/>
      <c r="DN3" s="253"/>
      <c r="DO3" s="253"/>
      <c r="DP3" s="253"/>
      <c r="DQ3" s="253"/>
      <c r="DR3" s="253"/>
      <c r="DS3" s="254"/>
      <c r="DT3" s="254"/>
      <c r="DU3" s="254"/>
      <c r="DV3" s="255"/>
      <c r="DW3" s="255"/>
      <c r="DX3" s="255"/>
      <c r="DY3" s="253"/>
      <c r="DZ3" s="253"/>
      <c r="EA3" s="253"/>
      <c r="EB3" s="253"/>
      <c r="EC3" s="253"/>
      <c r="ED3" s="253"/>
      <c r="EE3" s="254"/>
      <c r="EF3" s="254"/>
      <c r="EG3" s="254"/>
      <c r="EH3" s="255"/>
      <c r="EI3" s="255"/>
      <c r="EJ3" s="255"/>
      <c r="EK3" s="253"/>
      <c r="EL3" s="253"/>
      <c r="EM3" s="253"/>
      <c r="EN3" s="253"/>
      <c r="EO3" s="253"/>
      <c r="EP3" s="253"/>
      <c r="EQ3" s="254"/>
      <c r="ER3" s="254"/>
      <c r="ES3" s="254"/>
      <c r="ET3" s="255"/>
      <c r="EU3" s="255"/>
      <c r="EV3" s="255"/>
      <c r="EW3" s="253"/>
      <c r="EX3" s="253"/>
      <c r="EY3" s="253"/>
      <c r="EZ3" s="253"/>
      <c r="FA3" s="253"/>
      <c r="FB3" s="253"/>
      <c r="FC3" s="254"/>
      <c r="FD3" s="254"/>
      <c r="FE3" s="254"/>
      <c r="FF3" s="255"/>
      <c r="FG3" s="255"/>
      <c r="FH3" s="255"/>
      <c r="FI3" s="253"/>
      <c r="FJ3" s="253"/>
      <c r="FK3" s="253"/>
      <c r="FL3" s="253"/>
      <c r="FM3" s="253"/>
      <c r="FN3" s="253"/>
      <c r="FO3" s="254"/>
      <c r="FP3" s="254"/>
      <c r="FQ3" s="254"/>
      <c r="FR3" s="255"/>
      <c r="FS3" s="255"/>
      <c r="FT3" s="255"/>
      <c r="FU3" s="253"/>
      <c r="FV3" s="253"/>
      <c r="FW3" s="253"/>
      <c r="FX3" s="253"/>
      <c r="FY3" s="253"/>
      <c r="FZ3" s="253"/>
      <c r="GA3" s="254"/>
      <c r="GB3" s="254"/>
      <c r="GC3" s="254"/>
      <c r="GD3" s="255"/>
      <c r="GE3" s="255"/>
      <c r="GF3" s="255"/>
      <c r="GG3" s="253"/>
      <c r="GH3" s="253"/>
      <c r="GI3" s="253"/>
      <c r="GJ3" s="253"/>
      <c r="GK3" s="253"/>
      <c r="GL3" s="253"/>
      <c r="GM3" s="254"/>
      <c r="GN3" s="254"/>
      <c r="GO3" s="254"/>
      <c r="GP3" s="255"/>
      <c r="GQ3" s="255"/>
      <c r="GR3" s="255"/>
      <c r="GS3" s="253"/>
      <c r="GT3" s="253"/>
      <c r="GU3" s="253"/>
      <c r="GV3" s="253"/>
      <c r="GW3" s="253"/>
      <c r="GX3" s="253"/>
      <c r="GY3" s="254"/>
      <c r="GZ3" s="254"/>
      <c r="HA3" s="254"/>
      <c r="HB3" s="255"/>
      <c r="HC3" s="255"/>
      <c r="HD3" s="255"/>
      <c r="HE3" s="253"/>
      <c r="HF3" s="253"/>
      <c r="HG3" s="253"/>
      <c r="HH3" s="253"/>
      <c r="HI3" s="253"/>
      <c r="HJ3" s="253"/>
      <c r="HK3" s="254"/>
      <c r="HL3" s="254"/>
      <c r="HM3" s="254"/>
      <c r="HN3" s="255"/>
      <c r="HO3" s="255"/>
      <c r="HP3" s="255"/>
      <c r="HQ3" s="253"/>
      <c r="HR3" s="253"/>
      <c r="HS3" s="253"/>
      <c r="HT3" s="253"/>
      <c r="HU3" s="253"/>
      <c r="HV3" s="253"/>
      <c r="HW3" s="254"/>
      <c r="HX3" s="254"/>
      <c r="HY3" s="254"/>
      <c r="HZ3" s="255"/>
      <c r="IA3" s="255"/>
      <c r="IB3" s="255"/>
      <c r="IC3" s="253"/>
      <c r="ID3" s="253"/>
      <c r="IE3" s="253"/>
      <c r="IF3" s="253"/>
      <c r="IG3" s="253"/>
      <c r="IH3" s="253"/>
      <c r="II3" s="254"/>
      <c r="IJ3" s="254"/>
      <c r="IK3" s="254"/>
      <c r="IL3" s="255"/>
      <c r="IM3" s="255"/>
      <c r="IN3" s="255"/>
      <c r="IO3" s="253"/>
      <c r="IP3" s="253"/>
      <c r="IQ3" s="253"/>
      <c r="IR3" s="253"/>
    </row>
    <row r="4" spans="1:252"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9"/>
      <c r="O4" s="258"/>
      <c r="P4" s="258"/>
      <c r="Q4" s="259"/>
      <c r="R4" s="259"/>
      <c r="S4" s="259"/>
      <c r="T4" s="258"/>
      <c r="U4" s="260"/>
      <c r="V4" s="258"/>
      <c r="W4" s="258"/>
      <c r="X4" s="259"/>
      <c r="Y4" s="259"/>
      <c r="Z4" s="259"/>
      <c r="AA4" s="258"/>
      <c r="AB4" s="258"/>
      <c r="AC4" s="259"/>
      <c r="AD4" s="259"/>
      <c r="AE4" s="259"/>
      <c r="AF4" s="258"/>
      <c r="AG4" s="260"/>
      <c r="AH4" s="258"/>
      <c r="AI4" s="258"/>
      <c r="AJ4" s="259"/>
      <c r="AK4" s="259"/>
      <c r="AL4" s="259"/>
      <c r="AM4" s="258"/>
      <c r="AN4" s="258"/>
      <c r="AO4" s="259"/>
      <c r="AP4" s="259"/>
      <c r="AQ4" s="259"/>
      <c r="AR4" s="258"/>
      <c r="AS4" s="260"/>
      <c r="AT4" s="258"/>
      <c r="AU4" s="258"/>
      <c r="AV4" s="259"/>
      <c r="AW4" s="259"/>
      <c r="AX4" s="259"/>
      <c r="AY4" s="258"/>
      <c r="AZ4" s="258"/>
      <c r="BA4" s="259"/>
      <c r="BB4" s="259"/>
      <c r="BC4" s="259"/>
      <c r="BD4" s="258"/>
      <c r="BE4" s="260"/>
      <c r="BF4" s="258"/>
      <c r="BG4" s="258"/>
      <c r="BH4" s="259"/>
      <c r="BI4" s="259"/>
      <c r="BJ4" s="259"/>
      <c r="BK4" s="258"/>
      <c r="BL4" s="258"/>
      <c r="BM4" s="259"/>
      <c r="BN4" s="259"/>
      <c r="BO4" s="259"/>
      <c r="BP4" s="258"/>
      <c r="BQ4" s="260"/>
      <c r="BR4" s="258"/>
      <c r="BS4" s="258"/>
      <c r="BT4" s="259"/>
      <c r="BU4" s="259"/>
      <c r="BV4" s="259"/>
      <c r="BW4" s="258"/>
      <c r="BX4" s="258"/>
      <c r="BY4" s="259"/>
      <c r="BZ4" s="259"/>
      <c r="CA4" s="259"/>
      <c r="CB4" s="258"/>
      <c r="CC4" s="260"/>
      <c r="CD4" s="258"/>
      <c r="CE4" s="258"/>
      <c r="CF4" s="259"/>
      <c r="CG4" s="259"/>
      <c r="CH4" s="259"/>
      <c r="CI4" s="258"/>
      <c r="CJ4" s="258"/>
      <c r="CK4" s="259"/>
      <c r="CL4" s="259"/>
      <c r="CM4" s="259"/>
      <c r="CN4" s="258"/>
      <c r="CO4" s="260"/>
      <c r="CP4" s="258"/>
      <c r="CQ4" s="258"/>
      <c r="CR4" s="259"/>
      <c r="CS4" s="259"/>
      <c r="CT4" s="259"/>
      <c r="CU4" s="258"/>
      <c r="CV4" s="258"/>
      <c r="CW4" s="259"/>
      <c r="CX4" s="259"/>
      <c r="CY4" s="259"/>
      <c r="CZ4" s="258"/>
      <c r="DA4" s="260"/>
      <c r="DB4" s="258"/>
      <c r="DC4" s="258"/>
      <c r="DD4" s="259"/>
      <c r="DE4" s="259"/>
      <c r="DF4" s="259"/>
      <c r="DG4" s="258"/>
      <c r="DH4" s="258"/>
      <c r="DI4" s="259"/>
      <c r="DJ4" s="259"/>
      <c r="DK4" s="259"/>
      <c r="DL4" s="258"/>
      <c r="DM4" s="260"/>
      <c r="DN4" s="258"/>
      <c r="DO4" s="258"/>
      <c r="DP4" s="259"/>
      <c r="DQ4" s="259"/>
      <c r="DR4" s="259"/>
      <c r="DS4" s="258"/>
      <c r="DT4" s="258"/>
      <c r="DU4" s="259"/>
      <c r="DV4" s="259"/>
      <c r="DW4" s="259"/>
      <c r="DX4" s="258"/>
      <c r="DY4" s="260"/>
      <c r="DZ4" s="258"/>
      <c r="EA4" s="258"/>
      <c r="EB4" s="259"/>
      <c r="EC4" s="259"/>
      <c r="ED4" s="259"/>
      <c r="EE4" s="258"/>
      <c r="EF4" s="258"/>
      <c r="EG4" s="259"/>
      <c r="EH4" s="259"/>
      <c r="EI4" s="259"/>
      <c r="EJ4" s="258"/>
      <c r="EK4" s="260"/>
      <c r="EL4" s="258"/>
      <c r="EM4" s="258"/>
      <c r="EN4" s="259"/>
      <c r="EO4" s="259"/>
      <c r="EP4" s="259"/>
      <c r="EQ4" s="258"/>
      <c r="ER4" s="258"/>
      <c r="ES4" s="259"/>
      <c r="ET4" s="259"/>
      <c r="EU4" s="259"/>
      <c r="EV4" s="258"/>
      <c r="EW4" s="260"/>
      <c r="EX4" s="258"/>
      <c r="EY4" s="258"/>
      <c r="EZ4" s="259"/>
      <c r="FA4" s="259"/>
      <c r="FB4" s="259"/>
      <c r="FC4" s="258"/>
      <c r="FD4" s="258"/>
      <c r="FE4" s="259"/>
      <c r="FF4" s="259"/>
      <c r="FG4" s="259"/>
      <c r="FH4" s="258"/>
      <c r="FI4" s="260"/>
      <c r="FJ4" s="258"/>
      <c r="FK4" s="258"/>
      <c r="FL4" s="259"/>
      <c r="FM4" s="259"/>
      <c r="FN4" s="259"/>
      <c r="FO4" s="258"/>
      <c r="FP4" s="258"/>
      <c r="FQ4" s="259"/>
      <c r="FR4" s="259"/>
      <c r="FS4" s="259"/>
      <c r="FT4" s="258"/>
      <c r="FU4" s="260"/>
      <c r="FV4" s="258"/>
      <c r="FW4" s="258"/>
      <c r="FX4" s="259"/>
      <c r="FY4" s="259"/>
      <c r="FZ4" s="259"/>
      <c r="GA4" s="258"/>
      <c r="GB4" s="258"/>
      <c r="GC4" s="259"/>
      <c r="GD4" s="259"/>
      <c r="GE4" s="259"/>
      <c r="GF4" s="258"/>
      <c r="GG4" s="260"/>
      <c r="GH4" s="258"/>
      <c r="GI4" s="258"/>
      <c r="GJ4" s="259"/>
      <c r="GK4" s="259"/>
      <c r="GL4" s="259"/>
      <c r="GM4" s="258"/>
      <c r="GN4" s="258"/>
      <c r="GO4" s="259"/>
      <c r="GP4" s="259"/>
      <c r="GQ4" s="259"/>
      <c r="GR4" s="258"/>
      <c r="GS4" s="260"/>
      <c r="GT4" s="258"/>
      <c r="GU4" s="258"/>
      <c r="GV4" s="259"/>
      <c r="GW4" s="259"/>
      <c r="GX4" s="259"/>
      <c r="GY4" s="258"/>
      <c r="GZ4" s="258"/>
      <c r="HA4" s="259"/>
      <c r="HB4" s="259"/>
      <c r="HC4" s="259"/>
      <c r="HD4" s="258"/>
      <c r="HE4" s="260"/>
      <c r="HF4" s="258"/>
      <c r="HG4" s="258"/>
      <c r="HH4" s="259"/>
      <c r="HI4" s="259"/>
      <c r="HJ4" s="259"/>
      <c r="HK4" s="258"/>
      <c r="HL4" s="258"/>
      <c r="HM4" s="259"/>
      <c r="HN4" s="259"/>
      <c r="HO4" s="259"/>
      <c r="HP4" s="258"/>
      <c r="HQ4" s="260"/>
      <c r="HR4" s="258"/>
      <c r="HS4" s="258"/>
      <c r="HT4" s="259"/>
      <c r="HU4" s="259"/>
      <c r="HV4" s="259"/>
      <c r="HW4" s="258"/>
      <c r="HX4" s="258"/>
      <c r="HY4" s="259"/>
      <c r="HZ4" s="259"/>
      <c r="IA4" s="259"/>
      <c r="IB4" s="258"/>
      <c r="IC4" s="260"/>
      <c r="ID4" s="258"/>
      <c r="IE4" s="258"/>
      <c r="IF4" s="259"/>
      <c r="IG4" s="259"/>
      <c r="IH4" s="259"/>
      <c r="II4" s="258"/>
      <c r="IJ4" s="258"/>
      <c r="IK4" s="259"/>
      <c r="IL4" s="259"/>
      <c r="IM4" s="259"/>
      <c r="IN4" s="258"/>
      <c r="IO4" s="260"/>
      <c r="IP4" s="258"/>
      <c r="IQ4" s="258"/>
      <c r="IR4" s="259"/>
    </row>
    <row r="5" spans="1:252"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row>
    <row r="6" spans="1:252" s="5" customFormat="1" ht="14.25">
      <c r="A6" s="35" t="s">
        <v>29</v>
      </c>
      <c r="B6" s="291">
        <v>1.8</v>
      </c>
      <c r="C6" s="291">
        <v>4.5</v>
      </c>
      <c r="D6" s="291">
        <v>0</v>
      </c>
      <c r="E6" s="291">
        <v>2.2999999999999998</v>
      </c>
      <c r="F6" s="291">
        <v>3.4</v>
      </c>
      <c r="G6" s="397">
        <v>2.6</v>
      </c>
      <c r="H6" s="291">
        <v>1.2</v>
      </c>
      <c r="I6" s="291">
        <v>0.5</v>
      </c>
      <c r="J6" s="291">
        <v>0.3</v>
      </c>
      <c r="K6" s="291">
        <v>1.3</v>
      </c>
      <c r="L6" s="291"/>
      <c r="M6" s="291"/>
      <c r="N6" s="291"/>
      <c r="O6" s="291"/>
      <c r="P6" s="292"/>
      <c r="Q6" s="292"/>
      <c r="R6" s="292"/>
      <c r="S6" s="292"/>
      <c r="T6" s="292"/>
      <c r="U6" s="35"/>
      <c r="V6" s="291"/>
      <c r="W6" s="291"/>
      <c r="X6" s="291"/>
      <c r="Y6" s="291"/>
      <c r="Z6" s="291"/>
      <c r="AA6" s="291"/>
      <c r="AB6" s="292"/>
      <c r="AC6" s="292"/>
      <c r="AD6" s="292"/>
      <c r="AE6" s="292"/>
      <c r="AF6" s="292"/>
      <c r="AG6" s="35"/>
      <c r="AH6" s="291"/>
      <c r="AI6" s="291"/>
      <c r="AJ6" s="291"/>
      <c r="AK6" s="291"/>
      <c r="AL6" s="291"/>
      <c r="AM6" s="291"/>
      <c r="AN6" s="292"/>
      <c r="AO6" s="292"/>
      <c r="AP6" s="292"/>
      <c r="AQ6" s="292"/>
      <c r="AR6" s="292"/>
      <c r="AS6" s="35"/>
      <c r="AT6" s="291"/>
      <c r="AU6" s="291"/>
      <c r="AV6" s="291"/>
      <c r="AW6" s="291"/>
      <c r="AX6" s="291"/>
      <c r="AY6" s="291"/>
      <c r="AZ6" s="292"/>
      <c r="BA6" s="292"/>
      <c r="BB6" s="292"/>
      <c r="BC6" s="292"/>
      <c r="BD6" s="292"/>
      <c r="BE6" s="35"/>
      <c r="BF6" s="291"/>
      <c r="BG6" s="291"/>
      <c r="BH6" s="291"/>
      <c r="BI6" s="291"/>
      <c r="BJ6" s="291"/>
      <c r="BK6" s="291"/>
      <c r="BL6" s="292"/>
      <c r="BM6" s="292"/>
      <c r="BN6" s="292"/>
      <c r="BO6" s="292"/>
      <c r="BP6" s="292"/>
      <c r="BQ6" s="35"/>
      <c r="BR6" s="291"/>
      <c r="BS6" s="291"/>
      <c r="BT6" s="291"/>
      <c r="BU6" s="291"/>
      <c r="BV6" s="291"/>
      <c r="BW6" s="291"/>
      <c r="BX6" s="292"/>
      <c r="BY6" s="292"/>
      <c r="BZ6" s="292"/>
      <c r="CA6" s="292"/>
      <c r="CB6" s="292"/>
      <c r="CC6" s="35"/>
      <c r="CD6" s="291"/>
      <c r="CE6" s="291"/>
      <c r="CF6" s="291"/>
      <c r="CG6" s="291"/>
      <c r="CH6" s="291"/>
      <c r="CI6" s="291"/>
      <c r="CJ6" s="292"/>
      <c r="CK6" s="292"/>
      <c r="CL6" s="292"/>
      <c r="CM6" s="292"/>
      <c r="CN6" s="292"/>
      <c r="CO6" s="35"/>
      <c r="CP6" s="291"/>
      <c r="CQ6" s="291"/>
      <c r="CR6" s="291"/>
      <c r="CS6" s="291"/>
      <c r="CT6" s="291"/>
      <c r="CU6" s="291"/>
      <c r="CV6" s="292"/>
      <c r="CW6" s="292"/>
      <c r="CX6" s="292"/>
      <c r="CY6" s="292"/>
      <c r="CZ6" s="292"/>
      <c r="DA6" s="35"/>
      <c r="DB6" s="291"/>
      <c r="DC6" s="291"/>
      <c r="DD6" s="291"/>
      <c r="DE6" s="291"/>
      <c r="DF6" s="291"/>
      <c r="DG6" s="291"/>
      <c r="DH6" s="292"/>
      <c r="DI6" s="292"/>
      <c r="DJ6" s="292"/>
      <c r="DK6" s="292"/>
      <c r="DL6" s="292"/>
      <c r="DM6" s="35"/>
      <c r="DN6" s="291"/>
      <c r="DO6" s="291"/>
      <c r="DP6" s="291"/>
      <c r="DQ6" s="291"/>
      <c r="DR6" s="291"/>
      <c r="DS6" s="291"/>
      <c r="DT6" s="292"/>
      <c r="DU6" s="292"/>
      <c r="DV6" s="292"/>
      <c r="DW6" s="292"/>
      <c r="DX6" s="292"/>
      <c r="DY6" s="35"/>
      <c r="DZ6" s="291"/>
      <c r="EA6" s="291"/>
      <c r="EB6" s="291"/>
      <c r="EC6" s="291"/>
      <c r="ED6" s="291"/>
      <c r="EE6" s="291"/>
      <c r="EF6" s="292"/>
      <c r="EG6" s="292"/>
      <c r="EH6" s="292"/>
      <c r="EI6" s="292"/>
      <c r="EJ6" s="292"/>
      <c r="EK6" s="35"/>
      <c r="EL6" s="291"/>
      <c r="EM6" s="291"/>
      <c r="EN6" s="291"/>
      <c r="EO6" s="291"/>
      <c r="EP6" s="291"/>
      <c r="EQ6" s="291"/>
      <c r="ER6" s="292"/>
      <c r="ES6" s="292"/>
      <c r="ET6" s="292"/>
      <c r="EU6" s="292"/>
      <c r="EV6" s="292"/>
      <c r="EW6" s="35"/>
      <c r="EX6" s="291"/>
      <c r="EY6" s="291"/>
      <c r="EZ6" s="291"/>
      <c r="FA6" s="291"/>
      <c r="FB6" s="291"/>
      <c r="FC6" s="291"/>
      <c r="FD6" s="292"/>
      <c r="FE6" s="292"/>
      <c r="FF6" s="292"/>
      <c r="FG6" s="292"/>
      <c r="FH6" s="292"/>
      <c r="FI6" s="35"/>
      <c r="FJ6" s="291"/>
      <c r="FK6" s="291"/>
      <c r="FL6" s="291"/>
      <c r="FM6" s="291"/>
      <c r="FN6" s="291"/>
      <c r="FO6" s="291"/>
      <c r="FP6" s="292"/>
      <c r="FQ6" s="292"/>
      <c r="FR6" s="292"/>
      <c r="FS6" s="292"/>
      <c r="FT6" s="292"/>
      <c r="FU6" s="35"/>
      <c r="FV6" s="291"/>
      <c r="FW6" s="291"/>
      <c r="FX6" s="291"/>
      <c r="FY6" s="291"/>
      <c r="FZ6" s="291"/>
      <c r="GA6" s="291"/>
      <c r="GB6" s="292"/>
      <c r="GC6" s="292"/>
      <c r="GD6" s="292"/>
      <c r="GE6" s="292"/>
      <c r="GF6" s="292"/>
      <c r="GG6" s="35"/>
      <c r="GH6" s="291"/>
      <c r="GI6" s="291"/>
      <c r="GJ6" s="291"/>
      <c r="GK6" s="291"/>
      <c r="GL6" s="291"/>
      <c r="GM6" s="291"/>
      <c r="GN6" s="292"/>
      <c r="GO6" s="292"/>
      <c r="GP6" s="292"/>
      <c r="GQ6" s="292"/>
      <c r="GR6" s="292"/>
      <c r="GS6" s="35"/>
      <c r="GT6" s="291"/>
      <c r="GU6" s="291"/>
      <c r="GV6" s="291"/>
      <c r="GW6" s="291"/>
      <c r="GX6" s="291"/>
      <c r="GY6" s="291"/>
      <c r="GZ6" s="292"/>
      <c r="HA6" s="292"/>
      <c r="HB6" s="292"/>
      <c r="HC6" s="292"/>
      <c r="HD6" s="292"/>
      <c r="HE6" s="35"/>
      <c r="HF6" s="291"/>
      <c r="HG6" s="291"/>
      <c r="HH6" s="291"/>
      <c r="HI6" s="291"/>
      <c r="HJ6" s="291"/>
      <c r="HK6" s="291"/>
      <c r="HL6" s="292"/>
      <c r="HM6" s="292"/>
      <c r="HN6" s="292"/>
      <c r="HO6" s="292"/>
      <c r="HP6" s="292"/>
      <c r="HQ6" s="35"/>
      <c r="HR6" s="291"/>
      <c r="HS6" s="291"/>
      <c r="HT6" s="291"/>
      <c r="HU6" s="291"/>
      <c r="HV6" s="291"/>
      <c r="HW6" s="291"/>
      <c r="HX6" s="292"/>
      <c r="HY6" s="292"/>
      <c r="HZ6" s="292"/>
      <c r="IA6" s="292"/>
      <c r="IB6" s="292"/>
      <c r="IC6" s="35"/>
      <c r="ID6" s="291"/>
      <c r="IE6" s="291"/>
      <c r="IF6" s="291"/>
      <c r="IG6" s="291"/>
      <c r="IH6" s="291"/>
      <c r="II6" s="291"/>
      <c r="IJ6" s="292"/>
      <c r="IK6" s="292"/>
      <c r="IL6" s="292"/>
      <c r="IM6" s="292"/>
      <c r="IN6" s="292"/>
      <c r="IO6" s="35"/>
      <c r="IP6" s="291"/>
      <c r="IQ6" s="291"/>
      <c r="IR6" s="291"/>
    </row>
    <row r="7" spans="1:252" s="5" customFormat="1" ht="14.25">
      <c r="A7" s="35" t="s">
        <v>28</v>
      </c>
      <c r="B7" s="291">
        <v>2.2999999999999998</v>
      </c>
      <c r="C7" s="291">
        <v>2.8</v>
      </c>
      <c r="D7" s="291">
        <v>0.2</v>
      </c>
      <c r="E7" s="291">
        <v>1.2</v>
      </c>
      <c r="F7" s="291">
        <v>2.5</v>
      </c>
      <c r="G7" s="397">
        <v>2.1</v>
      </c>
      <c r="H7" s="291">
        <v>1.6</v>
      </c>
      <c r="I7" s="291">
        <v>0.8</v>
      </c>
      <c r="J7" s="291">
        <v>0.3</v>
      </c>
      <c r="K7" s="291">
        <v>1.8</v>
      </c>
      <c r="L7" s="291"/>
      <c r="M7" s="291"/>
      <c r="N7" s="291"/>
      <c r="O7" s="291"/>
      <c r="P7" s="292"/>
      <c r="Q7" s="292"/>
      <c r="R7" s="292"/>
      <c r="S7" s="292"/>
      <c r="T7" s="292"/>
      <c r="U7" s="35"/>
      <c r="V7" s="291"/>
      <c r="W7" s="291"/>
      <c r="X7" s="291"/>
      <c r="Y7" s="291"/>
      <c r="Z7" s="291"/>
      <c r="AA7" s="291"/>
      <c r="AB7" s="292"/>
      <c r="AC7" s="292"/>
      <c r="AD7" s="292"/>
      <c r="AE7" s="292"/>
      <c r="AF7" s="292"/>
      <c r="AG7" s="35"/>
      <c r="AH7" s="291"/>
      <c r="AI7" s="291"/>
      <c r="AJ7" s="291"/>
      <c r="AK7" s="291"/>
      <c r="AL7" s="291"/>
      <c r="AM7" s="291"/>
      <c r="AN7" s="292"/>
      <c r="AO7" s="292"/>
      <c r="AP7" s="292"/>
      <c r="AQ7" s="292"/>
      <c r="AR7" s="292"/>
      <c r="AS7" s="35"/>
      <c r="AT7" s="291"/>
      <c r="AU7" s="291"/>
      <c r="AV7" s="291"/>
      <c r="AW7" s="291"/>
      <c r="AX7" s="291"/>
      <c r="AY7" s="291"/>
      <c r="AZ7" s="292"/>
      <c r="BA7" s="292"/>
      <c r="BB7" s="292"/>
      <c r="BC7" s="292"/>
      <c r="BD7" s="292"/>
      <c r="BE7" s="35"/>
      <c r="BF7" s="291"/>
      <c r="BG7" s="291"/>
      <c r="BH7" s="291"/>
      <c r="BI7" s="291"/>
      <c r="BJ7" s="291"/>
      <c r="BK7" s="291"/>
      <c r="BL7" s="292"/>
      <c r="BM7" s="292"/>
      <c r="BN7" s="292"/>
      <c r="BO7" s="292"/>
      <c r="BP7" s="292"/>
      <c r="BQ7" s="35"/>
      <c r="BR7" s="291"/>
      <c r="BS7" s="291"/>
      <c r="BT7" s="291"/>
      <c r="BU7" s="291"/>
      <c r="BV7" s="291"/>
      <c r="BW7" s="291"/>
      <c r="BX7" s="292"/>
      <c r="BY7" s="292"/>
      <c r="BZ7" s="292"/>
      <c r="CA7" s="292"/>
      <c r="CB7" s="292"/>
      <c r="CC7" s="35"/>
      <c r="CD7" s="291"/>
      <c r="CE7" s="291"/>
      <c r="CF7" s="291"/>
      <c r="CG7" s="291"/>
      <c r="CH7" s="291"/>
      <c r="CI7" s="291"/>
      <c r="CJ7" s="292"/>
      <c r="CK7" s="292"/>
      <c r="CL7" s="292"/>
      <c r="CM7" s="292"/>
      <c r="CN7" s="292"/>
      <c r="CO7" s="35"/>
      <c r="CP7" s="291"/>
      <c r="CQ7" s="291"/>
      <c r="CR7" s="291"/>
      <c r="CS7" s="291"/>
      <c r="CT7" s="291"/>
      <c r="CU7" s="291"/>
      <c r="CV7" s="292"/>
      <c r="CW7" s="292"/>
      <c r="CX7" s="292"/>
      <c r="CY7" s="292"/>
      <c r="CZ7" s="292"/>
      <c r="DA7" s="35"/>
      <c r="DB7" s="291"/>
      <c r="DC7" s="291"/>
      <c r="DD7" s="291"/>
      <c r="DE7" s="291"/>
      <c r="DF7" s="291"/>
      <c r="DG7" s="291"/>
      <c r="DH7" s="292"/>
      <c r="DI7" s="292"/>
      <c r="DJ7" s="292"/>
      <c r="DK7" s="292"/>
      <c r="DL7" s="292"/>
      <c r="DM7" s="35"/>
      <c r="DN7" s="291"/>
      <c r="DO7" s="291"/>
      <c r="DP7" s="291"/>
      <c r="DQ7" s="291"/>
      <c r="DR7" s="291"/>
      <c r="DS7" s="291"/>
      <c r="DT7" s="292"/>
      <c r="DU7" s="292"/>
      <c r="DV7" s="292"/>
      <c r="DW7" s="292"/>
      <c r="DX7" s="292"/>
      <c r="DY7" s="35"/>
      <c r="DZ7" s="291"/>
      <c r="EA7" s="291"/>
      <c r="EB7" s="291"/>
      <c r="EC7" s="291"/>
      <c r="ED7" s="291"/>
      <c r="EE7" s="291"/>
      <c r="EF7" s="292"/>
      <c r="EG7" s="292"/>
      <c r="EH7" s="292"/>
      <c r="EI7" s="292"/>
      <c r="EJ7" s="292"/>
      <c r="EK7" s="35"/>
      <c r="EL7" s="291"/>
      <c r="EM7" s="291"/>
      <c r="EN7" s="291"/>
      <c r="EO7" s="291"/>
      <c r="EP7" s="291"/>
      <c r="EQ7" s="291"/>
      <c r="ER7" s="292"/>
      <c r="ES7" s="292"/>
      <c r="ET7" s="292"/>
      <c r="EU7" s="292"/>
      <c r="EV7" s="292"/>
      <c r="EW7" s="35"/>
      <c r="EX7" s="291"/>
      <c r="EY7" s="291"/>
      <c r="EZ7" s="291"/>
      <c r="FA7" s="291"/>
      <c r="FB7" s="291"/>
      <c r="FC7" s="291"/>
      <c r="FD7" s="292"/>
      <c r="FE7" s="292"/>
      <c r="FF7" s="292"/>
      <c r="FG7" s="292"/>
      <c r="FH7" s="292"/>
      <c r="FI7" s="35"/>
      <c r="FJ7" s="291"/>
      <c r="FK7" s="291"/>
      <c r="FL7" s="291"/>
      <c r="FM7" s="291"/>
      <c r="FN7" s="291"/>
      <c r="FO7" s="291"/>
      <c r="FP7" s="292"/>
      <c r="FQ7" s="292"/>
      <c r="FR7" s="292"/>
      <c r="FS7" s="292"/>
      <c r="FT7" s="292"/>
      <c r="FU7" s="35"/>
      <c r="FV7" s="291"/>
      <c r="FW7" s="291"/>
      <c r="FX7" s="291"/>
      <c r="FY7" s="291"/>
      <c r="FZ7" s="291"/>
      <c r="GA7" s="291"/>
      <c r="GB7" s="292"/>
      <c r="GC7" s="292"/>
      <c r="GD7" s="292"/>
      <c r="GE7" s="292"/>
      <c r="GF7" s="292"/>
      <c r="GG7" s="35"/>
      <c r="GH7" s="291"/>
      <c r="GI7" s="291"/>
      <c r="GJ7" s="291"/>
      <c r="GK7" s="291"/>
      <c r="GL7" s="291"/>
      <c r="GM7" s="291"/>
      <c r="GN7" s="292"/>
      <c r="GO7" s="292"/>
      <c r="GP7" s="292"/>
      <c r="GQ7" s="292"/>
      <c r="GR7" s="292"/>
      <c r="GS7" s="35"/>
      <c r="GT7" s="291"/>
      <c r="GU7" s="291"/>
      <c r="GV7" s="291"/>
      <c r="GW7" s="291"/>
      <c r="GX7" s="291"/>
      <c r="GY7" s="291"/>
      <c r="GZ7" s="292"/>
      <c r="HA7" s="292"/>
      <c r="HB7" s="292"/>
      <c r="HC7" s="292"/>
      <c r="HD7" s="292"/>
      <c r="HE7" s="35"/>
      <c r="HF7" s="291"/>
      <c r="HG7" s="291"/>
      <c r="HH7" s="291"/>
      <c r="HI7" s="291"/>
      <c r="HJ7" s="291"/>
      <c r="HK7" s="291"/>
      <c r="HL7" s="292"/>
      <c r="HM7" s="292"/>
      <c r="HN7" s="292"/>
      <c r="HO7" s="292"/>
      <c r="HP7" s="292"/>
      <c r="HQ7" s="35"/>
      <c r="HR7" s="291"/>
      <c r="HS7" s="291"/>
      <c r="HT7" s="291"/>
      <c r="HU7" s="291"/>
      <c r="HV7" s="291"/>
      <c r="HW7" s="291"/>
      <c r="HX7" s="292"/>
      <c r="HY7" s="292"/>
      <c r="HZ7" s="292"/>
      <c r="IA7" s="292"/>
      <c r="IB7" s="292"/>
      <c r="IC7" s="35"/>
      <c r="ID7" s="291"/>
      <c r="IE7" s="291"/>
      <c r="IF7" s="291"/>
      <c r="IG7" s="291"/>
      <c r="IH7" s="291"/>
      <c r="II7" s="291"/>
      <c r="IJ7" s="292"/>
      <c r="IK7" s="292"/>
      <c r="IL7" s="292"/>
      <c r="IM7" s="292"/>
      <c r="IN7" s="292"/>
      <c r="IO7" s="35"/>
      <c r="IP7" s="291"/>
      <c r="IQ7" s="291"/>
      <c r="IR7" s="291"/>
    </row>
    <row r="8" spans="1:252" s="5" customFormat="1" ht="14.25">
      <c r="A8" s="35" t="s">
        <v>13</v>
      </c>
      <c r="B8" s="291">
        <v>6.7</v>
      </c>
      <c r="C8" s="291">
        <v>10.6</v>
      </c>
      <c r="D8" s="291">
        <v>0.2</v>
      </c>
      <c r="E8" s="291">
        <v>2.7</v>
      </c>
      <c r="F8" s="291">
        <v>5.0999999999999996</v>
      </c>
      <c r="G8" s="397">
        <v>4.2</v>
      </c>
      <c r="H8" s="291">
        <v>3.2</v>
      </c>
      <c r="I8" s="291">
        <v>0.5</v>
      </c>
      <c r="J8" s="291">
        <v>0.2</v>
      </c>
      <c r="K8" s="291">
        <v>1.9</v>
      </c>
      <c r="L8" s="291"/>
      <c r="M8" s="292"/>
      <c r="N8" s="291"/>
      <c r="O8" s="291"/>
      <c r="P8" s="292"/>
      <c r="Q8" s="292"/>
      <c r="R8" s="292"/>
      <c r="S8" s="292"/>
      <c r="T8" s="292"/>
      <c r="U8" s="35"/>
      <c r="V8" s="291"/>
      <c r="W8" s="291"/>
      <c r="X8" s="291"/>
      <c r="Y8" s="292"/>
      <c r="Z8" s="291"/>
      <c r="AA8" s="291"/>
      <c r="AB8" s="292"/>
      <c r="AC8" s="292"/>
      <c r="AD8" s="292"/>
      <c r="AE8" s="292"/>
      <c r="AF8" s="292"/>
      <c r="AG8" s="35"/>
      <c r="AH8" s="291"/>
      <c r="AI8" s="291"/>
      <c r="AJ8" s="291"/>
      <c r="AK8" s="292"/>
      <c r="AL8" s="291"/>
      <c r="AM8" s="291"/>
      <c r="AN8" s="292"/>
      <c r="AO8" s="292"/>
      <c r="AP8" s="292"/>
      <c r="AQ8" s="292"/>
      <c r="AR8" s="292"/>
      <c r="AS8" s="35"/>
      <c r="AT8" s="291"/>
      <c r="AU8" s="291"/>
      <c r="AV8" s="291"/>
      <c r="AW8" s="292"/>
      <c r="AX8" s="291"/>
      <c r="AY8" s="291"/>
      <c r="AZ8" s="292"/>
      <c r="BA8" s="292"/>
      <c r="BB8" s="292"/>
      <c r="BC8" s="292"/>
      <c r="BD8" s="292"/>
      <c r="BE8" s="35"/>
      <c r="BF8" s="291"/>
      <c r="BG8" s="291"/>
      <c r="BH8" s="291"/>
      <c r="BI8" s="292"/>
      <c r="BJ8" s="291"/>
      <c r="BK8" s="291"/>
      <c r="BL8" s="292"/>
      <c r="BM8" s="292"/>
      <c r="BN8" s="292"/>
      <c r="BO8" s="292"/>
      <c r="BP8" s="292"/>
      <c r="BQ8" s="35"/>
      <c r="BR8" s="291"/>
      <c r="BS8" s="291"/>
      <c r="BT8" s="291"/>
      <c r="BU8" s="292"/>
      <c r="BV8" s="291"/>
      <c r="BW8" s="291"/>
      <c r="BX8" s="292"/>
      <c r="BY8" s="292"/>
      <c r="BZ8" s="292"/>
      <c r="CA8" s="292"/>
      <c r="CB8" s="292"/>
      <c r="CC8" s="35"/>
      <c r="CD8" s="291"/>
      <c r="CE8" s="291"/>
      <c r="CF8" s="291"/>
      <c r="CG8" s="292"/>
      <c r="CH8" s="291"/>
      <c r="CI8" s="291"/>
      <c r="CJ8" s="292"/>
      <c r="CK8" s="292"/>
      <c r="CL8" s="292"/>
      <c r="CM8" s="292"/>
      <c r="CN8" s="292"/>
      <c r="CO8" s="35"/>
      <c r="CP8" s="291"/>
      <c r="CQ8" s="291"/>
      <c r="CR8" s="291"/>
      <c r="CS8" s="292"/>
      <c r="CT8" s="291"/>
      <c r="CU8" s="291"/>
      <c r="CV8" s="292"/>
      <c r="CW8" s="292"/>
      <c r="CX8" s="292"/>
      <c r="CY8" s="292"/>
      <c r="CZ8" s="292"/>
      <c r="DA8" s="35"/>
      <c r="DB8" s="291"/>
      <c r="DC8" s="291"/>
      <c r="DD8" s="291"/>
      <c r="DE8" s="292"/>
      <c r="DF8" s="291"/>
      <c r="DG8" s="291"/>
      <c r="DH8" s="292"/>
      <c r="DI8" s="292"/>
      <c r="DJ8" s="292"/>
      <c r="DK8" s="292"/>
      <c r="DL8" s="292"/>
      <c r="DM8" s="35"/>
      <c r="DN8" s="291"/>
      <c r="DO8" s="291"/>
      <c r="DP8" s="291"/>
      <c r="DQ8" s="292"/>
      <c r="DR8" s="291"/>
      <c r="DS8" s="291"/>
      <c r="DT8" s="292"/>
      <c r="DU8" s="292"/>
      <c r="DV8" s="292"/>
      <c r="DW8" s="292"/>
      <c r="DX8" s="292"/>
      <c r="DY8" s="35"/>
      <c r="DZ8" s="291"/>
      <c r="EA8" s="291"/>
      <c r="EB8" s="291"/>
      <c r="EC8" s="292"/>
      <c r="ED8" s="291"/>
      <c r="EE8" s="291"/>
      <c r="EF8" s="292"/>
      <c r="EG8" s="292"/>
      <c r="EH8" s="292"/>
      <c r="EI8" s="292"/>
      <c r="EJ8" s="292"/>
      <c r="EK8" s="35"/>
      <c r="EL8" s="291"/>
      <c r="EM8" s="291"/>
      <c r="EN8" s="291"/>
      <c r="EO8" s="292"/>
      <c r="EP8" s="291"/>
      <c r="EQ8" s="291"/>
      <c r="ER8" s="292"/>
      <c r="ES8" s="292"/>
      <c r="ET8" s="292"/>
      <c r="EU8" s="292"/>
      <c r="EV8" s="292"/>
      <c r="EW8" s="35"/>
      <c r="EX8" s="291"/>
      <c r="EY8" s="291"/>
      <c r="EZ8" s="291"/>
      <c r="FA8" s="292"/>
      <c r="FB8" s="291"/>
      <c r="FC8" s="291"/>
      <c r="FD8" s="292"/>
      <c r="FE8" s="292"/>
      <c r="FF8" s="292"/>
      <c r="FG8" s="292"/>
      <c r="FH8" s="292"/>
      <c r="FI8" s="35"/>
      <c r="FJ8" s="291"/>
      <c r="FK8" s="291"/>
      <c r="FL8" s="291"/>
      <c r="FM8" s="292"/>
      <c r="FN8" s="291"/>
      <c r="FO8" s="291"/>
      <c r="FP8" s="292"/>
      <c r="FQ8" s="292"/>
      <c r="FR8" s="292"/>
      <c r="FS8" s="292"/>
      <c r="FT8" s="292"/>
      <c r="FU8" s="35"/>
      <c r="FV8" s="291"/>
      <c r="FW8" s="291"/>
      <c r="FX8" s="291"/>
      <c r="FY8" s="292"/>
      <c r="FZ8" s="291"/>
      <c r="GA8" s="291"/>
      <c r="GB8" s="292"/>
      <c r="GC8" s="292"/>
      <c r="GD8" s="292"/>
      <c r="GE8" s="292"/>
      <c r="GF8" s="292"/>
      <c r="GG8" s="35"/>
      <c r="GH8" s="291"/>
      <c r="GI8" s="291"/>
      <c r="GJ8" s="291"/>
      <c r="GK8" s="292"/>
      <c r="GL8" s="291"/>
      <c r="GM8" s="291"/>
      <c r="GN8" s="292"/>
      <c r="GO8" s="292"/>
      <c r="GP8" s="292"/>
      <c r="GQ8" s="292"/>
      <c r="GR8" s="292"/>
      <c r="GS8" s="35"/>
      <c r="GT8" s="291"/>
      <c r="GU8" s="291"/>
      <c r="GV8" s="291"/>
      <c r="GW8" s="292"/>
      <c r="GX8" s="291"/>
      <c r="GY8" s="291"/>
      <c r="GZ8" s="292"/>
      <c r="HA8" s="292"/>
      <c r="HB8" s="292"/>
      <c r="HC8" s="292"/>
      <c r="HD8" s="292"/>
      <c r="HE8" s="35"/>
      <c r="HF8" s="291"/>
      <c r="HG8" s="291"/>
      <c r="HH8" s="291"/>
      <c r="HI8" s="292"/>
      <c r="HJ8" s="291"/>
      <c r="HK8" s="291"/>
      <c r="HL8" s="292"/>
      <c r="HM8" s="292"/>
      <c r="HN8" s="292"/>
      <c r="HO8" s="292"/>
      <c r="HP8" s="292"/>
      <c r="HQ8" s="35"/>
      <c r="HR8" s="291"/>
      <c r="HS8" s="291"/>
      <c r="HT8" s="291"/>
      <c r="HU8" s="292"/>
      <c r="HV8" s="291"/>
      <c r="HW8" s="291"/>
      <c r="HX8" s="292"/>
      <c r="HY8" s="292"/>
      <c r="HZ8" s="292"/>
      <c r="IA8" s="292"/>
      <c r="IB8" s="292"/>
      <c r="IC8" s="35"/>
      <c r="ID8" s="291"/>
      <c r="IE8" s="291"/>
      <c r="IF8" s="291"/>
      <c r="IG8" s="292"/>
      <c r="IH8" s="291"/>
      <c r="II8" s="291"/>
      <c r="IJ8" s="292"/>
      <c r="IK8" s="292"/>
      <c r="IL8" s="292"/>
      <c r="IM8" s="292"/>
      <c r="IN8" s="292"/>
      <c r="IO8" s="35"/>
      <c r="IP8" s="291"/>
      <c r="IQ8" s="291"/>
      <c r="IR8" s="291"/>
    </row>
    <row r="9" spans="1:252" s="5" customFormat="1" ht="14.25">
      <c r="A9" s="36" t="s">
        <v>27</v>
      </c>
      <c r="B9" s="291">
        <v>2.9</v>
      </c>
      <c r="C9" s="291">
        <v>3.1</v>
      </c>
      <c r="D9" s="291">
        <v>-1.7</v>
      </c>
      <c r="E9" s="291">
        <v>-1.6</v>
      </c>
      <c r="F9" s="291">
        <v>1.2</v>
      </c>
      <c r="G9" s="291">
        <v>1.9</v>
      </c>
      <c r="H9" s="291">
        <v>0.5</v>
      </c>
      <c r="I9" s="291">
        <v>0.3</v>
      </c>
      <c r="J9" s="291">
        <v>0.4</v>
      </c>
      <c r="K9" s="291">
        <v>1.5</v>
      </c>
      <c r="L9" s="291"/>
      <c r="M9" s="291"/>
      <c r="N9" s="291"/>
      <c r="O9" s="291"/>
      <c r="P9" s="291"/>
      <c r="Q9" s="291"/>
      <c r="R9" s="291"/>
      <c r="S9" s="291"/>
      <c r="T9" s="291"/>
      <c r="U9" s="36"/>
      <c r="V9" s="291"/>
      <c r="W9" s="291"/>
      <c r="X9" s="291"/>
      <c r="Y9" s="291"/>
      <c r="Z9" s="291"/>
      <c r="AA9" s="291"/>
      <c r="AB9" s="291"/>
      <c r="AC9" s="291"/>
      <c r="AD9" s="291"/>
      <c r="AE9" s="291"/>
      <c r="AF9" s="291"/>
      <c r="AG9" s="36"/>
      <c r="AH9" s="291"/>
      <c r="AI9" s="291"/>
      <c r="AJ9" s="291"/>
      <c r="AK9" s="291"/>
      <c r="AL9" s="291"/>
      <c r="AM9" s="291"/>
      <c r="AN9" s="291"/>
      <c r="AO9" s="291"/>
      <c r="AP9" s="291"/>
      <c r="AQ9" s="291"/>
      <c r="AR9" s="291"/>
      <c r="AS9" s="36"/>
      <c r="AT9" s="291"/>
      <c r="AU9" s="291"/>
      <c r="AV9" s="291"/>
      <c r="AW9" s="291"/>
      <c r="AX9" s="291"/>
      <c r="AY9" s="291"/>
      <c r="AZ9" s="291"/>
      <c r="BA9" s="291"/>
      <c r="BB9" s="291"/>
      <c r="BC9" s="291"/>
      <c r="BD9" s="291"/>
      <c r="BE9" s="36"/>
      <c r="BF9" s="291"/>
      <c r="BG9" s="291"/>
      <c r="BH9" s="291"/>
      <c r="BI9" s="291"/>
      <c r="BJ9" s="291"/>
      <c r="BK9" s="291"/>
      <c r="BL9" s="291"/>
      <c r="BM9" s="291"/>
      <c r="BN9" s="291"/>
      <c r="BO9" s="291"/>
      <c r="BP9" s="291"/>
      <c r="BQ9" s="36"/>
      <c r="BR9" s="291"/>
      <c r="BS9" s="291"/>
      <c r="BT9" s="291"/>
      <c r="BU9" s="291"/>
      <c r="BV9" s="291"/>
      <c r="BW9" s="291"/>
      <c r="BX9" s="291"/>
      <c r="BY9" s="291"/>
      <c r="BZ9" s="291"/>
      <c r="CA9" s="291"/>
      <c r="CB9" s="291"/>
      <c r="CC9" s="36"/>
      <c r="CD9" s="291"/>
      <c r="CE9" s="291"/>
      <c r="CF9" s="291"/>
      <c r="CG9" s="291"/>
      <c r="CH9" s="291"/>
      <c r="CI9" s="291"/>
      <c r="CJ9" s="291"/>
      <c r="CK9" s="291"/>
      <c r="CL9" s="291"/>
      <c r="CM9" s="291"/>
      <c r="CN9" s="291"/>
      <c r="CO9" s="36"/>
      <c r="CP9" s="291"/>
      <c r="CQ9" s="291"/>
      <c r="CR9" s="291"/>
      <c r="CS9" s="291"/>
      <c r="CT9" s="291"/>
      <c r="CU9" s="291"/>
      <c r="CV9" s="291"/>
      <c r="CW9" s="291"/>
      <c r="CX9" s="291"/>
      <c r="CY9" s="291"/>
      <c r="CZ9" s="291"/>
      <c r="DA9" s="36"/>
      <c r="DB9" s="291"/>
      <c r="DC9" s="291"/>
      <c r="DD9" s="291"/>
      <c r="DE9" s="291"/>
      <c r="DF9" s="291"/>
      <c r="DG9" s="291"/>
      <c r="DH9" s="291"/>
      <c r="DI9" s="291"/>
      <c r="DJ9" s="291"/>
      <c r="DK9" s="291"/>
      <c r="DL9" s="291"/>
      <c r="DM9" s="36"/>
      <c r="DN9" s="291"/>
      <c r="DO9" s="291"/>
      <c r="DP9" s="291"/>
      <c r="DQ9" s="291"/>
      <c r="DR9" s="291"/>
      <c r="DS9" s="291"/>
      <c r="DT9" s="291"/>
      <c r="DU9" s="291"/>
      <c r="DV9" s="291"/>
      <c r="DW9" s="291"/>
      <c r="DX9" s="291"/>
      <c r="DY9" s="36"/>
      <c r="DZ9" s="291"/>
      <c r="EA9" s="291"/>
      <c r="EB9" s="291"/>
      <c r="EC9" s="291"/>
      <c r="ED9" s="291"/>
      <c r="EE9" s="291"/>
      <c r="EF9" s="291"/>
      <c r="EG9" s="291"/>
      <c r="EH9" s="291"/>
      <c r="EI9" s="291"/>
      <c r="EJ9" s="291"/>
      <c r="EK9" s="36"/>
      <c r="EL9" s="291"/>
      <c r="EM9" s="291"/>
      <c r="EN9" s="291"/>
      <c r="EO9" s="291"/>
      <c r="EP9" s="291"/>
      <c r="EQ9" s="291"/>
      <c r="ER9" s="291"/>
      <c r="ES9" s="291"/>
      <c r="ET9" s="291"/>
      <c r="EU9" s="291"/>
      <c r="EV9" s="291"/>
      <c r="EW9" s="36"/>
      <c r="EX9" s="291"/>
      <c r="EY9" s="291"/>
      <c r="EZ9" s="291"/>
      <c r="FA9" s="291"/>
      <c r="FB9" s="291"/>
      <c r="FC9" s="291"/>
      <c r="FD9" s="291"/>
      <c r="FE9" s="291"/>
      <c r="FF9" s="291"/>
      <c r="FG9" s="291"/>
      <c r="FH9" s="291"/>
      <c r="FI9" s="36"/>
      <c r="FJ9" s="291"/>
      <c r="FK9" s="291"/>
      <c r="FL9" s="291"/>
      <c r="FM9" s="291"/>
      <c r="FN9" s="291"/>
      <c r="FO9" s="291"/>
      <c r="FP9" s="291"/>
      <c r="FQ9" s="291"/>
      <c r="FR9" s="291"/>
      <c r="FS9" s="291"/>
      <c r="FT9" s="291"/>
      <c r="FU9" s="36"/>
      <c r="FV9" s="291"/>
      <c r="FW9" s="291"/>
      <c r="FX9" s="291"/>
      <c r="FY9" s="291"/>
      <c r="FZ9" s="291"/>
      <c r="GA9" s="291"/>
      <c r="GB9" s="291"/>
      <c r="GC9" s="291"/>
      <c r="GD9" s="291"/>
      <c r="GE9" s="291"/>
      <c r="GF9" s="291"/>
      <c r="GG9" s="36"/>
      <c r="GH9" s="291"/>
      <c r="GI9" s="291"/>
      <c r="GJ9" s="291"/>
      <c r="GK9" s="291"/>
      <c r="GL9" s="291"/>
      <c r="GM9" s="291"/>
      <c r="GN9" s="291"/>
      <c r="GO9" s="291"/>
      <c r="GP9" s="291"/>
      <c r="GQ9" s="291"/>
      <c r="GR9" s="291"/>
      <c r="GS9" s="36"/>
      <c r="GT9" s="291"/>
      <c r="GU9" s="291"/>
      <c r="GV9" s="291"/>
      <c r="GW9" s="291"/>
      <c r="GX9" s="291"/>
      <c r="GY9" s="291"/>
      <c r="GZ9" s="291"/>
      <c r="HA9" s="291"/>
      <c r="HB9" s="291"/>
      <c r="HC9" s="291"/>
      <c r="HD9" s="291"/>
      <c r="HE9" s="36"/>
      <c r="HF9" s="291"/>
      <c r="HG9" s="291"/>
      <c r="HH9" s="291"/>
      <c r="HI9" s="291"/>
      <c r="HJ9" s="291"/>
      <c r="HK9" s="291"/>
      <c r="HL9" s="291"/>
      <c r="HM9" s="291"/>
      <c r="HN9" s="291"/>
      <c r="HO9" s="291"/>
      <c r="HP9" s="291"/>
      <c r="HQ9" s="36"/>
      <c r="HR9" s="291"/>
      <c r="HS9" s="291"/>
      <c r="HT9" s="291"/>
      <c r="HU9" s="291"/>
      <c r="HV9" s="291"/>
      <c r="HW9" s="291"/>
      <c r="HX9" s="291"/>
      <c r="HY9" s="291"/>
      <c r="HZ9" s="291"/>
      <c r="IA9" s="291"/>
      <c r="IB9" s="291"/>
      <c r="IC9" s="36"/>
      <c r="ID9" s="291"/>
      <c r="IE9" s="291"/>
      <c r="IF9" s="291"/>
      <c r="IG9" s="291"/>
      <c r="IH9" s="291"/>
      <c r="II9" s="291"/>
      <c r="IJ9" s="291"/>
      <c r="IK9" s="291"/>
      <c r="IL9" s="291"/>
      <c r="IM9" s="291"/>
      <c r="IN9" s="291"/>
      <c r="IO9" s="36"/>
      <c r="IP9" s="291"/>
      <c r="IQ9" s="291"/>
      <c r="IR9" s="291"/>
    </row>
    <row r="10" spans="1:252" s="5" customFormat="1" ht="14.25">
      <c r="A10" s="35" t="s">
        <v>26</v>
      </c>
      <c r="B10" s="291">
        <v>3</v>
      </c>
      <c r="C10" s="291">
        <v>4.2</v>
      </c>
      <c r="D10" s="291">
        <v>1.3</v>
      </c>
      <c r="E10" s="291">
        <v>4.7</v>
      </c>
      <c r="F10" s="291">
        <v>3.1</v>
      </c>
      <c r="G10" s="291">
        <v>1</v>
      </c>
      <c r="H10" s="291">
        <v>-0.9</v>
      </c>
      <c r="I10" s="291">
        <v>-1.4</v>
      </c>
      <c r="J10" s="291">
        <v>-1.5</v>
      </c>
      <c r="K10" s="291">
        <v>0.8</v>
      </c>
      <c r="L10" s="291"/>
      <c r="M10" s="291"/>
      <c r="N10" s="291"/>
      <c r="O10" s="291"/>
      <c r="P10" s="291"/>
      <c r="Q10" s="291"/>
      <c r="R10" s="291"/>
      <c r="S10" s="291"/>
      <c r="T10" s="291"/>
      <c r="U10" s="35"/>
      <c r="V10" s="291"/>
      <c r="W10" s="291"/>
      <c r="X10" s="291"/>
      <c r="Y10" s="291"/>
      <c r="Z10" s="291"/>
      <c r="AA10" s="291"/>
      <c r="AB10" s="291"/>
      <c r="AC10" s="291"/>
      <c r="AD10" s="291"/>
      <c r="AE10" s="291"/>
      <c r="AF10" s="291"/>
      <c r="AG10" s="35"/>
      <c r="AH10" s="291"/>
      <c r="AI10" s="291"/>
      <c r="AJ10" s="291"/>
      <c r="AK10" s="291"/>
      <c r="AL10" s="291"/>
      <c r="AM10" s="291"/>
      <c r="AN10" s="291"/>
      <c r="AO10" s="291"/>
      <c r="AP10" s="291"/>
      <c r="AQ10" s="291"/>
      <c r="AR10" s="291"/>
      <c r="AS10" s="35"/>
      <c r="AT10" s="291"/>
      <c r="AU10" s="291"/>
      <c r="AV10" s="291"/>
      <c r="AW10" s="291"/>
      <c r="AX10" s="291"/>
      <c r="AY10" s="291"/>
      <c r="AZ10" s="291"/>
      <c r="BA10" s="291"/>
      <c r="BB10" s="291"/>
      <c r="BC10" s="291"/>
      <c r="BD10" s="291"/>
      <c r="BE10" s="35"/>
      <c r="BF10" s="291"/>
      <c r="BG10" s="291"/>
      <c r="BH10" s="291"/>
      <c r="BI10" s="291"/>
      <c r="BJ10" s="291"/>
      <c r="BK10" s="291"/>
      <c r="BL10" s="291"/>
      <c r="BM10" s="291"/>
      <c r="BN10" s="291"/>
      <c r="BO10" s="291"/>
      <c r="BP10" s="291"/>
      <c r="BQ10" s="35"/>
      <c r="BR10" s="291"/>
      <c r="BS10" s="291"/>
      <c r="BT10" s="291"/>
      <c r="BU10" s="291"/>
      <c r="BV10" s="291"/>
      <c r="BW10" s="291"/>
      <c r="BX10" s="291"/>
      <c r="BY10" s="291"/>
      <c r="BZ10" s="291"/>
      <c r="CA10" s="291"/>
      <c r="CB10" s="291"/>
      <c r="CC10" s="35"/>
      <c r="CD10" s="291"/>
      <c r="CE10" s="291"/>
      <c r="CF10" s="291"/>
      <c r="CG10" s="291"/>
      <c r="CH10" s="291"/>
      <c r="CI10" s="291"/>
      <c r="CJ10" s="291"/>
      <c r="CK10" s="291"/>
      <c r="CL10" s="291"/>
      <c r="CM10" s="291"/>
      <c r="CN10" s="291"/>
      <c r="CO10" s="35"/>
      <c r="CP10" s="291"/>
      <c r="CQ10" s="291"/>
      <c r="CR10" s="291"/>
      <c r="CS10" s="291"/>
      <c r="CT10" s="291"/>
      <c r="CU10" s="291"/>
      <c r="CV10" s="291"/>
      <c r="CW10" s="291"/>
      <c r="CX10" s="291"/>
      <c r="CY10" s="291"/>
      <c r="CZ10" s="291"/>
      <c r="DA10" s="35"/>
      <c r="DB10" s="291"/>
      <c r="DC10" s="291"/>
      <c r="DD10" s="291"/>
      <c r="DE10" s="291"/>
      <c r="DF10" s="291"/>
      <c r="DG10" s="291"/>
      <c r="DH10" s="291"/>
      <c r="DI10" s="291"/>
      <c r="DJ10" s="291"/>
      <c r="DK10" s="291"/>
      <c r="DL10" s="291"/>
      <c r="DM10" s="35"/>
      <c r="DN10" s="291"/>
      <c r="DO10" s="291"/>
      <c r="DP10" s="291"/>
      <c r="DQ10" s="291"/>
      <c r="DR10" s="291"/>
      <c r="DS10" s="291"/>
      <c r="DT10" s="291"/>
      <c r="DU10" s="291"/>
      <c r="DV10" s="291"/>
      <c r="DW10" s="291"/>
      <c r="DX10" s="291"/>
      <c r="DY10" s="35"/>
      <c r="DZ10" s="291"/>
      <c r="EA10" s="291"/>
      <c r="EB10" s="291"/>
      <c r="EC10" s="291"/>
      <c r="ED10" s="291"/>
      <c r="EE10" s="291"/>
      <c r="EF10" s="291"/>
      <c r="EG10" s="291"/>
      <c r="EH10" s="291"/>
      <c r="EI10" s="291"/>
      <c r="EJ10" s="291"/>
      <c r="EK10" s="35"/>
      <c r="EL10" s="291"/>
      <c r="EM10" s="291"/>
      <c r="EN10" s="291"/>
      <c r="EO10" s="291"/>
      <c r="EP10" s="291"/>
      <c r="EQ10" s="291"/>
      <c r="ER10" s="291"/>
      <c r="ES10" s="291"/>
      <c r="ET10" s="291"/>
      <c r="EU10" s="291"/>
      <c r="EV10" s="291"/>
      <c r="EW10" s="35"/>
      <c r="EX10" s="291"/>
      <c r="EY10" s="291"/>
      <c r="EZ10" s="291"/>
      <c r="FA10" s="291"/>
      <c r="FB10" s="291"/>
      <c r="FC10" s="291"/>
      <c r="FD10" s="291"/>
      <c r="FE10" s="291"/>
      <c r="FF10" s="291"/>
      <c r="FG10" s="291"/>
      <c r="FH10" s="291"/>
      <c r="FI10" s="35"/>
      <c r="FJ10" s="291"/>
      <c r="FK10" s="291"/>
      <c r="FL10" s="291"/>
      <c r="FM10" s="291"/>
      <c r="FN10" s="291"/>
      <c r="FO10" s="291"/>
      <c r="FP10" s="291"/>
      <c r="FQ10" s="291"/>
      <c r="FR10" s="291"/>
      <c r="FS10" s="291"/>
      <c r="FT10" s="291"/>
      <c r="FU10" s="35"/>
      <c r="FV10" s="291"/>
      <c r="FW10" s="291"/>
      <c r="FX10" s="291"/>
      <c r="FY10" s="291"/>
      <c r="FZ10" s="291"/>
      <c r="GA10" s="291"/>
      <c r="GB10" s="291"/>
      <c r="GC10" s="291"/>
      <c r="GD10" s="291"/>
      <c r="GE10" s="291"/>
      <c r="GF10" s="291"/>
      <c r="GG10" s="35"/>
      <c r="GH10" s="291"/>
      <c r="GI10" s="291"/>
      <c r="GJ10" s="291"/>
      <c r="GK10" s="291"/>
      <c r="GL10" s="291"/>
      <c r="GM10" s="291"/>
      <c r="GN10" s="291"/>
      <c r="GO10" s="291"/>
      <c r="GP10" s="291"/>
      <c r="GQ10" s="291"/>
      <c r="GR10" s="291"/>
      <c r="GS10" s="35"/>
      <c r="GT10" s="291"/>
      <c r="GU10" s="291"/>
      <c r="GV10" s="291"/>
      <c r="GW10" s="291"/>
      <c r="GX10" s="291"/>
      <c r="GY10" s="291"/>
      <c r="GZ10" s="291"/>
      <c r="HA10" s="291"/>
      <c r="HB10" s="291"/>
      <c r="HC10" s="291"/>
      <c r="HD10" s="291"/>
      <c r="HE10" s="35"/>
      <c r="HF10" s="291"/>
      <c r="HG10" s="291"/>
      <c r="HH10" s="291"/>
      <c r="HI10" s="291"/>
      <c r="HJ10" s="291"/>
      <c r="HK10" s="291"/>
      <c r="HL10" s="291"/>
      <c r="HM10" s="291"/>
      <c r="HN10" s="291"/>
      <c r="HO10" s="291"/>
      <c r="HP10" s="291"/>
      <c r="HQ10" s="35"/>
      <c r="HR10" s="291"/>
      <c r="HS10" s="291"/>
      <c r="HT10" s="291"/>
      <c r="HU10" s="291"/>
      <c r="HV10" s="291"/>
      <c r="HW10" s="291"/>
      <c r="HX10" s="291"/>
      <c r="HY10" s="291"/>
      <c r="HZ10" s="291"/>
      <c r="IA10" s="291"/>
      <c r="IB10" s="291"/>
      <c r="IC10" s="35"/>
      <c r="ID10" s="291"/>
      <c r="IE10" s="291"/>
      <c r="IF10" s="291"/>
      <c r="IG10" s="291"/>
      <c r="IH10" s="291"/>
      <c r="II10" s="291"/>
      <c r="IJ10" s="291"/>
      <c r="IK10" s="291"/>
      <c r="IL10" s="291"/>
      <c r="IM10" s="291"/>
      <c r="IN10" s="291"/>
      <c r="IO10" s="35"/>
      <c r="IP10" s="291"/>
      <c r="IQ10" s="291"/>
      <c r="IR10" s="291"/>
    </row>
    <row r="11" spans="1:252" s="5" customFormat="1" ht="14.25">
      <c r="A11" s="35" t="s">
        <v>25</v>
      </c>
      <c r="B11" s="291">
        <v>2.8</v>
      </c>
      <c r="C11" s="291">
        <v>4.0999999999999996</v>
      </c>
      <c r="D11" s="291">
        <v>-0.2</v>
      </c>
      <c r="E11" s="291">
        <v>2</v>
      </c>
      <c r="F11" s="291">
        <v>3.1</v>
      </c>
      <c r="G11" s="397">
        <v>2.4</v>
      </c>
      <c r="H11" s="291">
        <v>1.5</v>
      </c>
      <c r="I11" s="258">
        <v>-0.2</v>
      </c>
      <c r="J11" s="291">
        <v>-0.6</v>
      </c>
      <c r="K11" s="291">
        <v>1.1000000000000001</v>
      </c>
      <c r="L11" s="291"/>
      <c r="M11" s="291"/>
      <c r="N11" s="291"/>
      <c r="O11" s="291"/>
      <c r="P11" s="292"/>
      <c r="Q11" s="292"/>
      <c r="R11" s="292"/>
      <c r="S11" s="292"/>
      <c r="T11" s="292"/>
      <c r="U11" s="35"/>
      <c r="V11" s="291"/>
      <c r="W11" s="291"/>
      <c r="X11" s="291"/>
      <c r="Y11" s="291"/>
      <c r="Z11" s="291"/>
      <c r="AA11" s="291"/>
      <c r="AB11" s="292"/>
      <c r="AC11" s="292"/>
      <c r="AD11" s="292"/>
      <c r="AE11" s="292"/>
      <c r="AF11" s="292"/>
      <c r="AG11" s="35"/>
      <c r="AH11" s="291"/>
      <c r="AI11" s="291"/>
      <c r="AJ11" s="291"/>
      <c r="AK11" s="291"/>
      <c r="AL11" s="291"/>
      <c r="AM11" s="291"/>
      <c r="AN11" s="292"/>
      <c r="AO11" s="292"/>
      <c r="AP11" s="292"/>
      <c r="AQ11" s="292"/>
      <c r="AR11" s="292"/>
      <c r="AS11" s="35"/>
      <c r="AT11" s="291"/>
      <c r="AU11" s="291"/>
      <c r="AV11" s="291"/>
      <c r="AW11" s="291"/>
      <c r="AX11" s="291"/>
      <c r="AY11" s="291"/>
      <c r="AZ11" s="292"/>
      <c r="BA11" s="292"/>
      <c r="BB11" s="292"/>
      <c r="BC11" s="292"/>
      <c r="BD11" s="292"/>
      <c r="BE11" s="35"/>
      <c r="BF11" s="291"/>
      <c r="BG11" s="291"/>
      <c r="BH11" s="291"/>
      <c r="BI11" s="291"/>
      <c r="BJ11" s="291"/>
      <c r="BK11" s="291"/>
      <c r="BL11" s="292"/>
      <c r="BM11" s="292"/>
      <c r="BN11" s="292"/>
      <c r="BO11" s="292"/>
      <c r="BP11" s="292"/>
      <c r="BQ11" s="35"/>
      <c r="BR11" s="291"/>
      <c r="BS11" s="291"/>
      <c r="BT11" s="291"/>
      <c r="BU11" s="291"/>
      <c r="BV11" s="291"/>
      <c r="BW11" s="291"/>
      <c r="BX11" s="292"/>
      <c r="BY11" s="292"/>
      <c r="BZ11" s="292"/>
      <c r="CA11" s="292"/>
      <c r="CB11" s="292"/>
      <c r="CC11" s="35"/>
      <c r="CD11" s="291"/>
      <c r="CE11" s="291"/>
      <c r="CF11" s="291"/>
      <c r="CG11" s="291"/>
      <c r="CH11" s="291"/>
      <c r="CI11" s="291"/>
      <c r="CJ11" s="292"/>
      <c r="CK11" s="292"/>
      <c r="CL11" s="292"/>
      <c r="CM11" s="292"/>
      <c r="CN11" s="292"/>
      <c r="CO11" s="35"/>
      <c r="CP11" s="291"/>
      <c r="CQ11" s="291"/>
      <c r="CR11" s="291"/>
      <c r="CS11" s="291"/>
      <c r="CT11" s="291"/>
      <c r="CU11" s="291"/>
      <c r="CV11" s="292"/>
      <c r="CW11" s="292"/>
      <c r="CX11" s="292"/>
      <c r="CY11" s="292"/>
      <c r="CZ11" s="292"/>
      <c r="DA11" s="35"/>
      <c r="DB11" s="291"/>
      <c r="DC11" s="291"/>
      <c r="DD11" s="291"/>
      <c r="DE11" s="291"/>
      <c r="DF11" s="291"/>
      <c r="DG11" s="291"/>
      <c r="DH11" s="292"/>
      <c r="DI11" s="292"/>
      <c r="DJ11" s="292"/>
      <c r="DK11" s="292"/>
      <c r="DL11" s="292"/>
      <c r="DM11" s="35"/>
      <c r="DN11" s="291"/>
      <c r="DO11" s="291"/>
      <c r="DP11" s="291"/>
      <c r="DQ11" s="291"/>
      <c r="DR11" s="291"/>
      <c r="DS11" s="291"/>
      <c r="DT11" s="292"/>
      <c r="DU11" s="292"/>
      <c r="DV11" s="292"/>
      <c r="DW11" s="292"/>
      <c r="DX11" s="292"/>
      <c r="DY11" s="35"/>
      <c r="DZ11" s="291"/>
      <c r="EA11" s="291"/>
      <c r="EB11" s="291"/>
      <c r="EC11" s="291"/>
      <c r="ED11" s="291"/>
      <c r="EE11" s="291"/>
      <c r="EF11" s="292"/>
      <c r="EG11" s="292"/>
      <c r="EH11" s="292"/>
      <c r="EI11" s="292"/>
      <c r="EJ11" s="292"/>
      <c r="EK11" s="35"/>
      <c r="EL11" s="291"/>
      <c r="EM11" s="291"/>
      <c r="EN11" s="291"/>
      <c r="EO11" s="291"/>
      <c r="EP11" s="291"/>
      <c r="EQ11" s="291"/>
      <c r="ER11" s="292"/>
      <c r="ES11" s="292"/>
      <c r="ET11" s="292"/>
      <c r="EU11" s="292"/>
      <c r="EV11" s="292"/>
      <c r="EW11" s="35"/>
      <c r="EX11" s="291"/>
      <c r="EY11" s="291"/>
      <c r="EZ11" s="291"/>
      <c r="FA11" s="291"/>
      <c r="FB11" s="291"/>
      <c r="FC11" s="291"/>
      <c r="FD11" s="292"/>
      <c r="FE11" s="292"/>
      <c r="FF11" s="292"/>
      <c r="FG11" s="292"/>
      <c r="FH11" s="292"/>
      <c r="FI11" s="35"/>
      <c r="FJ11" s="291"/>
      <c r="FK11" s="291"/>
      <c r="FL11" s="291"/>
      <c r="FM11" s="291"/>
      <c r="FN11" s="291"/>
      <c r="FO11" s="291"/>
      <c r="FP11" s="292"/>
      <c r="FQ11" s="292"/>
      <c r="FR11" s="292"/>
      <c r="FS11" s="292"/>
      <c r="FT11" s="292"/>
      <c r="FU11" s="35"/>
      <c r="FV11" s="291"/>
      <c r="FW11" s="291"/>
      <c r="FX11" s="291"/>
      <c r="FY11" s="291"/>
      <c r="FZ11" s="291"/>
      <c r="GA11" s="291"/>
      <c r="GB11" s="292"/>
      <c r="GC11" s="292"/>
      <c r="GD11" s="292"/>
      <c r="GE11" s="292"/>
      <c r="GF11" s="292"/>
      <c r="GG11" s="35"/>
      <c r="GH11" s="291"/>
      <c r="GI11" s="291"/>
      <c r="GJ11" s="291"/>
      <c r="GK11" s="291"/>
      <c r="GL11" s="291"/>
      <c r="GM11" s="291"/>
      <c r="GN11" s="292"/>
      <c r="GO11" s="292"/>
      <c r="GP11" s="292"/>
      <c r="GQ11" s="292"/>
      <c r="GR11" s="292"/>
      <c r="GS11" s="35"/>
      <c r="GT11" s="291"/>
      <c r="GU11" s="291"/>
      <c r="GV11" s="291"/>
      <c r="GW11" s="291"/>
      <c r="GX11" s="291"/>
      <c r="GY11" s="291"/>
      <c r="GZ11" s="292"/>
      <c r="HA11" s="292"/>
      <c r="HB11" s="292"/>
      <c r="HC11" s="292"/>
      <c r="HD11" s="292"/>
      <c r="HE11" s="35"/>
      <c r="HF11" s="291"/>
      <c r="HG11" s="291"/>
      <c r="HH11" s="291"/>
      <c r="HI11" s="291"/>
      <c r="HJ11" s="291"/>
      <c r="HK11" s="291"/>
      <c r="HL11" s="292"/>
      <c r="HM11" s="292"/>
      <c r="HN11" s="292"/>
      <c r="HO11" s="292"/>
      <c r="HP11" s="292"/>
      <c r="HQ11" s="35"/>
      <c r="HR11" s="291"/>
      <c r="HS11" s="291"/>
      <c r="HT11" s="291"/>
      <c r="HU11" s="291"/>
      <c r="HV11" s="291"/>
      <c r="HW11" s="291"/>
      <c r="HX11" s="292"/>
      <c r="HY11" s="292"/>
      <c r="HZ11" s="292"/>
      <c r="IA11" s="292"/>
      <c r="IB11" s="292"/>
      <c r="IC11" s="35"/>
      <c r="ID11" s="291"/>
      <c r="IE11" s="291"/>
      <c r="IF11" s="291"/>
      <c r="IG11" s="291"/>
      <c r="IH11" s="291"/>
      <c r="II11" s="291"/>
      <c r="IJ11" s="292"/>
      <c r="IK11" s="292"/>
      <c r="IL11" s="292"/>
      <c r="IM11" s="292"/>
      <c r="IN11" s="292"/>
      <c r="IO11" s="35"/>
      <c r="IP11" s="291"/>
      <c r="IQ11" s="291"/>
      <c r="IR11" s="291"/>
    </row>
    <row r="12" spans="1:252" s="5" customFormat="1" ht="14.25">
      <c r="A12" s="35" t="s">
        <v>24</v>
      </c>
      <c r="B12" s="291">
        <v>1.6</v>
      </c>
      <c r="C12" s="291">
        <v>3.2</v>
      </c>
      <c r="D12" s="291">
        <v>0.1</v>
      </c>
      <c r="E12" s="291">
        <v>1.7</v>
      </c>
      <c r="F12" s="291">
        <v>2.2999999999999998</v>
      </c>
      <c r="G12" s="397">
        <v>2.2000000000000002</v>
      </c>
      <c r="H12" s="291">
        <v>1</v>
      </c>
      <c r="I12" s="291">
        <v>0.6</v>
      </c>
      <c r="J12" s="291">
        <v>0</v>
      </c>
      <c r="K12" s="291">
        <v>1</v>
      </c>
      <c r="L12" s="291"/>
      <c r="M12" s="291"/>
      <c r="N12" s="291"/>
      <c r="O12" s="291"/>
      <c r="P12" s="292"/>
      <c r="Q12" s="292"/>
      <c r="R12" s="292"/>
      <c r="S12" s="292"/>
      <c r="T12" s="292"/>
      <c r="U12" s="35"/>
      <c r="V12" s="291"/>
      <c r="W12" s="291"/>
      <c r="X12" s="291"/>
      <c r="Y12" s="291"/>
      <c r="Z12" s="291"/>
      <c r="AA12" s="291"/>
      <c r="AB12" s="292"/>
      <c r="AC12" s="292"/>
      <c r="AD12" s="292"/>
      <c r="AE12" s="292"/>
      <c r="AF12" s="292"/>
      <c r="AG12" s="35"/>
      <c r="AH12" s="291"/>
      <c r="AI12" s="291"/>
      <c r="AJ12" s="291"/>
      <c r="AK12" s="291"/>
      <c r="AL12" s="291"/>
      <c r="AM12" s="291"/>
      <c r="AN12" s="292"/>
      <c r="AO12" s="292"/>
      <c r="AP12" s="292"/>
      <c r="AQ12" s="292"/>
      <c r="AR12" s="292"/>
      <c r="AS12" s="35"/>
      <c r="AT12" s="291"/>
      <c r="AU12" s="291"/>
      <c r="AV12" s="291"/>
      <c r="AW12" s="291"/>
      <c r="AX12" s="291"/>
      <c r="AY12" s="291"/>
      <c r="AZ12" s="292"/>
      <c r="BA12" s="292"/>
      <c r="BB12" s="292"/>
      <c r="BC12" s="292"/>
      <c r="BD12" s="292"/>
      <c r="BE12" s="35"/>
      <c r="BF12" s="291"/>
      <c r="BG12" s="291"/>
      <c r="BH12" s="291"/>
      <c r="BI12" s="291"/>
      <c r="BJ12" s="291"/>
      <c r="BK12" s="291"/>
      <c r="BL12" s="292"/>
      <c r="BM12" s="292"/>
      <c r="BN12" s="292"/>
      <c r="BO12" s="292"/>
      <c r="BP12" s="292"/>
      <c r="BQ12" s="35"/>
      <c r="BR12" s="291"/>
      <c r="BS12" s="291"/>
      <c r="BT12" s="291"/>
      <c r="BU12" s="291"/>
      <c r="BV12" s="291"/>
      <c r="BW12" s="291"/>
      <c r="BX12" s="292"/>
      <c r="BY12" s="292"/>
      <c r="BZ12" s="292"/>
      <c r="CA12" s="292"/>
      <c r="CB12" s="292"/>
      <c r="CC12" s="35"/>
      <c r="CD12" s="291"/>
      <c r="CE12" s="291"/>
      <c r="CF12" s="291"/>
      <c r="CG12" s="291"/>
      <c r="CH12" s="291"/>
      <c r="CI12" s="291"/>
      <c r="CJ12" s="292"/>
      <c r="CK12" s="292"/>
      <c r="CL12" s="292"/>
      <c r="CM12" s="292"/>
      <c r="CN12" s="292"/>
      <c r="CO12" s="35"/>
      <c r="CP12" s="291"/>
      <c r="CQ12" s="291"/>
      <c r="CR12" s="291"/>
      <c r="CS12" s="291"/>
      <c r="CT12" s="291"/>
      <c r="CU12" s="291"/>
      <c r="CV12" s="292"/>
      <c r="CW12" s="292"/>
      <c r="CX12" s="292"/>
      <c r="CY12" s="292"/>
      <c r="CZ12" s="292"/>
      <c r="DA12" s="35"/>
      <c r="DB12" s="291"/>
      <c r="DC12" s="291"/>
      <c r="DD12" s="291"/>
      <c r="DE12" s="291"/>
      <c r="DF12" s="291"/>
      <c r="DG12" s="291"/>
      <c r="DH12" s="292"/>
      <c r="DI12" s="292"/>
      <c r="DJ12" s="292"/>
      <c r="DK12" s="292"/>
      <c r="DL12" s="292"/>
      <c r="DM12" s="35"/>
      <c r="DN12" s="291"/>
      <c r="DO12" s="291"/>
      <c r="DP12" s="291"/>
      <c r="DQ12" s="291"/>
      <c r="DR12" s="291"/>
      <c r="DS12" s="291"/>
      <c r="DT12" s="292"/>
      <c r="DU12" s="292"/>
      <c r="DV12" s="292"/>
      <c r="DW12" s="292"/>
      <c r="DX12" s="292"/>
      <c r="DY12" s="35"/>
      <c r="DZ12" s="291"/>
      <c r="EA12" s="291"/>
      <c r="EB12" s="291"/>
      <c r="EC12" s="291"/>
      <c r="ED12" s="291"/>
      <c r="EE12" s="291"/>
      <c r="EF12" s="292"/>
      <c r="EG12" s="292"/>
      <c r="EH12" s="292"/>
      <c r="EI12" s="292"/>
      <c r="EJ12" s="292"/>
      <c r="EK12" s="35"/>
      <c r="EL12" s="291"/>
      <c r="EM12" s="291"/>
      <c r="EN12" s="291"/>
      <c r="EO12" s="291"/>
      <c r="EP12" s="291"/>
      <c r="EQ12" s="291"/>
      <c r="ER12" s="292"/>
      <c r="ES12" s="292"/>
      <c r="ET12" s="292"/>
      <c r="EU12" s="292"/>
      <c r="EV12" s="292"/>
      <c r="EW12" s="35"/>
      <c r="EX12" s="291"/>
      <c r="EY12" s="291"/>
      <c r="EZ12" s="291"/>
      <c r="FA12" s="291"/>
      <c r="FB12" s="291"/>
      <c r="FC12" s="291"/>
      <c r="FD12" s="292"/>
      <c r="FE12" s="292"/>
      <c r="FF12" s="292"/>
      <c r="FG12" s="292"/>
      <c r="FH12" s="292"/>
      <c r="FI12" s="35"/>
      <c r="FJ12" s="291"/>
      <c r="FK12" s="291"/>
      <c r="FL12" s="291"/>
      <c r="FM12" s="291"/>
      <c r="FN12" s="291"/>
      <c r="FO12" s="291"/>
      <c r="FP12" s="292"/>
      <c r="FQ12" s="292"/>
      <c r="FR12" s="292"/>
      <c r="FS12" s="292"/>
      <c r="FT12" s="292"/>
      <c r="FU12" s="35"/>
      <c r="FV12" s="291"/>
      <c r="FW12" s="291"/>
      <c r="FX12" s="291"/>
      <c r="FY12" s="291"/>
      <c r="FZ12" s="291"/>
      <c r="GA12" s="291"/>
      <c r="GB12" s="292"/>
      <c r="GC12" s="292"/>
      <c r="GD12" s="292"/>
      <c r="GE12" s="292"/>
      <c r="GF12" s="292"/>
      <c r="GG12" s="35"/>
      <c r="GH12" s="291"/>
      <c r="GI12" s="291"/>
      <c r="GJ12" s="291"/>
      <c r="GK12" s="291"/>
      <c r="GL12" s="291"/>
      <c r="GM12" s="291"/>
      <c r="GN12" s="292"/>
      <c r="GO12" s="292"/>
      <c r="GP12" s="292"/>
      <c r="GQ12" s="292"/>
      <c r="GR12" s="292"/>
      <c r="GS12" s="35"/>
      <c r="GT12" s="291"/>
      <c r="GU12" s="291"/>
      <c r="GV12" s="291"/>
      <c r="GW12" s="291"/>
      <c r="GX12" s="291"/>
      <c r="GY12" s="291"/>
      <c r="GZ12" s="292"/>
      <c r="HA12" s="292"/>
      <c r="HB12" s="292"/>
      <c r="HC12" s="292"/>
      <c r="HD12" s="292"/>
      <c r="HE12" s="35"/>
      <c r="HF12" s="291"/>
      <c r="HG12" s="291"/>
      <c r="HH12" s="291"/>
      <c r="HI12" s="291"/>
      <c r="HJ12" s="291"/>
      <c r="HK12" s="291"/>
      <c r="HL12" s="292"/>
      <c r="HM12" s="292"/>
      <c r="HN12" s="292"/>
      <c r="HO12" s="292"/>
      <c r="HP12" s="292"/>
      <c r="HQ12" s="35"/>
      <c r="HR12" s="291"/>
      <c r="HS12" s="291"/>
      <c r="HT12" s="291"/>
      <c r="HU12" s="291"/>
      <c r="HV12" s="291"/>
      <c r="HW12" s="291"/>
      <c r="HX12" s="292"/>
      <c r="HY12" s="292"/>
      <c r="HZ12" s="292"/>
      <c r="IA12" s="292"/>
      <c r="IB12" s="292"/>
      <c r="IC12" s="35"/>
      <c r="ID12" s="291"/>
      <c r="IE12" s="291"/>
      <c r="IF12" s="291"/>
      <c r="IG12" s="291"/>
      <c r="IH12" s="291"/>
      <c r="II12" s="291"/>
      <c r="IJ12" s="292"/>
      <c r="IK12" s="292"/>
      <c r="IL12" s="292"/>
      <c r="IM12" s="292"/>
      <c r="IN12" s="292"/>
      <c r="IO12" s="35"/>
      <c r="IP12" s="291"/>
      <c r="IQ12" s="291"/>
      <c r="IR12" s="291"/>
    </row>
    <row r="13" spans="1:252" s="5" customFormat="1" ht="14.25">
      <c r="A13" s="35" t="s">
        <v>23</v>
      </c>
      <c r="B13" s="291">
        <v>2</v>
      </c>
      <c r="C13" s="291">
        <v>3.5</v>
      </c>
      <c r="D13" s="291">
        <v>0.8</v>
      </c>
      <c r="E13" s="291">
        <v>1.6</v>
      </c>
      <c r="F13" s="291">
        <v>2.9</v>
      </c>
      <c r="G13" s="397">
        <v>3.3</v>
      </c>
      <c r="H13" s="291">
        <v>1.3</v>
      </c>
      <c r="I13" s="291">
        <v>0.2</v>
      </c>
      <c r="J13" s="291">
        <v>0.2</v>
      </c>
      <c r="K13" s="291">
        <v>1.8</v>
      </c>
      <c r="L13" s="291"/>
      <c r="M13" s="292"/>
      <c r="N13" s="291"/>
      <c r="O13" s="291"/>
      <c r="P13" s="292"/>
      <c r="Q13" s="292"/>
      <c r="R13" s="292"/>
      <c r="S13" s="292"/>
      <c r="T13" s="292"/>
      <c r="U13" s="35"/>
      <c r="V13" s="291"/>
      <c r="W13" s="291"/>
      <c r="X13" s="291"/>
      <c r="Y13" s="292"/>
      <c r="Z13" s="291"/>
      <c r="AA13" s="291"/>
      <c r="AB13" s="292"/>
      <c r="AC13" s="292"/>
      <c r="AD13" s="292"/>
      <c r="AE13" s="292"/>
      <c r="AF13" s="292"/>
      <c r="AG13" s="35"/>
      <c r="AH13" s="291"/>
      <c r="AI13" s="291"/>
      <c r="AJ13" s="291"/>
      <c r="AK13" s="292"/>
      <c r="AL13" s="291"/>
      <c r="AM13" s="291"/>
      <c r="AN13" s="292"/>
      <c r="AO13" s="292"/>
      <c r="AP13" s="292"/>
      <c r="AQ13" s="292"/>
      <c r="AR13" s="292"/>
      <c r="AS13" s="35"/>
      <c r="AT13" s="291"/>
      <c r="AU13" s="291"/>
      <c r="AV13" s="291"/>
      <c r="AW13" s="292"/>
      <c r="AX13" s="291"/>
      <c r="AY13" s="291"/>
      <c r="AZ13" s="292"/>
      <c r="BA13" s="292"/>
      <c r="BB13" s="292"/>
      <c r="BC13" s="292"/>
      <c r="BD13" s="292"/>
      <c r="BE13" s="35"/>
      <c r="BF13" s="291"/>
      <c r="BG13" s="291"/>
      <c r="BH13" s="291"/>
      <c r="BI13" s="292"/>
      <c r="BJ13" s="291"/>
      <c r="BK13" s="291"/>
      <c r="BL13" s="292"/>
      <c r="BM13" s="292"/>
      <c r="BN13" s="292"/>
      <c r="BO13" s="292"/>
      <c r="BP13" s="292"/>
      <c r="BQ13" s="35"/>
      <c r="BR13" s="291"/>
      <c r="BS13" s="291"/>
      <c r="BT13" s="291"/>
      <c r="BU13" s="292"/>
      <c r="BV13" s="291"/>
      <c r="BW13" s="291"/>
      <c r="BX13" s="292"/>
      <c r="BY13" s="292"/>
      <c r="BZ13" s="292"/>
      <c r="CA13" s="292"/>
      <c r="CB13" s="292"/>
      <c r="CC13" s="35"/>
      <c r="CD13" s="291"/>
      <c r="CE13" s="291"/>
      <c r="CF13" s="291"/>
      <c r="CG13" s="292"/>
      <c r="CH13" s="291"/>
      <c r="CI13" s="291"/>
      <c r="CJ13" s="292"/>
      <c r="CK13" s="292"/>
      <c r="CL13" s="292"/>
      <c r="CM13" s="292"/>
      <c r="CN13" s="292"/>
      <c r="CO13" s="35"/>
      <c r="CP13" s="291"/>
      <c r="CQ13" s="291"/>
      <c r="CR13" s="291"/>
      <c r="CS13" s="292"/>
      <c r="CT13" s="291"/>
      <c r="CU13" s="291"/>
      <c r="CV13" s="292"/>
      <c r="CW13" s="292"/>
      <c r="CX13" s="292"/>
      <c r="CY13" s="292"/>
      <c r="CZ13" s="292"/>
      <c r="DA13" s="35"/>
      <c r="DB13" s="291"/>
      <c r="DC13" s="291"/>
      <c r="DD13" s="291"/>
      <c r="DE13" s="292"/>
      <c r="DF13" s="291"/>
      <c r="DG13" s="291"/>
      <c r="DH13" s="292"/>
      <c r="DI13" s="292"/>
      <c r="DJ13" s="292"/>
      <c r="DK13" s="292"/>
      <c r="DL13" s="292"/>
      <c r="DM13" s="35"/>
      <c r="DN13" s="291"/>
      <c r="DO13" s="291"/>
      <c r="DP13" s="291"/>
      <c r="DQ13" s="292"/>
      <c r="DR13" s="291"/>
      <c r="DS13" s="291"/>
      <c r="DT13" s="292"/>
      <c r="DU13" s="292"/>
      <c r="DV13" s="292"/>
      <c r="DW13" s="292"/>
      <c r="DX13" s="292"/>
      <c r="DY13" s="35"/>
      <c r="DZ13" s="291"/>
      <c r="EA13" s="291"/>
      <c r="EB13" s="291"/>
      <c r="EC13" s="292"/>
      <c r="ED13" s="291"/>
      <c r="EE13" s="291"/>
      <c r="EF13" s="292"/>
      <c r="EG13" s="292"/>
      <c r="EH13" s="292"/>
      <c r="EI13" s="292"/>
      <c r="EJ13" s="292"/>
      <c r="EK13" s="35"/>
      <c r="EL13" s="291"/>
      <c r="EM13" s="291"/>
      <c r="EN13" s="291"/>
      <c r="EO13" s="292"/>
      <c r="EP13" s="291"/>
      <c r="EQ13" s="291"/>
      <c r="ER13" s="292"/>
      <c r="ES13" s="292"/>
      <c r="ET13" s="292"/>
      <c r="EU13" s="292"/>
      <c r="EV13" s="292"/>
      <c r="EW13" s="35"/>
      <c r="EX13" s="291"/>
      <c r="EY13" s="291"/>
      <c r="EZ13" s="291"/>
      <c r="FA13" s="292"/>
      <c r="FB13" s="291"/>
      <c r="FC13" s="291"/>
      <c r="FD13" s="292"/>
      <c r="FE13" s="292"/>
      <c r="FF13" s="292"/>
      <c r="FG13" s="292"/>
      <c r="FH13" s="292"/>
      <c r="FI13" s="35"/>
      <c r="FJ13" s="291"/>
      <c r="FK13" s="291"/>
      <c r="FL13" s="291"/>
      <c r="FM13" s="292"/>
      <c r="FN13" s="291"/>
      <c r="FO13" s="291"/>
      <c r="FP13" s="292"/>
      <c r="FQ13" s="292"/>
      <c r="FR13" s="292"/>
      <c r="FS13" s="292"/>
      <c r="FT13" s="292"/>
      <c r="FU13" s="35"/>
      <c r="FV13" s="291"/>
      <c r="FW13" s="291"/>
      <c r="FX13" s="291"/>
      <c r="FY13" s="292"/>
      <c r="FZ13" s="291"/>
      <c r="GA13" s="291"/>
      <c r="GB13" s="292"/>
      <c r="GC13" s="292"/>
      <c r="GD13" s="292"/>
      <c r="GE13" s="292"/>
      <c r="GF13" s="292"/>
      <c r="GG13" s="35"/>
      <c r="GH13" s="291"/>
      <c r="GI13" s="291"/>
      <c r="GJ13" s="291"/>
      <c r="GK13" s="292"/>
      <c r="GL13" s="291"/>
      <c r="GM13" s="291"/>
      <c r="GN13" s="292"/>
      <c r="GO13" s="292"/>
      <c r="GP13" s="292"/>
      <c r="GQ13" s="292"/>
      <c r="GR13" s="292"/>
      <c r="GS13" s="35"/>
      <c r="GT13" s="291"/>
      <c r="GU13" s="291"/>
      <c r="GV13" s="291"/>
      <c r="GW13" s="292"/>
      <c r="GX13" s="291"/>
      <c r="GY13" s="291"/>
      <c r="GZ13" s="292"/>
      <c r="HA13" s="292"/>
      <c r="HB13" s="292"/>
      <c r="HC13" s="292"/>
      <c r="HD13" s="292"/>
      <c r="HE13" s="35"/>
      <c r="HF13" s="291"/>
      <c r="HG13" s="291"/>
      <c r="HH13" s="291"/>
      <c r="HI13" s="292"/>
      <c r="HJ13" s="291"/>
      <c r="HK13" s="291"/>
      <c r="HL13" s="292"/>
      <c r="HM13" s="292"/>
      <c r="HN13" s="292"/>
      <c r="HO13" s="292"/>
      <c r="HP13" s="292"/>
      <c r="HQ13" s="35"/>
      <c r="HR13" s="291"/>
      <c r="HS13" s="291"/>
      <c r="HT13" s="291"/>
      <c r="HU13" s="292"/>
      <c r="HV13" s="291"/>
      <c r="HW13" s="291"/>
      <c r="HX13" s="292"/>
      <c r="HY13" s="292"/>
      <c r="HZ13" s="292"/>
      <c r="IA13" s="292"/>
      <c r="IB13" s="292"/>
      <c r="IC13" s="35"/>
      <c r="ID13" s="291"/>
      <c r="IE13" s="291"/>
      <c r="IF13" s="291"/>
      <c r="IG13" s="292"/>
      <c r="IH13" s="291"/>
      <c r="II13" s="291"/>
      <c r="IJ13" s="292"/>
      <c r="IK13" s="292"/>
      <c r="IL13" s="292"/>
      <c r="IM13" s="292"/>
      <c r="IN13" s="292"/>
      <c r="IO13" s="35"/>
      <c r="IP13" s="291"/>
      <c r="IQ13" s="291"/>
      <c r="IR13" s="291"/>
    </row>
    <row r="14" spans="1:252" s="5" customFormat="1" ht="14.25">
      <c r="A14" s="36" t="s">
        <v>22</v>
      </c>
      <c r="B14" s="291">
        <v>2.2000000000000002</v>
      </c>
      <c r="C14" s="291">
        <v>4.4000000000000004</v>
      </c>
      <c r="D14" s="291">
        <v>0.2</v>
      </c>
      <c r="E14" s="291">
        <v>2.6</v>
      </c>
      <c r="F14" s="291">
        <v>3.5</v>
      </c>
      <c r="G14" s="291">
        <v>3.1</v>
      </c>
      <c r="H14" s="291">
        <v>0.4</v>
      </c>
      <c r="I14" s="291">
        <v>-0.3</v>
      </c>
      <c r="J14" s="291">
        <v>-0.8</v>
      </c>
      <c r="K14" s="291">
        <v>0.9</v>
      </c>
      <c r="L14" s="291"/>
      <c r="M14" s="291"/>
      <c r="N14" s="291"/>
      <c r="O14" s="291"/>
      <c r="P14" s="291"/>
      <c r="Q14" s="291"/>
      <c r="R14" s="291"/>
      <c r="S14" s="291"/>
      <c r="T14" s="291"/>
      <c r="U14" s="36"/>
      <c r="V14" s="291"/>
      <c r="W14" s="291"/>
      <c r="X14" s="291"/>
      <c r="Y14" s="291"/>
      <c r="Z14" s="291"/>
      <c r="AA14" s="291"/>
      <c r="AB14" s="291"/>
      <c r="AC14" s="291"/>
      <c r="AD14" s="291"/>
      <c r="AE14" s="291"/>
      <c r="AF14" s="291"/>
      <c r="AG14" s="36"/>
      <c r="AH14" s="291"/>
      <c r="AI14" s="291"/>
      <c r="AJ14" s="291"/>
      <c r="AK14" s="291"/>
      <c r="AL14" s="291"/>
      <c r="AM14" s="291"/>
      <c r="AN14" s="291"/>
      <c r="AO14" s="291"/>
      <c r="AP14" s="291"/>
      <c r="AQ14" s="291"/>
      <c r="AR14" s="291"/>
      <c r="AS14" s="36"/>
      <c r="AT14" s="291"/>
      <c r="AU14" s="291"/>
      <c r="AV14" s="291"/>
      <c r="AW14" s="291"/>
      <c r="AX14" s="291"/>
      <c r="AY14" s="291"/>
      <c r="AZ14" s="291"/>
      <c r="BA14" s="291"/>
      <c r="BB14" s="291"/>
      <c r="BC14" s="291"/>
      <c r="BD14" s="291"/>
      <c r="BE14" s="36"/>
      <c r="BF14" s="291"/>
      <c r="BG14" s="291"/>
      <c r="BH14" s="291"/>
      <c r="BI14" s="291"/>
      <c r="BJ14" s="291"/>
      <c r="BK14" s="291"/>
      <c r="BL14" s="291"/>
      <c r="BM14" s="291"/>
      <c r="BN14" s="291"/>
      <c r="BO14" s="291"/>
      <c r="BP14" s="291"/>
      <c r="BQ14" s="36"/>
      <c r="BR14" s="291"/>
      <c r="BS14" s="291"/>
      <c r="BT14" s="291"/>
      <c r="BU14" s="291"/>
      <c r="BV14" s="291"/>
      <c r="BW14" s="291"/>
      <c r="BX14" s="291"/>
      <c r="BY14" s="291"/>
      <c r="BZ14" s="291"/>
      <c r="CA14" s="291"/>
      <c r="CB14" s="291"/>
      <c r="CC14" s="36"/>
      <c r="CD14" s="291"/>
      <c r="CE14" s="291"/>
      <c r="CF14" s="291"/>
      <c r="CG14" s="291"/>
      <c r="CH14" s="291"/>
      <c r="CI14" s="291"/>
      <c r="CJ14" s="291"/>
      <c r="CK14" s="291"/>
      <c r="CL14" s="291"/>
      <c r="CM14" s="291"/>
      <c r="CN14" s="291"/>
      <c r="CO14" s="36"/>
      <c r="CP14" s="291"/>
      <c r="CQ14" s="291"/>
      <c r="CR14" s="291"/>
      <c r="CS14" s="291"/>
      <c r="CT14" s="291"/>
      <c r="CU14" s="291"/>
      <c r="CV14" s="291"/>
      <c r="CW14" s="291"/>
      <c r="CX14" s="291"/>
      <c r="CY14" s="291"/>
      <c r="CZ14" s="291"/>
      <c r="DA14" s="36"/>
      <c r="DB14" s="291"/>
      <c r="DC14" s="291"/>
      <c r="DD14" s="291"/>
      <c r="DE14" s="291"/>
      <c r="DF14" s="291"/>
      <c r="DG14" s="291"/>
      <c r="DH14" s="291"/>
      <c r="DI14" s="291"/>
      <c r="DJ14" s="291"/>
      <c r="DK14" s="291"/>
      <c r="DL14" s="291"/>
      <c r="DM14" s="36"/>
      <c r="DN14" s="291"/>
      <c r="DO14" s="291"/>
      <c r="DP14" s="291"/>
      <c r="DQ14" s="291"/>
      <c r="DR14" s="291"/>
      <c r="DS14" s="291"/>
      <c r="DT14" s="291"/>
      <c r="DU14" s="291"/>
      <c r="DV14" s="291"/>
      <c r="DW14" s="291"/>
      <c r="DX14" s="291"/>
      <c r="DY14" s="36"/>
      <c r="DZ14" s="291"/>
      <c r="EA14" s="291"/>
      <c r="EB14" s="291"/>
      <c r="EC14" s="291"/>
      <c r="ED14" s="291"/>
      <c r="EE14" s="291"/>
      <c r="EF14" s="291"/>
      <c r="EG14" s="291"/>
      <c r="EH14" s="291"/>
      <c r="EI14" s="291"/>
      <c r="EJ14" s="291"/>
      <c r="EK14" s="36"/>
      <c r="EL14" s="291"/>
      <c r="EM14" s="291"/>
      <c r="EN14" s="291"/>
      <c r="EO14" s="291"/>
      <c r="EP14" s="291"/>
      <c r="EQ14" s="291"/>
      <c r="ER14" s="291"/>
      <c r="ES14" s="291"/>
      <c r="ET14" s="291"/>
      <c r="EU14" s="291"/>
      <c r="EV14" s="291"/>
      <c r="EW14" s="36"/>
      <c r="EX14" s="291"/>
      <c r="EY14" s="291"/>
      <c r="EZ14" s="291"/>
      <c r="FA14" s="291"/>
      <c r="FB14" s="291"/>
      <c r="FC14" s="291"/>
      <c r="FD14" s="291"/>
      <c r="FE14" s="291"/>
      <c r="FF14" s="291"/>
      <c r="FG14" s="291"/>
      <c r="FH14" s="291"/>
      <c r="FI14" s="36"/>
      <c r="FJ14" s="291"/>
      <c r="FK14" s="291"/>
      <c r="FL14" s="291"/>
      <c r="FM14" s="291"/>
      <c r="FN14" s="291"/>
      <c r="FO14" s="291"/>
      <c r="FP14" s="291"/>
      <c r="FQ14" s="291"/>
      <c r="FR14" s="291"/>
      <c r="FS14" s="291"/>
      <c r="FT14" s="291"/>
      <c r="FU14" s="36"/>
      <c r="FV14" s="291"/>
      <c r="FW14" s="291"/>
      <c r="FX14" s="291"/>
      <c r="FY14" s="291"/>
      <c r="FZ14" s="291"/>
      <c r="GA14" s="291"/>
      <c r="GB14" s="291"/>
      <c r="GC14" s="291"/>
      <c r="GD14" s="291"/>
      <c r="GE14" s="291"/>
      <c r="GF14" s="291"/>
      <c r="GG14" s="36"/>
      <c r="GH14" s="291"/>
      <c r="GI14" s="291"/>
      <c r="GJ14" s="291"/>
      <c r="GK14" s="291"/>
      <c r="GL14" s="291"/>
      <c r="GM14" s="291"/>
      <c r="GN14" s="291"/>
      <c r="GO14" s="291"/>
      <c r="GP14" s="291"/>
      <c r="GQ14" s="291"/>
      <c r="GR14" s="291"/>
      <c r="GS14" s="36"/>
      <c r="GT14" s="291"/>
      <c r="GU14" s="291"/>
      <c r="GV14" s="291"/>
      <c r="GW14" s="291"/>
      <c r="GX14" s="291"/>
      <c r="GY14" s="291"/>
      <c r="GZ14" s="291"/>
      <c r="HA14" s="291"/>
      <c r="HB14" s="291"/>
      <c r="HC14" s="291"/>
      <c r="HD14" s="291"/>
      <c r="HE14" s="36"/>
      <c r="HF14" s="291"/>
      <c r="HG14" s="291"/>
      <c r="HH14" s="291"/>
      <c r="HI14" s="291"/>
      <c r="HJ14" s="291"/>
      <c r="HK14" s="291"/>
      <c r="HL14" s="291"/>
      <c r="HM14" s="291"/>
      <c r="HN14" s="291"/>
      <c r="HO14" s="291"/>
      <c r="HP14" s="291"/>
      <c r="HQ14" s="36"/>
      <c r="HR14" s="291"/>
      <c r="HS14" s="291"/>
      <c r="HT14" s="291"/>
      <c r="HU14" s="291"/>
      <c r="HV14" s="291"/>
      <c r="HW14" s="291"/>
      <c r="HX14" s="291"/>
      <c r="HY14" s="291"/>
      <c r="HZ14" s="291"/>
      <c r="IA14" s="291"/>
      <c r="IB14" s="291"/>
      <c r="IC14" s="36"/>
      <c r="ID14" s="291"/>
      <c r="IE14" s="291"/>
      <c r="IF14" s="291"/>
      <c r="IG14" s="291"/>
      <c r="IH14" s="291"/>
      <c r="II14" s="291"/>
      <c r="IJ14" s="291"/>
      <c r="IK14" s="291"/>
      <c r="IL14" s="291"/>
      <c r="IM14" s="291"/>
      <c r="IN14" s="291"/>
      <c r="IO14" s="36"/>
      <c r="IP14" s="291"/>
      <c r="IQ14" s="291"/>
      <c r="IR14" s="291"/>
    </row>
    <row r="15" spans="1:252" s="5" customFormat="1" ht="14.25">
      <c r="A15" s="35" t="s">
        <v>9</v>
      </c>
      <c r="B15" s="291">
        <v>10.1</v>
      </c>
      <c r="C15" s="291">
        <v>15.3</v>
      </c>
      <c r="D15" s="291">
        <v>3.3</v>
      </c>
      <c r="E15" s="291">
        <v>-1.2</v>
      </c>
      <c r="F15" s="291">
        <v>4.2</v>
      </c>
      <c r="G15" s="291">
        <v>2.2999999999999998</v>
      </c>
      <c r="H15" s="291">
        <v>0</v>
      </c>
      <c r="I15" s="291">
        <v>0.7</v>
      </c>
      <c r="J15" s="291">
        <v>0.7</v>
      </c>
      <c r="K15" s="291">
        <v>2.2000000000000002</v>
      </c>
      <c r="L15" s="291"/>
      <c r="M15" s="291"/>
      <c r="N15" s="291"/>
      <c r="O15" s="291"/>
      <c r="P15" s="291"/>
      <c r="Q15" s="291"/>
      <c r="R15" s="291"/>
      <c r="S15" s="291"/>
      <c r="T15" s="291"/>
      <c r="U15" s="35"/>
      <c r="V15" s="291"/>
      <c r="W15" s="291"/>
      <c r="X15" s="291"/>
      <c r="Y15" s="291"/>
      <c r="Z15" s="291"/>
      <c r="AA15" s="291"/>
      <c r="AB15" s="291"/>
      <c r="AC15" s="291"/>
      <c r="AD15" s="291"/>
      <c r="AE15" s="291"/>
      <c r="AF15" s="291"/>
      <c r="AG15" s="35"/>
      <c r="AH15" s="291"/>
      <c r="AI15" s="291"/>
      <c r="AJ15" s="291"/>
      <c r="AK15" s="291"/>
      <c r="AL15" s="291"/>
      <c r="AM15" s="291"/>
      <c r="AN15" s="291"/>
      <c r="AO15" s="291"/>
      <c r="AP15" s="291"/>
      <c r="AQ15" s="291"/>
      <c r="AR15" s="291"/>
      <c r="AS15" s="35"/>
      <c r="AT15" s="291"/>
      <c r="AU15" s="291"/>
      <c r="AV15" s="291"/>
      <c r="AW15" s="291"/>
      <c r="AX15" s="291"/>
      <c r="AY15" s="291"/>
      <c r="AZ15" s="291"/>
      <c r="BA15" s="291"/>
      <c r="BB15" s="291"/>
      <c r="BC15" s="291"/>
      <c r="BD15" s="291"/>
      <c r="BE15" s="35"/>
      <c r="BF15" s="291"/>
      <c r="BG15" s="291"/>
      <c r="BH15" s="291"/>
      <c r="BI15" s="291"/>
      <c r="BJ15" s="291"/>
      <c r="BK15" s="291"/>
      <c r="BL15" s="291"/>
      <c r="BM15" s="291"/>
      <c r="BN15" s="291"/>
      <c r="BO15" s="291"/>
      <c r="BP15" s="291"/>
      <c r="BQ15" s="35"/>
      <c r="BR15" s="291"/>
      <c r="BS15" s="291"/>
      <c r="BT15" s="291"/>
      <c r="BU15" s="291"/>
      <c r="BV15" s="291"/>
      <c r="BW15" s="291"/>
      <c r="BX15" s="291"/>
      <c r="BY15" s="291"/>
      <c r="BZ15" s="291"/>
      <c r="CA15" s="291"/>
      <c r="CB15" s="291"/>
      <c r="CC15" s="35"/>
      <c r="CD15" s="291"/>
      <c r="CE15" s="291"/>
      <c r="CF15" s="291"/>
      <c r="CG15" s="291"/>
      <c r="CH15" s="291"/>
      <c r="CI15" s="291"/>
      <c r="CJ15" s="291"/>
      <c r="CK15" s="291"/>
      <c r="CL15" s="291"/>
      <c r="CM15" s="291"/>
      <c r="CN15" s="291"/>
      <c r="CO15" s="35"/>
      <c r="CP15" s="291"/>
      <c r="CQ15" s="291"/>
      <c r="CR15" s="291"/>
      <c r="CS15" s="291"/>
      <c r="CT15" s="291"/>
      <c r="CU15" s="291"/>
      <c r="CV15" s="291"/>
      <c r="CW15" s="291"/>
      <c r="CX15" s="291"/>
      <c r="CY15" s="291"/>
      <c r="CZ15" s="291"/>
      <c r="DA15" s="35"/>
      <c r="DB15" s="291"/>
      <c r="DC15" s="291"/>
      <c r="DD15" s="291"/>
      <c r="DE15" s="291"/>
      <c r="DF15" s="291"/>
      <c r="DG15" s="291"/>
      <c r="DH15" s="291"/>
      <c r="DI15" s="291"/>
      <c r="DJ15" s="291"/>
      <c r="DK15" s="291"/>
      <c r="DL15" s="291"/>
      <c r="DM15" s="35"/>
      <c r="DN15" s="291"/>
      <c r="DO15" s="291"/>
      <c r="DP15" s="291"/>
      <c r="DQ15" s="291"/>
      <c r="DR15" s="291"/>
      <c r="DS15" s="291"/>
      <c r="DT15" s="291"/>
      <c r="DU15" s="291"/>
      <c r="DV15" s="291"/>
      <c r="DW15" s="291"/>
      <c r="DX15" s="291"/>
      <c r="DY15" s="35"/>
      <c r="DZ15" s="291"/>
      <c r="EA15" s="291"/>
      <c r="EB15" s="291"/>
      <c r="EC15" s="291"/>
      <c r="ED15" s="291"/>
      <c r="EE15" s="291"/>
      <c r="EF15" s="291"/>
      <c r="EG15" s="291"/>
      <c r="EH15" s="291"/>
      <c r="EI15" s="291"/>
      <c r="EJ15" s="291"/>
      <c r="EK15" s="35"/>
      <c r="EL15" s="291"/>
      <c r="EM15" s="291"/>
      <c r="EN15" s="291"/>
      <c r="EO15" s="291"/>
      <c r="EP15" s="291"/>
      <c r="EQ15" s="291"/>
      <c r="ER15" s="291"/>
      <c r="ES15" s="291"/>
      <c r="ET15" s="291"/>
      <c r="EU15" s="291"/>
      <c r="EV15" s="291"/>
      <c r="EW15" s="35"/>
      <c r="EX15" s="291"/>
      <c r="EY15" s="291"/>
      <c r="EZ15" s="291"/>
      <c r="FA15" s="291"/>
      <c r="FB15" s="291"/>
      <c r="FC15" s="291"/>
      <c r="FD15" s="291"/>
      <c r="FE15" s="291"/>
      <c r="FF15" s="291"/>
      <c r="FG15" s="291"/>
      <c r="FH15" s="291"/>
      <c r="FI15" s="35"/>
      <c r="FJ15" s="291"/>
      <c r="FK15" s="291"/>
      <c r="FL15" s="291"/>
      <c r="FM15" s="291"/>
      <c r="FN15" s="291"/>
      <c r="FO15" s="291"/>
      <c r="FP15" s="291"/>
      <c r="FQ15" s="291"/>
      <c r="FR15" s="291"/>
      <c r="FS15" s="291"/>
      <c r="FT15" s="291"/>
      <c r="FU15" s="35"/>
      <c r="FV15" s="291"/>
      <c r="FW15" s="291"/>
      <c r="FX15" s="291"/>
      <c r="FY15" s="291"/>
      <c r="FZ15" s="291"/>
      <c r="GA15" s="291"/>
      <c r="GB15" s="291"/>
      <c r="GC15" s="291"/>
      <c r="GD15" s="291"/>
      <c r="GE15" s="291"/>
      <c r="GF15" s="291"/>
      <c r="GG15" s="35"/>
      <c r="GH15" s="291"/>
      <c r="GI15" s="291"/>
      <c r="GJ15" s="291"/>
      <c r="GK15" s="291"/>
      <c r="GL15" s="291"/>
      <c r="GM15" s="291"/>
      <c r="GN15" s="291"/>
      <c r="GO15" s="291"/>
      <c r="GP15" s="291"/>
      <c r="GQ15" s="291"/>
      <c r="GR15" s="291"/>
      <c r="GS15" s="35"/>
      <c r="GT15" s="291"/>
      <c r="GU15" s="291"/>
      <c r="GV15" s="291"/>
      <c r="GW15" s="291"/>
      <c r="GX15" s="291"/>
      <c r="GY15" s="291"/>
      <c r="GZ15" s="291"/>
      <c r="HA15" s="291"/>
      <c r="HB15" s="291"/>
      <c r="HC15" s="291"/>
      <c r="HD15" s="291"/>
      <c r="HE15" s="35"/>
      <c r="HF15" s="291"/>
      <c r="HG15" s="291"/>
      <c r="HH15" s="291"/>
      <c r="HI15" s="291"/>
      <c r="HJ15" s="291"/>
      <c r="HK15" s="291"/>
      <c r="HL15" s="291"/>
      <c r="HM15" s="291"/>
      <c r="HN15" s="291"/>
      <c r="HO15" s="291"/>
      <c r="HP15" s="291"/>
      <c r="HQ15" s="35"/>
      <c r="HR15" s="291"/>
      <c r="HS15" s="291"/>
      <c r="HT15" s="291"/>
      <c r="HU15" s="291"/>
      <c r="HV15" s="291"/>
      <c r="HW15" s="291"/>
      <c r="HX15" s="291"/>
      <c r="HY15" s="291"/>
      <c r="HZ15" s="291"/>
      <c r="IA15" s="291"/>
      <c r="IB15" s="291"/>
      <c r="IC15" s="35"/>
      <c r="ID15" s="291"/>
      <c r="IE15" s="291"/>
      <c r="IF15" s="291"/>
      <c r="IG15" s="291"/>
      <c r="IH15" s="291"/>
      <c r="II15" s="291"/>
      <c r="IJ15" s="291"/>
      <c r="IK15" s="291"/>
      <c r="IL15" s="291"/>
      <c r="IM15" s="291"/>
      <c r="IN15" s="291"/>
      <c r="IO15" s="35"/>
      <c r="IP15" s="291"/>
      <c r="IQ15" s="291"/>
      <c r="IR15" s="291"/>
    </row>
    <row r="16" spans="1:252" s="5" customFormat="1" ht="14.25">
      <c r="A16" s="35" t="s">
        <v>8</v>
      </c>
      <c r="B16" s="291">
        <v>5.8</v>
      </c>
      <c r="C16" s="291">
        <v>11.1</v>
      </c>
      <c r="D16" s="291">
        <v>4.2</v>
      </c>
      <c r="E16" s="291">
        <v>1.2</v>
      </c>
      <c r="F16" s="291">
        <v>4.0999999999999996</v>
      </c>
      <c r="G16" s="397">
        <v>3.2</v>
      </c>
      <c r="H16" s="291">
        <v>1.2</v>
      </c>
      <c r="I16" s="291">
        <v>0.2</v>
      </c>
      <c r="J16" s="291">
        <v>-0.4</v>
      </c>
      <c r="K16" s="291">
        <v>1.7</v>
      </c>
      <c r="L16" s="291"/>
      <c r="M16" s="291"/>
      <c r="N16" s="291"/>
      <c r="O16" s="291"/>
      <c r="P16" s="292"/>
      <c r="Q16" s="292"/>
      <c r="R16" s="292"/>
      <c r="S16" s="292"/>
      <c r="T16" s="292"/>
      <c r="U16" s="35"/>
      <c r="V16" s="291"/>
      <c r="W16" s="291"/>
      <c r="X16" s="291"/>
      <c r="Y16" s="291"/>
      <c r="Z16" s="291"/>
      <c r="AA16" s="291"/>
      <c r="AB16" s="292"/>
      <c r="AC16" s="292"/>
      <c r="AD16" s="292"/>
      <c r="AE16" s="292"/>
      <c r="AF16" s="292"/>
      <c r="AG16" s="35"/>
      <c r="AH16" s="291"/>
      <c r="AI16" s="291"/>
      <c r="AJ16" s="291"/>
      <c r="AK16" s="291"/>
      <c r="AL16" s="291"/>
      <c r="AM16" s="291"/>
      <c r="AN16" s="292"/>
      <c r="AO16" s="292"/>
      <c r="AP16" s="292"/>
      <c r="AQ16" s="292"/>
      <c r="AR16" s="292"/>
      <c r="AS16" s="35"/>
      <c r="AT16" s="291"/>
      <c r="AU16" s="291"/>
      <c r="AV16" s="291"/>
      <c r="AW16" s="291"/>
      <c r="AX16" s="291"/>
      <c r="AY16" s="291"/>
      <c r="AZ16" s="292"/>
      <c r="BA16" s="292"/>
      <c r="BB16" s="292"/>
      <c r="BC16" s="292"/>
      <c r="BD16" s="292"/>
      <c r="BE16" s="35"/>
      <c r="BF16" s="291"/>
      <c r="BG16" s="291"/>
      <c r="BH16" s="291"/>
      <c r="BI16" s="291"/>
      <c r="BJ16" s="291"/>
      <c r="BK16" s="291"/>
      <c r="BL16" s="292"/>
      <c r="BM16" s="292"/>
      <c r="BN16" s="292"/>
      <c r="BO16" s="292"/>
      <c r="BP16" s="292"/>
      <c r="BQ16" s="35"/>
      <c r="BR16" s="291"/>
      <c r="BS16" s="291"/>
      <c r="BT16" s="291"/>
      <c r="BU16" s="291"/>
      <c r="BV16" s="291"/>
      <c r="BW16" s="291"/>
      <c r="BX16" s="292"/>
      <c r="BY16" s="292"/>
      <c r="BZ16" s="292"/>
      <c r="CA16" s="292"/>
      <c r="CB16" s="292"/>
      <c r="CC16" s="35"/>
      <c r="CD16" s="291"/>
      <c r="CE16" s="291"/>
      <c r="CF16" s="291"/>
      <c r="CG16" s="291"/>
      <c r="CH16" s="291"/>
      <c r="CI16" s="291"/>
      <c r="CJ16" s="292"/>
      <c r="CK16" s="292"/>
      <c r="CL16" s="292"/>
      <c r="CM16" s="292"/>
      <c r="CN16" s="292"/>
      <c r="CO16" s="35"/>
      <c r="CP16" s="291"/>
      <c r="CQ16" s="291"/>
      <c r="CR16" s="291"/>
      <c r="CS16" s="291"/>
      <c r="CT16" s="291"/>
      <c r="CU16" s="291"/>
      <c r="CV16" s="292"/>
      <c r="CW16" s="292"/>
      <c r="CX16" s="292"/>
      <c r="CY16" s="292"/>
      <c r="CZ16" s="292"/>
      <c r="DA16" s="35"/>
      <c r="DB16" s="291"/>
      <c r="DC16" s="291"/>
      <c r="DD16" s="291"/>
      <c r="DE16" s="291"/>
      <c r="DF16" s="291"/>
      <c r="DG16" s="291"/>
      <c r="DH16" s="292"/>
      <c r="DI16" s="292"/>
      <c r="DJ16" s="292"/>
      <c r="DK16" s="292"/>
      <c r="DL16" s="292"/>
      <c r="DM16" s="35"/>
      <c r="DN16" s="291"/>
      <c r="DO16" s="291"/>
      <c r="DP16" s="291"/>
      <c r="DQ16" s="291"/>
      <c r="DR16" s="291"/>
      <c r="DS16" s="291"/>
      <c r="DT16" s="292"/>
      <c r="DU16" s="292"/>
      <c r="DV16" s="292"/>
      <c r="DW16" s="292"/>
      <c r="DX16" s="292"/>
      <c r="DY16" s="35"/>
      <c r="DZ16" s="291"/>
      <c r="EA16" s="291"/>
      <c r="EB16" s="291"/>
      <c r="EC16" s="291"/>
      <c r="ED16" s="291"/>
      <c r="EE16" s="291"/>
      <c r="EF16" s="292"/>
      <c r="EG16" s="292"/>
      <c r="EH16" s="292"/>
      <c r="EI16" s="292"/>
      <c r="EJ16" s="292"/>
      <c r="EK16" s="35"/>
      <c r="EL16" s="291"/>
      <c r="EM16" s="291"/>
      <c r="EN16" s="291"/>
      <c r="EO16" s="291"/>
      <c r="EP16" s="291"/>
      <c r="EQ16" s="291"/>
      <c r="ER16" s="292"/>
      <c r="ES16" s="292"/>
      <c r="ET16" s="292"/>
      <c r="EU16" s="292"/>
      <c r="EV16" s="292"/>
      <c r="EW16" s="35"/>
      <c r="EX16" s="291"/>
      <c r="EY16" s="291"/>
      <c r="EZ16" s="291"/>
      <c r="FA16" s="291"/>
      <c r="FB16" s="291"/>
      <c r="FC16" s="291"/>
      <c r="FD16" s="292"/>
      <c r="FE16" s="292"/>
      <c r="FF16" s="292"/>
      <c r="FG16" s="292"/>
      <c r="FH16" s="292"/>
      <c r="FI16" s="35"/>
      <c r="FJ16" s="291"/>
      <c r="FK16" s="291"/>
      <c r="FL16" s="291"/>
      <c r="FM16" s="291"/>
      <c r="FN16" s="291"/>
      <c r="FO16" s="291"/>
      <c r="FP16" s="292"/>
      <c r="FQ16" s="292"/>
      <c r="FR16" s="292"/>
      <c r="FS16" s="292"/>
      <c r="FT16" s="292"/>
      <c r="FU16" s="35"/>
      <c r="FV16" s="291"/>
      <c r="FW16" s="291"/>
      <c r="FX16" s="291"/>
      <c r="FY16" s="291"/>
      <c r="FZ16" s="291"/>
      <c r="GA16" s="291"/>
      <c r="GB16" s="292"/>
      <c r="GC16" s="292"/>
      <c r="GD16" s="292"/>
      <c r="GE16" s="292"/>
      <c r="GF16" s="292"/>
      <c r="GG16" s="35"/>
      <c r="GH16" s="291"/>
      <c r="GI16" s="291"/>
      <c r="GJ16" s="291"/>
      <c r="GK16" s="291"/>
      <c r="GL16" s="291"/>
      <c r="GM16" s="291"/>
      <c r="GN16" s="292"/>
      <c r="GO16" s="292"/>
      <c r="GP16" s="292"/>
      <c r="GQ16" s="292"/>
      <c r="GR16" s="292"/>
      <c r="GS16" s="35"/>
      <c r="GT16" s="291"/>
      <c r="GU16" s="291"/>
      <c r="GV16" s="291"/>
      <c r="GW16" s="291"/>
      <c r="GX16" s="291"/>
      <c r="GY16" s="291"/>
      <c r="GZ16" s="292"/>
      <c r="HA16" s="292"/>
      <c r="HB16" s="292"/>
      <c r="HC16" s="292"/>
      <c r="HD16" s="292"/>
      <c r="HE16" s="35"/>
      <c r="HF16" s="291"/>
      <c r="HG16" s="291"/>
      <c r="HH16" s="291"/>
      <c r="HI16" s="291"/>
      <c r="HJ16" s="291"/>
      <c r="HK16" s="291"/>
      <c r="HL16" s="292"/>
      <c r="HM16" s="292"/>
      <c r="HN16" s="292"/>
      <c r="HO16" s="292"/>
      <c r="HP16" s="292"/>
      <c r="HQ16" s="35"/>
      <c r="HR16" s="291"/>
      <c r="HS16" s="291"/>
      <c r="HT16" s="291"/>
      <c r="HU16" s="291"/>
      <c r="HV16" s="291"/>
      <c r="HW16" s="291"/>
      <c r="HX16" s="292"/>
      <c r="HY16" s="292"/>
      <c r="HZ16" s="292"/>
      <c r="IA16" s="292"/>
      <c r="IB16" s="292"/>
      <c r="IC16" s="35"/>
      <c r="ID16" s="291"/>
      <c r="IE16" s="291"/>
      <c r="IF16" s="291"/>
      <c r="IG16" s="291"/>
      <c r="IH16" s="291"/>
      <c r="II16" s="291"/>
      <c r="IJ16" s="292"/>
      <c r="IK16" s="292"/>
      <c r="IL16" s="292"/>
      <c r="IM16" s="292"/>
      <c r="IN16" s="292"/>
      <c r="IO16" s="35"/>
      <c r="IP16" s="291"/>
      <c r="IQ16" s="291"/>
      <c r="IR16" s="291"/>
    </row>
    <row r="17" spans="1:252" s="8" customFormat="1" ht="14.25">
      <c r="A17" s="35" t="s">
        <v>21</v>
      </c>
      <c r="B17" s="291">
        <v>2.7</v>
      </c>
      <c r="C17" s="291">
        <v>4.0999999999999996</v>
      </c>
      <c r="D17" s="291">
        <v>0</v>
      </c>
      <c r="E17" s="291">
        <v>2.8</v>
      </c>
      <c r="F17" s="291">
        <v>3.7</v>
      </c>
      <c r="G17" s="397">
        <v>2.9</v>
      </c>
      <c r="H17" s="291">
        <v>1.7</v>
      </c>
      <c r="I17" s="291">
        <v>0.7</v>
      </c>
      <c r="J17" s="291">
        <v>0.8</v>
      </c>
      <c r="K17" s="291">
        <v>2.1</v>
      </c>
      <c r="L17" s="295"/>
      <c r="M17" s="295"/>
      <c r="N17" s="295"/>
      <c r="O17" s="295"/>
      <c r="P17" s="296"/>
      <c r="Q17" s="296"/>
      <c r="R17" s="296"/>
      <c r="S17" s="296"/>
      <c r="T17" s="296"/>
      <c r="U17" s="34"/>
      <c r="V17" s="295"/>
      <c r="W17" s="295"/>
      <c r="X17" s="295"/>
      <c r="Y17" s="295"/>
      <c r="Z17" s="295"/>
      <c r="AA17" s="295"/>
      <c r="AB17" s="296"/>
      <c r="AC17" s="296"/>
      <c r="AD17" s="296"/>
      <c r="AE17" s="296"/>
      <c r="AF17" s="296"/>
      <c r="AG17" s="34"/>
      <c r="AH17" s="295"/>
      <c r="AI17" s="295"/>
      <c r="AJ17" s="295"/>
      <c r="AK17" s="295"/>
      <c r="AL17" s="295"/>
      <c r="AM17" s="295"/>
      <c r="AN17" s="296"/>
      <c r="AO17" s="296"/>
      <c r="AP17" s="296"/>
      <c r="AQ17" s="296"/>
      <c r="AR17" s="296"/>
      <c r="AS17" s="34"/>
      <c r="AT17" s="295"/>
      <c r="AU17" s="295"/>
      <c r="AV17" s="295"/>
      <c r="AW17" s="295"/>
      <c r="AX17" s="295"/>
      <c r="AY17" s="295"/>
      <c r="AZ17" s="296"/>
      <c r="BA17" s="296"/>
      <c r="BB17" s="296"/>
      <c r="BC17" s="296"/>
      <c r="BD17" s="296"/>
      <c r="BE17" s="34"/>
      <c r="BF17" s="295"/>
      <c r="BG17" s="295"/>
      <c r="BH17" s="295"/>
      <c r="BI17" s="295"/>
      <c r="BJ17" s="295"/>
      <c r="BK17" s="295"/>
      <c r="BL17" s="296"/>
      <c r="BM17" s="296"/>
      <c r="BN17" s="296"/>
      <c r="BO17" s="296"/>
      <c r="BP17" s="296"/>
      <c r="BQ17" s="34"/>
      <c r="BR17" s="295"/>
      <c r="BS17" s="295"/>
      <c r="BT17" s="295"/>
      <c r="BU17" s="295"/>
      <c r="BV17" s="295"/>
      <c r="BW17" s="295"/>
      <c r="BX17" s="296"/>
      <c r="BY17" s="296"/>
      <c r="BZ17" s="296"/>
      <c r="CA17" s="296"/>
      <c r="CB17" s="296"/>
      <c r="CC17" s="34"/>
      <c r="CD17" s="295"/>
      <c r="CE17" s="295"/>
      <c r="CF17" s="295"/>
      <c r="CG17" s="295"/>
      <c r="CH17" s="295"/>
      <c r="CI17" s="295"/>
      <c r="CJ17" s="296"/>
      <c r="CK17" s="296"/>
      <c r="CL17" s="296"/>
      <c r="CM17" s="296"/>
      <c r="CN17" s="296"/>
      <c r="CO17" s="34"/>
      <c r="CP17" s="295"/>
      <c r="CQ17" s="295"/>
      <c r="CR17" s="295"/>
      <c r="CS17" s="295"/>
      <c r="CT17" s="295"/>
      <c r="CU17" s="295"/>
      <c r="CV17" s="296"/>
      <c r="CW17" s="296"/>
      <c r="CX17" s="296"/>
      <c r="CY17" s="296"/>
      <c r="CZ17" s="296"/>
      <c r="DA17" s="34"/>
      <c r="DB17" s="295"/>
      <c r="DC17" s="295"/>
      <c r="DD17" s="295"/>
      <c r="DE17" s="295"/>
      <c r="DF17" s="295"/>
      <c r="DG17" s="295"/>
      <c r="DH17" s="296"/>
      <c r="DI17" s="296"/>
      <c r="DJ17" s="296"/>
      <c r="DK17" s="296"/>
      <c r="DL17" s="296"/>
      <c r="DM17" s="34"/>
      <c r="DN17" s="295"/>
      <c r="DO17" s="295"/>
      <c r="DP17" s="295"/>
      <c r="DQ17" s="295"/>
      <c r="DR17" s="295"/>
      <c r="DS17" s="295"/>
      <c r="DT17" s="296"/>
      <c r="DU17" s="296"/>
      <c r="DV17" s="296"/>
      <c r="DW17" s="296"/>
      <c r="DX17" s="296"/>
      <c r="DY17" s="34"/>
      <c r="DZ17" s="295"/>
      <c r="EA17" s="295"/>
      <c r="EB17" s="295"/>
      <c r="EC17" s="295"/>
      <c r="ED17" s="295"/>
      <c r="EE17" s="295"/>
      <c r="EF17" s="296"/>
      <c r="EG17" s="296"/>
      <c r="EH17" s="296"/>
      <c r="EI17" s="296"/>
      <c r="EJ17" s="296"/>
      <c r="EK17" s="34"/>
      <c r="EL17" s="295"/>
      <c r="EM17" s="295"/>
      <c r="EN17" s="295"/>
      <c r="EO17" s="295"/>
      <c r="EP17" s="295"/>
      <c r="EQ17" s="295"/>
      <c r="ER17" s="296"/>
      <c r="ES17" s="296"/>
      <c r="ET17" s="296"/>
      <c r="EU17" s="296"/>
      <c r="EV17" s="296"/>
      <c r="EW17" s="34"/>
      <c r="EX17" s="295"/>
      <c r="EY17" s="295"/>
      <c r="EZ17" s="295"/>
      <c r="FA17" s="295"/>
      <c r="FB17" s="295"/>
      <c r="FC17" s="295"/>
      <c r="FD17" s="296"/>
      <c r="FE17" s="296"/>
      <c r="FF17" s="296"/>
      <c r="FG17" s="296"/>
      <c r="FH17" s="296"/>
      <c r="FI17" s="34"/>
      <c r="FJ17" s="295"/>
      <c r="FK17" s="295"/>
      <c r="FL17" s="295"/>
      <c r="FM17" s="295"/>
      <c r="FN17" s="295"/>
      <c r="FO17" s="295"/>
      <c r="FP17" s="296"/>
      <c r="FQ17" s="296"/>
      <c r="FR17" s="296"/>
      <c r="FS17" s="296"/>
      <c r="FT17" s="296"/>
      <c r="FU17" s="34"/>
      <c r="FV17" s="295"/>
      <c r="FW17" s="295"/>
      <c r="FX17" s="295"/>
      <c r="FY17" s="295"/>
      <c r="FZ17" s="295"/>
      <c r="GA17" s="295"/>
      <c r="GB17" s="296"/>
      <c r="GC17" s="296"/>
      <c r="GD17" s="296"/>
      <c r="GE17" s="296"/>
      <c r="GF17" s="296"/>
      <c r="GG17" s="34"/>
      <c r="GH17" s="295"/>
      <c r="GI17" s="295"/>
      <c r="GJ17" s="295"/>
      <c r="GK17" s="295"/>
      <c r="GL17" s="295"/>
      <c r="GM17" s="295"/>
      <c r="GN17" s="296"/>
      <c r="GO17" s="296"/>
      <c r="GP17" s="296"/>
      <c r="GQ17" s="296"/>
      <c r="GR17" s="296"/>
      <c r="GS17" s="34"/>
      <c r="GT17" s="295"/>
      <c r="GU17" s="295"/>
      <c r="GV17" s="295"/>
      <c r="GW17" s="295"/>
      <c r="GX17" s="295"/>
      <c r="GY17" s="295"/>
      <c r="GZ17" s="296"/>
      <c r="HA17" s="296"/>
      <c r="HB17" s="296"/>
      <c r="HC17" s="296"/>
      <c r="HD17" s="296"/>
      <c r="HE17" s="34"/>
      <c r="HF17" s="295"/>
      <c r="HG17" s="295"/>
      <c r="HH17" s="295"/>
      <c r="HI17" s="295"/>
      <c r="HJ17" s="295"/>
      <c r="HK17" s="295"/>
      <c r="HL17" s="296"/>
      <c r="HM17" s="296"/>
      <c r="HN17" s="296"/>
      <c r="HO17" s="296"/>
      <c r="HP17" s="296"/>
      <c r="HQ17" s="34"/>
      <c r="HR17" s="295"/>
      <c r="HS17" s="295"/>
      <c r="HT17" s="295"/>
      <c r="HU17" s="295"/>
      <c r="HV17" s="295"/>
      <c r="HW17" s="295"/>
      <c r="HX17" s="296"/>
      <c r="HY17" s="296"/>
      <c r="HZ17" s="296"/>
      <c r="IA17" s="296"/>
      <c r="IB17" s="296"/>
      <c r="IC17" s="34"/>
      <c r="ID17" s="295"/>
      <c r="IE17" s="295"/>
      <c r="IF17" s="295"/>
      <c r="IG17" s="295"/>
      <c r="IH17" s="295"/>
      <c r="II17" s="295"/>
      <c r="IJ17" s="296"/>
      <c r="IK17" s="296"/>
      <c r="IL17" s="296"/>
      <c r="IM17" s="296"/>
      <c r="IN17" s="296"/>
      <c r="IO17" s="34"/>
      <c r="IP17" s="295"/>
      <c r="IQ17" s="295"/>
      <c r="IR17" s="295"/>
    </row>
    <row r="18" spans="1:252" s="8" customFormat="1" ht="14.25">
      <c r="A18" s="35" t="s">
        <v>20</v>
      </c>
      <c r="B18" s="291">
        <v>0.7</v>
      </c>
      <c r="C18" s="291">
        <v>4.7</v>
      </c>
      <c r="D18" s="291">
        <v>1.8</v>
      </c>
      <c r="E18" s="291">
        <v>2</v>
      </c>
      <c r="F18" s="291">
        <v>2.5</v>
      </c>
      <c r="G18" s="397">
        <v>3.2</v>
      </c>
      <c r="H18" s="291">
        <v>1</v>
      </c>
      <c r="I18" s="291">
        <v>0.8</v>
      </c>
      <c r="J18" s="291">
        <v>1.3</v>
      </c>
      <c r="K18" s="291">
        <v>1.9</v>
      </c>
      <c r="L18" s="295"/>
      <c r="M18" s="296"/>
      <c r="N18" s="295"/>
      <c r="O18" s="295"/>
      <c r="P18" s="296"/>
      <c r="Q18" s="296"/>
      <c r="R18" s="296"/>
      <c r="S18" s="296"/>
      <c r="T18" s="296"/>
      <c r="U18" s="34"/>
      <c r="V18" s="295"/>
      <c r="W18" s="295"/>
      <c r="X18" s="295"/>
      <c r="Y18" s="296"/>
      <c r="Z18" s="295"/>
      <c r="AA18" s="295"/>
      <c r="AB18" s="296"/>
      <c r="AC18" s="296"/>
      <c r="AD18" s="296"/>
      <c r="AE18" s="296"/>
      <c r="AF18" s="296"/>
      <c r="AG18" s="34"/>
      <c r="AH18" s="295"/>
      <c r="AI18" s="295"/>
      <c r="AJ18" s="295"/>
      <c r="AK18" s="296"/>
      <c r="AL18" s="295"/>
      <c r="AM18" s="295"/>
      <c r="AN18" s="296"/>
      <c r="AO18" s="296"/>
      <c r="AP18" s="296"/>
      <c r="AQ18" s="296"/>
      <c r="AR18" s="296"/>
      <c r="AS18" s="34"/>
      <c r="AT18" s="295"/>
      <c r="AU18" s="295"/>
      <c r="AV18" s="295"/>
      <c r="AW18" s="296"/>
      <c r="AX18" s="295"/>
      <c r="AY18" s="295"/>
      <c r="AZ18" s="296"/>
      <c r="BA18" s="296"/>
      <c r="BB18" s="296"/>
      <c r="BC18" s="296"/>
      <c r="BD18" s="296"/>
      <c r="BE18" s="34"/>
      <c r="BF18" s="295"/>
      <c r="BG18" s="295"/>
      <c r="BH18" s="295"/>
      <c r="BI18" s="296"/>
      <c r="BJ18" s="295"/>
      <c r="BK18" s="295"/>
      <c r="BL18" s="296"/>
      <c r="BM18" s="296"/>
      <c r="BN18" s="296"/>
      <c r="BO18" s="296"/>
      <c r="BP18" s="296"/>
      <c r="BQ18" s="34"/>
      <c r="BR18" s="295"/>
      <c r="BS18" s="295"/>
      <c r="BT18" s="295"/>
      <c r="BU18" s="296"/>
      <c r="BV18" s="295"/>
      <c r="BW18" s="295"/>
      <c r="BX18" s="296"/>
      <c r="BY18" s="296"/>
      <c r="BZ18" s="296"/>
      <c r="CA18" s="296"/>
      <c r="CB18" s="296"/>
      <c r="CC18" s="34"/>
      <c r="CD18" s="295"/>
      <c r="CE18" s="295"/>
      <c r="CF18" s="295"/>
      <c r="CG18" s="296"/>
      <c r="CH18" s="295"/>
      <c r="CI18" s="295"/>
      <c r="CJ18" s="296"/>
      <c r="CK18" s="296"/>
      <c r="CL18" s="296"/>
      <c r="CM18" s="296"/>
      <c r="CN18" s="296"/>
      <c r="CO18" s="34"/>
      <c r="CP18" s="295"/>
      <c r="CQ18" s="295"/>
      <c r="CR18" s="295"/>
      <c r="CS18" s="296"/>
      <c r="CT18" s="295"/>
      <c r="CU18" s="295"/>
      <c r="CV18" s="296"/>
      <c r="CW18" s="296"/>
      <c r="CX18" s="296"/>
      <c r="CY18" s="296"/>
      <c r="CZ18" s="296"/>
      <c r="DA18" s="34"/>
      <c r="DB18" s="295"/>
      <c r="DC18" s="295"/>
      <c r="DD18" s="295"/>
      <c r="DE18" s="296"/>
      <c r="DF18" s="295"/>
      <c r="DG18" s="295"/>
      <c r="DH18" s="296"/>
      <c r="DI18" s="296"/>
      <c r="DJ18" s="296"/>
      <c r="DK18" s="296"/>
      <c r="DL18" s="296"/>
      <c r="DM18" s="34"/>
      <c r="DN18" s="295"/>
      <c r="DO18" s="295"/>
      <c r="DP18" s="295"/>
      <c r="DQ18" s="296"/>
      <c r="DR18" s="295"/>
      <c r="DS18" s="295"/>
      <c r="DT18" s="296"/>
      <c r="DU18" s="296"/>
      <c r="DV18" s="296"/>
      <c r="DW18" s="296"/>
      <c r="DX18" s="296"/>
      <c r="DY18" s="34"/>
      <c r="DZ18" s="295"/>
      <c r="EA18" s="295"/>
      <c r="EB18" s="295"/>
      <c r="EC18" s="296"/>
      <c r="ED18" s="295"/>
      <c r="EE18" s="295"/>
      <c r="EF18" s="296"/>
      <c r="EG18" s="296"/>
      <c r="EH18" s="296"/>
      <c r="EI18" s="296"/>
      <c r="EJ18" s="296"/>
      <c r="EK18" s="34"/>
      <c r="EL18" s="295"/>
      <c r="EM18" s="295"/>
      <c r="EN18" s="295"/>
      <c r="EO18" s="296"/>
      <c r="EP18" s="295"/>
      <c r="EQ18" s="295"/>
      <c r="ER18" s="296"/>
      <c r="ES18" s="296"/>
      <c r="ET18" s="296"/>
      <c r="EU18" s="296"/>
      <c r="EV18" s="296"/>
      <c r="EW18" s="34"/>
      <c r="EX18" s="295"/>
      <c r="EY18" s="295"/>
      <c r="EZ18" s="295"/>
      <c r="FA18" s="296"/>
      <c r="FB18" s="295"/>
      <c r="FC18" s="295"/>
      <c r="FD18" s="296"/>
      <c r="FE18" s="296"/>
      <c r="FF18" s="296"/>
      <c r="FG18" s="296"/>
      <c r="FH18" s="296"/>
      <c r="FI18" s="34"/>
      <c r="FJ18" s="295"/>
      <c r="FK18" s="295"/>
      <c r="FL18" s="295"/>
      <c r="FM18" s="296"/>
      <c r="FN18" s="295"/>
      <c r="FO18" s="295"/>
      <c r="FP18" s="296"/>
      <c r="FQ18" s="296"/>
      <c r="FR18" s="296"/>
      <c r="FS18" s="296"/>
      <c r="FT18" s="296"/>
      <c r="FU18" s="34"/>
      <c r="FV18" s="295"/>
      <c r="FW18" s="295"/>
      <c r="FX18" s="295"/>
      <c r="FY18" s="296"/>
      <c r="FZ18" s="295"/>
      <c r="GA18" s="295"/>
      <c r="GB18" s="296"/>
      <c r="GC18" s="296"/>
      <c r="GD18" s="296"/>
      <c r="GE18" s="296"/>
      <c r="GF18" s="296"/>
      <c r="GG18" s="34"/>
      <c r="GH18" s="295"/>
      <c r="GI18" s="295"/>
      <c r="GJ18" s="295"/>
      <c r="GK18" s="296"/>
      <c r="GL18" s="295"/>
      <c r="GM18" s="295"/>
      <c r="GN18" s="296"/>
      <c r="GO18" s="296"/>
      <c r="GP18" s="296"/>
      <c r="GQ18" s="296"/>
      <c r="GR18" s="296"/>
      <c r="GS18" s="34"/>
      <c r="GT18" s="295"/>
      <c r="GU18" s="295"/>
      <c r="GV18" s="295"/>
      <c r="GW18" s="296"/>
      <c r="GX18" s="295"/>
      <c r="GY18" s="295"/>
      <c r="GZ18" s="296"/>
      <c r="HA18" s="296"/>
      <c r="HB18" s="296"/>
      <c r="HC18" s="296"/>
      <c r="HD18" s="296"/>
      <c r="HE18" s="34"/>
      <c r="HF18" s="295"/>
      <c r="HG18" s="295"/>
      <c r="HH18" s="295"/>
      <c r="HI18" s="296"/>
      <c r="HJ18" s="295"/>
      <c r="HK18" s="295"/>
      <c r="HL18" s="296"/>
      <c r="HM18" s="296"/>
      <c r="HN18" s="296"/>
      <c r="HO18" s="296"/>
      <c r="HP18" s="296"/>
      <c r="HQ18" s="34"/>
      <c r="HR18" s="295"/>
      <c r="HS18" s="295"/>
      <c r="HT18" s="295"/>
      <c r="HU18" s="296"/>
      <c r="HV18" s="295"/>
      <c r="HW18" s="295"/>
      <c r="HX18" s="296"/>
      <c r="HY18" s="296"/>
      <c r="HZ18" s="296"/>
      <c r="IA18" s="296"/>
      <c r="IB18" s="296"/>
      <c r="IC18" s="34"/>
      <c r="ID18" s="295"/>
      <c r="IE18" s="295"/>
      <c r="IF18" s="295"/>
      <c r="IG18" s="296"/>
      <c r="IH18" s="295"/>
      <c r="II18" s="295"/>
      <c r="IJ18" s="296"/>
      <c r="IK18" s="296"/>
      <c r="IL18" s="296"/>
      <c r="IM18" s="296"/>
      <c r="IN18" s="296"/>
      <c r="IO18" s="34"/>
      <c r="IP18" s="295"/>
      <c r="IQ18" s="295"/>
      <c r="IR18" s="295"/>
    </row>
    <row r="19" spans="1:252" s="8" customFormat="1" ht="14.25">
      <c r="A19" s="35" t="s">
        <v>19</v>
      </c>
      <c r="B19" s="291">
        <v>1.6</v>
      </c>
      <c r="C19" s="291">
        <v>2.2000000000000002</v>
      </c>
      <c r="D19" s="291">
        <v>1</v>
      </c>
      <c r="E19" s="291">
        <v>0.9</v>
      </c>
      <c r="F19" s="291">
        <v>2.5</v>
      </c>
      <c r="G19" s="397">
        <v>2.8</v>
      </c>
      <c r="H19" s="291">
        <v>2.6</v>
      </c>
      <c r="I19" s="291">
        <v>0.3</v>
      </c>
      <c r="J19" s="291">
        <v>0.2</v>
      </c>
      <c r="K19" s="291">
        <v>1.3</v>
      </c>
      <c r="L19" s="295"/>
      <c r="M19" s="295"/>
      <c r="N19" s="295"/>
      <c r="O19" s="295"/>
      <c r="P19" s="295"/>
      <c r="Q19" s="295"/>
      <c r="R19" s="295"/>
      <c r="S19" s="295"/>
      <c r="T19" s="295"/>
      <c r="U19" s="39"/>
      <c r="V19" s="295"/>
      <c r="W19" s="295"/>
      <c r="X19" s="295"/>
      <c r="Y19" s="295"/>
      <c r="Z19" s="295"/>
      <c r="AA19" s="295"/>
      <c r="AB19" s="295"/>
      <c r="AC19" s="295"/>
      <c r="AD19" s="295"/>
      <c r="AE19" s="295"/>
      <c r="AF19" s="295"/>
      <c r="AG19" s="39"/>
      <c r="AH19" s="295"/>
      <c r="AI19" s="295"/>
      <c r="AJ19" s="295"/>
      <c r="AK19" s="295"/>
      <c r="AL19" s="295"/>
      <c r="AM19" s="295"/>
      <c r="AN19" s="295"/>
      <c r="AO19" s="295"/>
      <c r="AP19" s="295"/>
      <c r="AQ19" s="295"/>
      <c r="AR19" s="295"/>
      <c r="AS19" s="39"/>
      <c r="AT19" s="295"/>
      <c r="AU19" s="295"/>
      <c r="AV19" s="295"/>
      <c r="AW19" s="295"/>
      <c r="AX19" s="295"/>
      <c r="AY19" s="295"/>
      <c r="AZ19" s="295"/>
      <c r="BA19" s="295"/>
      <c r="BB19" s="295"/>
      <c r="BC19" s="295"/>
      <c r="BD19" s="295"/>
      <c r="BE19" s="39"/>
      <c r="BF19" s="295"/>
      <c r="BG19" s="295"/>
      <c r="BH19" s="295"/>
      <c r="BI19" s="295"/>
      <c r="BJ19" s="295"/>
      <c r="BK19" s="295"/>
      <c r="BL19" s="295"/>
      <c r="BM19" s="295"/>
      <c r="BN19" s="295"/>
      <c r="BO19" s="295"/>
      <c r="BP19" s="295"/>
      <c r="BQ19" s="39"/>
      <c r="BR19" s="295"/>
      <c r="BS19" s="295"/>
      <c r="BT19" s="295"/>
      <c r="BU19" s="295"/>
      <c r="BV19" s="295"/>
      <c r="BW19" s="295"/>
      <c r="BX19" s="295"/>
      <c r="BY19" s="295"/>
      <c r="BZ19" s="295"/>
      <c r="CA19" s="295"/>
      <c r="CB19" s="295"/>
      <c r="CC19" s="39"/>
      <c r="CD19" s="295"/>
      <c r="CE19" s="295"/>
      <c r="CF19" s="295"/>
      <c r="CG19" s="295"/>
      <c r="CH19" s="295"/>
      <c r="CI19" s="295"/>
      <c r="CJ19" s="295"/>
      <c r="CK19" s="295"/>
      <c r="CL19" s="295"/>
      <c r="CM19" s="295"/>
      <c r="CN19" s="295"/>
      <c r="CO19" s="39"/>
      <c r="CP19" s="295"/>
      <c r="CQ19" s="295"/>
      <c r="CR19" s="295"/>
      <c r="CS19" s="295"/>
      <c r="CT19" s="295"/>
      <c r="CU19" s="295"/>
      <c r="CV19" s="295"/>
      <c r="CW19" s="295"/>
      <c r="CX19" s="295"/>
      <c r="CY19" s="295"/>
      <c r="CZ19" s="295"/>
      <c r="DA19" s="39"/>
      <c r="DB19" s="295"/>
      <c r="DC19" s="295"/>
      <c r="DD19" s="295"/>
      <c r="DE19" s="295"/>
      <c r="DF19" s="295"/>
      <c r="DG19" s="295"/>
      <c r="DH19" s="295"/>
      <c r="DI19" s="295"/>
      <c r="DJ19" s="295"/>
      <c r="DK19" s="295"/>
      <c r="DL19" s="295"/>
      <c r="DM19" s="39"/>
      <c r="DN19" s="295"/>
      <c r="DO19" s="295"/>
      <c r="DP19" s="295"/>
      <c r="DQ19" s="295"/>
      <c r="DR19" s="295"/>
      <c r="DS19" s="295"/>
      <c r="DT19" s="295"/>
      <c r="DU19" s="295"/>
      <c r="DV19" s="295"/>
      <c r="DW19" s="295"/>
      <c r="DX19" s="295"/>
      <c r="DY19" s="39"/>
      <c r="DZ19" s="295"/>
      <c r="EA19" s="295"/>
      <c r="EB19" s="295"/>
      <c r="EC19" s="295"/>
      <c r="ED19" s="295"/>
      <c r="EE19" s="295"/>
      <c r="EF19" s="295"/>
      <c r="EG19" s="295"/>
      <c r="EH19" s="295"/>
      <c r="EI19" s="295"/>
      <c r="EJ19" s="295"/>
      <c r="EK19" s="39"/>
      <c r="EL19" s="295"/>
      <c r="EM19" s="295"/>
      <c r="EN19" s="295"/>
      <c r="EO19" s="295"/>
      <c r="EP19" s="295"/>
      <c r="EQ19" s="295"/>
      <c r="ER19" s="295"/>
      <c r="ES19" s="295"/>
      <c r="ET19" s="295"/>
      <c r="EU19" s="295"/>
      <c r="EV19" s="295"/>
      <c r="EW19" s="39"/>
      <c r="EX19" s="295"/>
      <c r="EY19" s="295"/>
      <c r="EZ19" s="295"/>
      <c r="FA19" s="295"/>
      <c r="FB19" s="295"/>
      <c r="FC19" s="295"/>
      <c r="FD19" s="295"/>
      <c r="FE19" s="295"/>
      <c r="FF19" s="295"/>
      <c r="FG19" s="295"/>
      <c r="FH19" s="295"/>
      <c r="FI19" s="39"/>
      <c r="FJ19" s="295"/>
      <c r="FK19" s="295"/>
      <c r="FL19" s="295"/>
      <c r="FM19" s="295"/>
      <c r="FN19" s="295"/>
      <c r="FO19" s="295"/>
      <c r="FP19" s="295"/>
      <c r="FQ19" s="295"/>
      <c r="FR19" s="295"/>
      <c r="FS19" s="295"/>
      <c r="FT19" s="295"/>
      <c r="FU19" s="39"/>
      <c r="FV19" s="295"/>
      <c r="FW19" s="295"/>
      <c r="FX19" s="295"/>
      <c r="FY19" s="295"/>
      <c r="FZ19" s="295"/>
      <c r="GA19" s="295"/>
      <c r="GB19" s="295"/>
      <c r="GC19" s="295"/>
      <c r="GD19" s="295"/>
      <c r="GE19" s="295"/>
      <c r="GF19" s="295"/>
      <c r="GG19" s="39"/>
      <c r="GH19" s="295"/>
      <c r="GI19" s="295"/>
      <c r="GJ19" s="295"/>
      <c r="GK19" s="295"/>
      <c r="GL19" s="295"/>
      <c r="GM19" s="295"/>
      <c r="GN19" s="295"/>
      <c r="GO19" s="295"/>
      <c r="GP19" s="295"/>
      <c r="GQ19" s="295"/>
      <c r="GR19" s="295"/>
      <c r="GS19" s="39"/>
      <c r="GT19" s="295"/>
      <c r="GU19" s="295"/>
      <c r="GV19" s="295"/>
      <c r="GW19" s="295"/>
      <c r="GX19" s="295"/>
      <c r="GY19" s="295"/>
      <c r="GZ19" s="295"/>
      <c r="HA19" s="295"/>
      <c r="HB19" s="295"/>
      <c r="HC19" s="295"/>
      <c r="HD19" s="295"/>
      <c r="HE19" s="39"/>
      <c r="HF19" s="295"/>
      <c r="HG19" s="295"/>
      <c r="HH19" s="295"/>
      <c r="HI19" s="295"/>
      <c r="HJ19" s="295"/>
      <c r="HK19" s="295"/>
      <c r="HL19" s="295"/>
      <c r="HM19" s="295"/>
      <c r="HN19" s="295"/>
      <c r="HO19" s="295"/>
      <c r="HP19" s="295"/>
      <c r="HQ19" s="39"/>
      <c r="HR19" s="295"/>
      <c r="HS19" s="295"/>
      <c r="HT19" s="295"/>
      <c r="HU19" s="295"/>
      <c r="HV19" s="295"/>
      <c r="HW19" s="295"/>
      <c r="HX19" s="295"/>
      <c r="HY19" s="295"/>
      <c r="HZ19" s="295"/>
      <c r="IA19" s="295"/>
      <c r="IB19" s="295"/>
      <c r="IC19" s="39"/>
      <c r="ID19" s="295"/>
      <c r="IE19" s="295"/>
      <c r="IF19" s="295"/>
      <c r="IG19" s="295"/>
      <c r="IH19" s="295"/>
      <c r="II19" s="295"/>
      <c r="IJ19" s="295"/>
      <c r="IK19" s="295"/>
      <c r="IL19" s="295"/>
      <c r="IM19" s="295"/>
      <c r="IN19" s="295"/>
      <c r="IO19" s="39"/>
      <c r="IP19" s="295"/>
      <c r="IQ19" s="295"/>
      <c r="IR19" s="295"/>
    </row>
    <row r="20" spans="1:252" s="5" customFormat="1" ht="14.25">
      <c r="A20" s="34" t="s">
        <v>18</v>
      </c>
      <c r="B20" s="295">
        <v>2.2000000000000002</v>
      </c>
      <c r="C20" s="295">
        <v>3.2</v>
      </c>
      <c r="D20" s="295">
        <v>0.4</v>
      </c>
      <c r="E20" s="295">
        <v>1.7</v>
      </c>
      <c r="F20" s="295">
        <v>3.6</v>
      </c>
      <c r="G20" s="296">
        <v>2.6</v>
      </c>
      <c r="H20" s="295">
        <v>2.1</v>
      </c>
      <c r="I20" s="295">
        <v>1.5</v>
      </c>
      <c r="J20" s="295">
        <v>0.8</v>
      </c>
      <c r="K20" s="295">
        <v>1.9</v>
      </c>
      <c r="L20" s="291"/>
      <c r="M20" s="291"/>
      <c r="N20" s="291"/>
      <c r="O20" s="291"/>
      <c r="P20" s="291"/>
      <c r="Q20" s="291"/>
      <c r="R20" s="291"/>
      <c r="S20" s="291"/>
      <c r="T20" s="291"/>
      <c r="U20" s="35"/>
      <c r="V20" s="291"/>
      <c r="W20" s="291"/>
      <c r="X20" s="291"/>
      <c r="Y20" s="291"/>
      <c r="Z20" s="291"/>
      <c r="AA20" s="291"/>
      <c r="AB20" s="291"/>
      <c r="AC20" s="291"/>
      <c r="AD20" s="291"/>
      <c r="AE20" s="291"/>
      <c r="AF20" s="291"/>
      <c r="AG20" s="35"/>
      <c r="AH20" s="291"/>
      <c r="AI20" s="291"/>
      <c r="AJ20" s="291"/>
      <c r="AK20" s="291"/>
      <c r="AL20" s="291"/>
      <c r="AM20" s="291"/>
      <c r="AN20" s="291"/>
      <c r="AO20" s="291"/>
      <c r="AP20" s="291"/>
      <c r="AQ20" s="291"/>
      <c r="AR20" s="291"/>
      <c r="AS20" s="35"/>
      <c r="AT20" s="291"/>
      <c r="AU20" s="291"/>
      <c r="AV20" s="291"/>
      <c r="AW20" s="291"/>
      <c r="AX20" s="291"/>
      <c r="AY20" s="291"/>
      <c r="AZ20" s="291"/>
      <c r="BA20" s="291"/>
      <c r="BB20" s="291"/>
      <c r="BC20" s="291"/>
      <c r="BD20" s="291"/>
      <c r="BE20" s="35"/>
      <c r="BF20" s="291"/>
      <c r="BG20" s="291"/>
      <c r="BH20" s="291"/>
      <c r="BI20" s="291"/>
      <c r="BJ20" s="291"/>
      <c r="BK20" s="291"/>
      <c r="BL20" s="291"/>
      <c r="BM20" s="291"/>
      <c r="BN20" s="291"/>
      <c r="BO20" s="291"/>
      <c r="BP20" s="291"/>
      <c r="BQ20" s="35"/>
      <c r="BR20" s="291"/>
      <c r="BS20" s="291"/>
      <c r="BT20" s="291"/>
      <c r="BU20" s="291"/>
      <c r="BV20" s="291"/>
      <c r="BW20" s="291"/>
      <c r="BX20" s="291"/>
      <c r="BY20" s="291"/>
      <c r="BZ20" s="291"/>
      <c r="CA20" s="291"/>
      <c r="CB20" s="291"/>
      <c r="CC20" s="35"/>
      <c r="CD20" s="291"/>
      <c r="CE20" s="291"/>
      <c r="CF20" s="291"/>
      <c r="CG20" s="291"/>
      <c r="CH20" s="291"/>
      <c r="CI20" s="291"/>
      <c r="CJ20" s="291"/>
      <c r="CK20" s="291"/>
      <c r="CL20" s="291"/>
      <c r="CM20" s="291"/>
      <c r="CN20" s="291"/>
      <c r="CO20" s="35"/>
      <c r="CP20" s="291"/>
      <c r="CQ20" s="291"/>
      <c r="CR20" s="291"/>
      <c r="CS20" s="291"/>
      <c r="CT20" s="291"/>
      <c r="CU20" s="291"/>
      <c r="CV20" s="291"/>
      <c r="CW20" s="291"/>
      <c r="CX20" s="291"/>
      <c r="CY20" s="291"/>
      <c r="CZ20" s="291"/>
      <c r="DA20" s="35"/>
      <c r="DB20" s="291"/>
      <c r="DC20" s="291"/>
      <c r="DD20" s="291"/>
      <c r="DE20" s="291"/>
      <c r="DF20" s="291"/>
      <c r="DG20" s="291"/>
      <c r="DH20" s="291"/>
      <c r="DI20" s="291"/>
      <c r="DJ20" s="291"/>
      <c r="DK20" s="291"/>
      <c r="DL20" s="291"/>
      <c r="DM20" s="35"/>
      <c r="DN20" s="291"/>
      <c r="DO20" s="291"/>
      <c r="DP20" s="291"/>
      <c r="DQ20" s="291"/>
      <c r="DR20" s="291"/>
      <c r="DS20" s="291"/>
      <c r="DT20" s="291"/>
      <c r="DU20" s="291"/>
      <c r="DV20" s="291"/>
      <c r="DW20" s="291"/>
      <c r="DX20" s="291"/>
      <c r="DY20" s="35"/>
      <c r="DZ20" s="291"/>
      <c r="EA20" s="291"/>
      <c r="EB20" s="291"/>
      <c r="EC20" s="291"/>
      <c r="ED20" s="291"/>
      <c r="EE20" s="291"/>
      <c r="EF20" s="291"/>
      <c r="EG20" s="291"/>
      <c r="EH20" s="291"/>
      <c r="EI20" s="291"/>
      <c r="EJ20" s="291"/>
      <c r="EK20" s="35"/>
      <c r="EL20" s="291"/>
      <c r="EM20" s="291"/>
      <c r="EN20" s="291"/>
      <c r="EO20" s="291"/>
      <c r="EP20" s="291"/>
      <c r="EQ20" s="291"/>
      <c r="ER20" s="291"/>
      <c r="ES20" s="291"/>
      <c r="ET20" s="291"/>
      <c r="EU20" s="291"/>
      <c r="EV20" s="291"/>
      <c r="EW20" s="35"/>
      <c r="EX20" s="291"/>
      <c r="EY20" s="291"/>
      <c r="EZ20" s="291"/>
      <c r="FA20" s="291"/>
      <c r="FB20" s="291"/>
      <c r="FC20" s="291"/>
      <c r="FD20" s="291"/>
      <c r="FE20" s="291"/>
      <c r="FF20" s="291"/>
      <c r="FG20" s="291"/>
      <c r="FH20" s="291"/>
      <c r="FI20" s="35"/>
      <c r="FJ20" s="291"/>
      <c r="FK20" s="291"/>
      <c r="FL20" s="291"/>
      <c r="FM20" s="291"/>
      <c r="FN20" s="291"/>
      <c r="FO20" s="291"/>
      <c r="FP20" s="291"/>
      <c r="FQ20" s="291"/>
      <c r="FR20" s="291"/>
      <c r="FS20" s="291"/>
      <c r="FT20" s="291"/>
      <c r="FU20" s="35"/>
      <c r="FV20" s="291"/>
      <c r="FW20" s="291"/>
      <c r="FX20" s="291"/>
      <c r="FY20" s="291"/>
      <c r="FZ20" s="291"/>
      <c r="GA20" s="291"/>
      <c r="GB20" s="291"/>
      <c r="GC20" s="291"/>
      <c r="GD20" s="291"/>
      <c r="GE20" s="291"/>
      <c r="GF20" s="291"/>
      <c r="GG20" s="35"/>
      <c r="GH20" s="291"/>
      <c r="GI20" s="291"/>
      <c r="GJ20" s="291"/>
      <c r="GK20" s="291"/>
      <c r="GL20" s="291"/>
      <c r="GM20" s="291"/>
      <c r="GN20" s="291"/>
      <c r="GO20" s="291"/>
      <c r="GP20" s="291"/>
      <c r="GQ20" s="291"/>
      <c r="GR20" s="291"/>
      <c r="GS20" s="35"/>
      <c r="GT20" s="291"/>
      <c r="GU20" s="291"/>
      <c r="GV20" s="291"/>
      <c r="GW20" s="291"/>
      <c r="GX20" s="291"/>
      <c r="GY20" s="291"/>
      <c r="GZ20" s="291"/>
      <c r="HA20" s="291"/>
      <c r="HB20" s="291"/>
      <c r="HC20" s="291"/>
      <c r="HD20" s="291"/>
      <c r="HE20" s="35"/>
      <c r="HF20" s="291"/>
      <c r="HG20" s="291"/>
      <c r="HH20" s="291"/>
      <c r="HI20" s="291"/>
      <c r="HJ20" s="291"/>
      <c r="HK20" s="291"/>
      <c r="HL20" s="291"/>
      <c r="HM20" s="291"/>
      <c r="HN20" s="291"/>
      <c r="HO20" s="291"/>
      <c r="HP20" s="291"/>
      <c r="HQ20" s="35"/>
      <c r="HR20" s="291"/>
      <c r="HS20" s="291"/>
      <c r="HT20" s="291"/>
      <c r="HU20" s="291"/>
      <c r="HV20" s="291"/>
      <c r="HW20" s="291"/>
      <c r="HX20" s="291"/>
      <c r="HY20" s="291"/>
      <c r="HZ20" s="291"/>
      <c r="IA20" s="291"/>
      <c r="IB20" s="291"/>
      <c r="IC20" s="35"/>
      <c r="ID20" s="291"/>
      <c r="IE20" s="291"/>
      <c r="IF20" s="291"/>
      <c r="IG20" s="291"/>
      <c r="IH20" s="291"/>
      <c r="II20" s="291"/>
      <c r="IJ20" s="291"/>
      <c r="IK20" s="291"/>
      <c r="IL20" s="291"/>
      <c r="IM20" s="291"/>
      <c r="IN20" s="291"/>
      <c r="IO20" s="35"/>
      <c r="IP20" s="291"/>
      <c r="IQ20" s="291"/>
      <c r="IR20" s="291"/>
    </row>
    <row r="21" spans="1:252" s="5" customFormat="1" ht="14.25">
      <c r="A21" s="34" t="s">
        <v>1021</v>
      </c>
      <c r="B21" s="295">
        <v>2.2000000000000002</v>
      </c>
      <c r="C21" s="295">
        <v>3.2</v>
      </c>
      <c r="D21" s="295">
        <v>0.4</v>
      </c>
      <c r="E21" s="295">
        <v>1.7</v>
      </c>
      <c r="F21" s="295">
        <v>3.6</v>
      </c>
      <c r="G21" s="296">
        <v>2.6</v>
      </c>
      <c r="H21" s="295">
        <v>2.1</v>
      </c>
      <c r="I21" s="295">
        <v>1.5</v>
      </c>
      <c r="J21" s="295">
        <v>1.1000000000000001</v>
      </c>
      <c r="K21" s="295">
        <v>1.7</v>
      </c>
      <c r="L21" s="291"/>
      <c r="M21" s="291"/>
      <c r="N21" s="291"/>
      <c r="O21" s="291"/>
      <c r="P21" s="292"/>
      <c r="Q21" s="292"/>
      <c r="R21" s="292"/>
      <c r="S21" s="292"/>
      <c r="T21" s="292"/>
      <c r="U21" s="35"/>
      <c r="V21" s="291"/>
      <c r="W21" s="291"/>
      <c r="X21" s="291"/>
      <c r="Y21" s="291"/>
      <c r="Z21" s="291"/>
      <c r="AA21" s="291"/>
      <c r="AB21" s="292"/>
      <c r="AC21" s="292"/>
      <c r="AD21" s="292"/>
      <c r="AE21" s="292"/>
      <c r="AF21" s="292"/>
      <c r="AG21" s="35"/>
      <c r="AH21" s="291"/>
      <c r="AI21" s="291"/>
      <c r="AJ21" s="291"/>
      <c r="AK21" s="291"/>
      <c r="AL21" s="291"/>
      <c r="AM21" s="291"/>
      <c r="AN21" s="292"/>
      <c r="AO21" s="292"/>
      <c r="AP21" s="292"/>
      <c r="AQ21" s="292"/>
      <c r="AR21" s="292"/>
      <c r="AS21" s="35"/>
      <c r="AT21" s="291"/>
      <c r="AU21" s="291"/>
      <c r="AV21" s="291"/>
      <c r="AW21" s="291"/>
      <c r="AX21" s="291"/>
      <c r="AY21" s="291"/>
      <c r="AZ21" s="292"/>
      <c r="BA21" s="292"/>
      <c r="BB21" s="292"/>
      <c r="BC21" s="292"/>
      <c r="BD21" s="292"/>
      <c r="BE21" s="35"/>
      <c r="BF21" s="291"/>
      <c r="BG21" s="291"/>
      <c r="BH21" s="291"/>
      <c r="BI21" s="291"/>
      <c r="BJ21" s="291"/>
      <c r="BK21" s="291"/>
      <c r="BL21" s="292"/>
      <c r="BM21" s="292"/>
      <c r="BN21" s="292"/>
      <c r="BO21" s="292"/>
      <c r="BP21" s="292"/>
      <c r="BQ21" s="35"/>
      <c r="BR21" s="291"/>
      <c r="BS21" s="291"/>
      <c r="BT21" s="291"/>
      <c r="BU21" s="291"/>
      <c r="BV21" s="291"/>
      <c r="BW21" s="291"/>
      <c r="BX21" s="292"/>
      <c r="BY21" s="292"/>
      <c r="BZ21" s="292"/>
      <c r="CA21" s="292"/>
      <c r="CB21" s="292"/>
      <c r="CC21" s="35"/>
      <c r="CD21" s="291"/>
      <c r="CE21" s="291"/>
      <c r="CF21" s="291"/>
      <c r="CG21" s="291"/>
      <c r="CH21" s="291"/>
      <c r="CI21" s="291"/>
      <c r="CJ21" s="292"/>
      <c r="CK21" s="292"/>
      <c r="CL21" s="292"/>
      <c r="CM21" s="292"/>
      <c r="CN21" s="292"/>
      <c r="CO21" s="35"/>
      <c r="CP21" s="291"/>
      <c r="CQ21" s="291"/>
      <c r="CR21" s="291"/>
      <c r="CS21" s="291"/>
      <c r="CT21" s="291"/>
      <c r="CU21" s="291"/>
      <c r="CV21" s="292"/>
      <c r="CW21" s="292"/>
      <c r="CX21" s="292"/>
      <c r="CY21" s="292"/>
      <c r="CZ21" s="292"/>
      <c r="DA21" s="35"/>
      <c r="DB21" s="291"/>
      <c r="DC21" s="291"/>
      <c r="DD21" s="291"/>
      <c r="DE21" s="291"/>
      <c r="DF21" s="291"/>
      <c r="DG21" s="291"/>
      <c r="DH21" s="292"/>
      <c r="DI21" s="292"/>
      <c r="DJ21" s="292"/>
      <c r="DK21" s="292"/>
      <c r="DL21" s="292"/>
      <c r="DM21" s="35"/>
      <c r="DN21" s="291"/>
      <c r="DO21" s="291"/>
      <c r="DP21" s="291"/>
      <c r="DQ21" s="291"/>
      <c r="DR21" s="291"/>
      <c r="DS21" s="291"/>
      <c r="DT21" s="292"/>
      <c r="DU21" s="292"/>
      <c r="DV21" s="292"/>
      <c r="DW21" s="292"/>
      <c r="DX21" s="292"/>
      <c r="DY21" s="35"/>
      <c r="DZ21" s="291"/>
      <c r="EA21" s="291"/>
      <c r="EB21" s="291"/>
      <c r="EC21" s="291"/>
      <c r="ED21" s="291"/>
      <c r="EE21" s="291"/>
      <c r="EF21" s="292"/>
      <c r="EG21" s="292"/>
      <c r="EH21" s="292"/>
      <c r="EI21" s="292"/>
      <c r="EJ21" s="292"/>
      <c r="EK21" s="35"/>
      <c r="EL21" s="291"/>
      <c r="EM21" s="291"/>
      <c r="EN21" s="291"/>
      <c r="EO21" s="291"/>
      <c r="EP21" s="291"/>
      <c r="EQ21" s="291"/>
      <c r="ER21" s="292"/>
      <c r="ES21" s="292"/>
      <c r="ET21" s="292"/>
      <c r="EU21" s="292"/>
      <c r="EV21" s="292"/>
      <c r="EW21" s="35"/>
      <c r="EX21" s="291"/>
      <c r="EY21" s="291"/>
      <c r="EZ21" s="291"/>
      <c r="FA21" s="291"/>
      <c r="FB21" s="291"/>
      <c r="FC21" s="291"/>
      <c r="FD21" s="292"/>
      <c r="FE21" s="292"/>
      <c r="FF21" s="292"/>
      <c r="FG21" s="292"/>
      <c r="FH21" s="292"/>
      <c r="FI21" s="35"/>
      <c r="FJ21" s="291"/>
      <c r="FK21" s="291"/>
      <c r="FL21" s="291"/>
      <c r="FM21" s="291"/>
      <c r="FN21" s="291"/>
      <c r="FO21" s="291"/>
      <c r="FP21" s="292"/>
      <c r="FQ21" s="292"/>
      <c r="FR21" s="292"/>
      <c r="FS21" s="292"/>
      <c r="FT21" s="292"/>
      <c r="FU21" s="35"/>
      <c r="FV21" s="291"/>
      <c r="FW21" s="291"/>
      <c r="FX21" s="291"/>
      <c r="FY21" s="291"/>
      <c r="FZ21" s="291"/>
      <c r="GA21" s="291"/>
      <c r="GB21" s="292"/>
      <c r="GC21" s="292"/>
      <c r="GD21" s="292"/>
      <c r="GE21" s="292"/>
      <c r="GF21" s="292"/>
      <c r="GG21" s="35"/>
      <c r="GH21" s="291"/>
      <c r="GI21" s="291"/>
      <c r="GJ21" s="291"/>
      <c r="GK21" s="291"/>
      <c r="GL21" s="291"/>
      <c r="GM21" s="291"/>
      <c r="GN21" s="292"/>
      <c r="GO21" s="292"/>
      <c r="GP21" s="292"/>
      <c r="GQ21" s="292"/>
      <c r="GR21" s="292"/>
      <c r="GS21" s="35"/>
      <c r="GT21" s="291"/>
      <c r="GU21" s="291"/>
      <c r="GV21" s="291"/>
      <c r="GW21" s="291"/>
      <c r="GX21" s="291"/>
      <c r="GY21" s="291"/>
      <c r="GZ21" s="292"/>
      <c r="HA21" s="292"/>
      <c r="HB21" s="292"/>
      <c r="HC21" s="292"/>
      <c r="HD21" s="292"/>
      <c r="HE21" s="35"/>
      <c r="HF21" s="291"/>
      <c r="HG21" s="291"/>
      <c r="HH21" s="291"/>
      <c r="HI21" s="291"/>
      <c r="HJ21" s="291"/>
      <c r="HK21" s="291"/>
      <c r="HL21" s="292"/>
      <c r="HM21" s="292"/>
      <c r="HN21" s="292"/>
      <c r="HO21" s="292"/>
      <c r="HP21" s="292"/>
      <c r="HQ21" s="35"/>
      <c r="HR21" s="291"/>
      <c r="HS21" s="291"/>
      <c r="HT21" s="291"/>
      <c r="HU21" s="291"/>
      <c r="HV21" s="291"/>
      <c r="HW21" s="291"/>
      <c r="HX21" s="292"/>
      <c r="HY21" s="292"/>
      <c r="HZ21" s="292"/>
      <c r="IA21" s="292"/>
      <c r="IB21" s="292"/>
      <c r="IC21" s="35"/>
      <c r="ID21" s="291"/>
      <c r="IE21" s="291"/>
      <c r="IF21" s="291"/>
      <c r="IG21" s="291"/>
      <c r="IH21" s="291"/>
      <c r="II21" s="291"/>
      <c r="IJ21" s="292"/>
      <c r="IK21" s="292"/>
      <c r="IL21" s="292"/>
      <c r="IM21" s="292"/>
      <c r="IN21" s="292"/>
      <c r="IO21" s="35"/>
      <c r="IP21" s="291"/>
      <c r="IQ21" s="291"/>
      <c r="IR21" s="291"/>
    </row>
    <row r="22" spans="1:252" s="5" customFormat="1" ht="14.25">
      <c r="A22" s="35" t="s">
        <v>17</v>
      </c>
      <c r="B22" s="291">
        <v>2.4</v>
      </c>
      <c r="C22" s="291">
        <v>2.7</v>
      </c>
      <c r="D22" s="291">
        <v>-0.9</v>
      </c>
      <c r="E22" s="291">
        <v>1.4</v>
      </c>
      <c r="F22" s="291">
        <v>3.6</v>
      </c>
      <c r="G22" s="397">
        <v>2.8</v>
      </c>
      <c r="H22" s="291">
        <v>0.4</v>
      </c>
      <c r="I22" s="291">
        <v>-0.2</v>
      </c>
      <c r="J22" s="291">
        <v>0.2</v>
      </c>
      <c r="K22" s="291">
        <v>1.3</v>
      </c>
      <c r="L22" s="291"/>
      <c r="M22" s="291"/>
      <c r="N22" s="291"/>
      <c r="O22" s="291"/>
      <c r="P22" s="292"/>
      <c r="Q22" s="292"/>
      <c r="R22" s="292"/>
      <c r="S22" s="292"/>
      <c r="T22" s="292"/>
      <c r="U22" s="35"/>
      <c r="V22" s="291"/>
      <c r="W22" s="291"/>
      <c r="X22" s="291"/>
      <c r="Y22" s="291"/>
      <c r="Z22" s="291"/>
      <c r="AA22" s="291"/>
      <c r="AB22" s="292"/>
      <c r="AC22" s="292"/>
      <c r="AD22" s="292"/>
      <c r="AE22" s="292"/>
      <c r="AF22" s="292"/>
      <c r="AG22" s="35"/>
      <c r="AH22" s="291"/>
      <c r="AI22" s="291"/>
      <c r="AJ22" s="291"/>
      <c r="AK22" s="291"/>
      <c r="AL22" s="291"/>
      <c r="AM22" s="291"/>
      <c r="AN22" s="292"/>
      <c r="AO22" s="292"/>
      <c r="AP22" s="292"/>
      <c r="AQ22" s="292"/>
      <c r="AR22" s="292"/>
      <c r="AS22" s="35"/>
      <c r="AT22" s="291"/>
      <c r="AU22" s="291"/>
      <c r="AV22" s="291"/>
      <c r="AW22" s="291"/>
      <c r="AX22" s="291"/>
      <c r="AY22" s="291"/>
      <c r="AZ22" s="292"/>
      <c r="BA22" s="292"/>
      <c r="BB22" s="292"/>
      <c r="BC22" s="292"/>
      <c r="BD22" s="292"/>
      <c r="BE22" s="35"/>
      <c r="BF22" s="291"/>
      <c r="BG22" s="291"/>
      <c r="BH22" s="291"/>
      <c r="BI22" s="291"/>
      <c r="BJ22" s="291"/>
      <c r="BK22" s="291"/>
      <c r="BL22" s="292"/>
      <c r="BM22" s="292"/>
      <c r="BN22" s="292"/>
      <c r="BO22" s="292"/>
      <c r="BP22" s="292"/>
      <c r="BQ22" s="35"/>
      <c r="BR22" s="291"/>
      <c r="BS22" s="291"/>
      <c r="BT22" s="291"/>
      <c r="BU22" s="291"/>
      <c r="BV22" s="291"/>
      <c r="BW22" s="291"/>
      <c r="BX22" s="292"/>
      <c r="BY22" s="292"/>
      <c r="BZ22" s="292"/>
      <c r="CA22" s="292"/>
      <c r="CB22" s="292"/>
      <c r="CC22" s="35"/>
      <c r="CD22" s="291"/>
      <c r="CE22" s="291"/>
      <c r="CF22" s="291"/>
      <c r="CG22" s="291"/>
      <c r="CH22" s="291"/>
      <c r="CI22" s="291"/>
      <c r="CJ22" s="292"/>
      <c r="CK22" s="292"/>
      <c r="CL22" s="292"/>
      <c r="CM22" s="292"/>
      <c r="CN22" s="292"/>
      <c r="CO22" s="35"/>
      <c r="CP22" s="291"/>
      <c r="CQ22" s="291"/>
      <c r="CR22" s="291"/>
      <c r="CS22" s="291"/>
      <c r="CT22" s="291"/>
      <c r="CU22" s="291"/>
      <c r="CV22" s="292"/>
      <c r="CW22" s="292"/>
      <c r="CX22" s="292"/>
      <c r="CY22" s="292"/>
      <c r="CZ22" s="292"/>
      <c r="DA22" s="35"/>
      <c r="DB22" s="291"/>
      <c r="DC22" s="291"/>
      <c r="DD22" s="291"/>
      <c r="DE22" s="291"/>
      <c r="DF22" s="291"/>
      <c r="DG22" s="291"/>
      <c r="DH22" s="292"/>
      <c r="DI22" s="292"/>
      <c r="DJ22" s="292"/>
      <c r="DK22" s="292"/>
      <c r="DL22" s="292"/>
      <c r="DM22" s="35"/>
      <c r="DN22" s="291"/>
      <c r="DO22" s="291"/>
      <c r="DP22" s="291"/>
      <c r="DQ22" s="291"/>
      <c r="DR22" s="291"/>
      <c r="DS22" s="291"/>
      <c r="DT22" s="292"/>
      <c r="DU22" s="292"/>
      <c r="DV22" s="292"/>
      <c r="DW22" s="292"/>
      <c r="DX22" s="292"/>
      <c r="DY22" s="35"/>
      <c r="DZ22" s="291"/>
      <c r="EA22" s="291"/>
      <c r="EB22" s="291"/>
      <c r="EC22" s="291"/>
      <c r="ED22" s="291"/>
      <c r="EE22" s="291"/>
      <c r="EF22" s="292"/>
      <c r="EG22" s="292"/>
      <c r="EH22" s="292"/>
      <c r="EI22" s="292"/>
      <c r="EJ22" s="292"/>
      <c r="EK22" s="35"/>
      <c r="EL22" s="291"/>
      <c r="EM22" s="291"/>
      <c r="EN22" s="291"/>
      <c r="EO22" s="291"/>
      <c r="EP22" s="291"/>
      <c r="EQ22" s="291"/>
      <c r="ER22" s="292"/>
      <c r="ES22" s="292"/>
      <c r="ET22" s="292"/>
      <c r="EU22" s="292"/>
      <c r="EV22" s="292"/>
      <c r="EW22" s="35"/>
      <c r="EX22" s="291"/>
      <c r="EY22" s="291"/>
      <c r="EZ22" s="291"/>
      <c r="FA22" s="291"/>
      <c r="FB22" s="291"/>
      <c r="FC22" s="291"/>
      <c r="FD22" s="292"/>
      <c r="FE22" s="292"/>
      <c r="FF22" s="292"/>
      <c r="FG22" s="292"/>
      <c r="FH22" s="292"/>
      <c r="FI22" s="35"/>
      <c r="FJ22" s="291"/>
      <c r="FK22" s="291"/>
      <c r="FL22" s="291"/>
      <c r="FM22" s="291"/>
      <c r="FN22" s="291"/>
      <c r="FO22" s="291"/>
      <c r="FP22" s="292"/>
      <c r="FQ22" s="292"/>
      <c r="FR22" s="292"/>
      <c r="FS22" s="292"/>
      <c r="FT22" s="292"/>
      <c r="FU22" s="35"/>
      <c r="FV22" s="291"/>
      <c r="FW22" s="291"/>
      <c r="FX22" s="291"/>
      <c r="FY22" s="291"/>
      <c r="FZ22" s="291"/>
      <c r="GA22" s="291"/>
      <c r="GB22" s="292"/>
      <c r="GC22" s="292"/>
      <c r="GD22" s="292"/>
      <c r="GE22" s="292"/>
      <c r="GF22" s="292"/>
      <c r="GG22" s="35"/>
      <c r="GH22" s="291"/>
      <c r="GI22" s="291"/>
      <c r="GJ22" s="291"/>
      <c r="GK22" s="291"/>
      <c r="GL22" s="291"/>
      <c r="GM22" s="291"/>
      <c r="GN22" s="292"/>
      <c r="GO22" s="292"/>
      <c r="GP22" s="292"/>
      <c r="GQ22" s="292"/>
      <c r="GR22" s="292"/>
      <c r="GS22" s="35"/>
      <c r="GT22" s="291"/>
      <c r="GU22" s="291"/>
      <c r="GV22" s="291"/>
      <c r="GW22" s="291"/>
      <c r="GX22" s="291"/>
      <c r="GY22" s="291"/>
      <c r="GZ22" s="292"/>
      <c r="HA22" s="292"/>
      <c r="HB22" s="292"/>
      <c r="HC22" s="292"/>
      <c r="HD22" s="292"/>
      <c r="HE22" s="35"/>
      <c r="HF22" s="291"/>
      <c r="HG22" s="291"/>
      <c r="HH22" s="291"/>
      <c r="HI22" s="291"/>
      <c r="HJ22" s="291"/>
      <c r="HK22" s="291"/>
      <c r="HL22" s="292"/>
      <c r="HM22" s="292"/>
      <c r="HN22" s="292"/>
      <c r="HO22" s="292"/>
      <c r="HP22" s="292"/>
      <c r="HQ22" s="35"/>
      <c r="HR22" s="291"/>
      <c r="HS22" s="291"/>
      <c r="HT22" s="291"/>
      <c r="HU22" s="291"/>
      <c r="HV22" s="291"/>
      <c r="HW22" s="291"/>
      <c r="HX22" s="292"/>
      <c r="HY22" s="292"/>
      <c r="HZ22" s="292"/>
      <c r="IA22" s="292"/>
      <c r="IB22" s="292"/>
      <c r="IC22" s="35"/>
      <c r="ID22" s="291"/>
      <c r="IE22" s="291"/>
      <c r="IF22" s="291"/>
      <c r="IG22" s="291"/>
      <c r="IH22" s="291"/>
      <c r="II22" s="291"/>
      <c r="IJ22" s="292"/>
      <c r="IK22" s="292"/>
      <c r="IL22" s="292"/>
      <c r="IM22" s="292"/>
      <c r="IN22" s="292"/>
      <c r="IO22" s="35"/>
      <c r="IP22" s="291"/>
      <c r="IQ22" s="291"/>
      <c r="IR22" s="291"/>
    </row>
    <row r="23" spans="1:252" s="5" customFormat="1" ht="14.25">
      <c r="A23" s="35" t="s">
        <v>16</v>
      </c>
      <c r="B23" s="291">
        <v>3.8</v>
      </c>
      <c r="C23" s="291">
        <v>5.5</v>
      </c>
      <c r="D23" s="291">
        <v>0.9</v>
      </c>
      <c r="E23" s="291">
        <v>2.1</v>
      </c>
      <c r="F23" s="291">
        <v>2.1</v>
      </c>
      <c r="G23" s="397">
        <v>2.8</v>
      </c>
      <c r="H23" s="291">
        <v>1.9</v>
      </c>
      <c r="I23" s="291">
        <v>0.4</v>
      </c>
      <c r="J23" s="291">
        <v>0.1</v>
      </c>
      <c r="K23" s="291">
        <v>1.7</v>
      </c>
      <c r="L23" s="291"/>
      <c r="M23" s="292"/>
      <c r="N23" s="291"/>
      <c r="O23" s="291"/>
      <c r="P23" s="292"/>
      <c r="Q23" s="292"/>
      <c r="R23" s="292"/>
      <c r="S23" s="292"/>
      <c r="T23" s="292"/>
      <c r="U23" s="35"/>
      <c r="V23" s="291"/>
      <c r="W23" s="291"/>
      <c r="X23" s="291"/>
      <c r="Y23" s="292"/>
      <c r="Z23" s="291"/>
      <c r="AA23" s="291"/>
      <c r="AB23" s="292"/>
      <c r="AC23" s="292"/>
      <c r="AD23" s="292"/>
      <c r="AE23" s="292"/>
      <c r="AF23" s="292"/>
      <c r="AG23" s="35"/>
      <c r="AH23" s="291"/>
      <c r="AI23" s="291"/>
      <c r="AJ23" s="291"/>
      <c r="AK23" s="292"/>
      <c r="AL23" s="291"/>
      <c r="AM23" s="291"/>
      <c r="AN23" s="292"/>
      <c r="AO23" s="292"/>
      <c r="AP23" s="292"/>
      <c r="AQ23" s="292"/>
      <c r="AR23" s="292"/>
      <c r="AS23" s="35"/>
      <c r="AT23" s="291"/>
      <c r="AU23" s="291"/>
      <c r="AV23" s="291"/>
      <c r="AW23" s="292"/>
      <c r="AX23" s="291"/>
      <c r="AY23" s="291"/>
      <c r="AZ23" s="292"/>
      <c r="BA23" s="292"/>
      <c r="BB23" s="292"/>
      <c r="BC23" s="292"/>
      <c r="BD23" s="292"/>
      <c r="BE23" s="35"/>
      <c r="BF23" s="291"/>
      <c r="BG23" s="291"/>
      <c r="BH23" s="291"/>
      <c r="BI23" s="292"/>
      <c r="BJ23" s="291"/>
      <c r="BK23" s="291"/>
      <c r="BL23" s="292"/>
      <c r="BM23" s="292"/>
      <c r="BN23" s="292"/>
      <c r="BO23" s="292"/>
      <c r="BP23" s="292"/>
      <c r="BQ23" s="35"/>
      <c r="BR23" s="291"/>
      <c r="BS23" s="291"/>
      <c r="BT23" s="291"/>
      <c r="BU23" s="292"/>
      <c r="BV23" s="291"/>
      <c r="BW23" s="291"/>
      <c r="BX23" s="292"/>
      <c r="BY23" s="292"/>
      <c r="BZ23" s="292"/>
      <c r="CA23" s="292"/>
      <c r="CB23" s="292"/>
      <c r="CC23" s="35"/>
      <c r="CD23" s="291"/>
      <c r="CE23" s="291"/>
      <c r="CF23" s="291"/>
      <c r="CG23" s="292"/>
      <c r="CH23" s="291"/>
      <c r="CI23" s="291"/>
      <c r="CJ23" s="292"/>
      <c r="CK23" s="292"/>
      <c r="CL23" s="292"/>
      <c r="CM23" s="292"/>
      <c r="CN23" s="292"/>
      <c r="CO23" s="35"/>
      <c r="CP23" s="291"/>
      <c r="CQ23" s="291"/>
      <c r="CR23" s="291"/>
      <c r="CS23" s="292"/>
      <c r="CT23" s="291"/>
      <c r="CU23" s="291"/>
      <c r="CV23" s="292"/>
      <c r="CW23" s="292"/>
      <c r="CX23" s="292"/>
      <c r="CY23" s="292"/>
      <c r="CZ23" s="292"/>
      <c r="DA23" s="35"/>
      <c r="DB23" s="291"/>
      <c r="DC23" s="291"/>
      <c r="DD23" s="291"/>
      <c r="DE23" s="292"/>
      <c r="DF23" s="291"/>
      <c r="DG23" s="291"/>
      <c r="DH23" s="292"/>
      <c r="DI23" s="292"/>
      <c r="DJ23" s="292"/>
      <c r="DK23" s="292"/>
      <c r="DL23" s="292"/>
      <c r="DM23" s="35"/>
      <c r="DN23" s="291"/>
      <c r="DO23" s="291"/>
      <c r="DP23" s="291"/>
      <c r="DQ23" s="292"/>
      <c r="DR23" s="291"/>
      <c r="DS23" s="291"/>
      <c r="DT23" s="292"/>
      <c r="DU23" s="292"/>
      <c r="DV23" s="292"/>
      <c r="DW23" s="292"/>
      <c r="DX23" s="292"/>
      <c r="DY23" s="35"/>
      <c r="DZ23" s="291"/>
      <c r="EA23" s="291"/>
      <c r="EB23" s="291"/>
      <c r="EC23" s="292"/>
      <c r="ED23" s="291"/>
      <c r="EE23" s="291"/>
      <c r="EF23" s="292"/>
      <c r="EG23" s="292"/>
      <c r="EH23" s="292"/>
      <c r="EI23" s="292"/>
      <c r="EJ23" s="292"/>
      <c r="EK23" s="35"/>
      <c r="EL23" s="291"/>
      <c r="EM23" s="291"/>
      <c r="EN23" s="291"/>
      <c r="EO23" s="292"/>
      <c r="EP23" s="291"/>
      <c r="EQ23" s="291"/>
      <c r="ER23" s="292"/>
      <c r="ES23" s="292"/>
      <c r="ET23" s="292"/>
      <c r="EU23" s="292"/>
      <c r="EV23" s="292"/>
      <c r="EW23" s="35"/>
      <c r="EX23" s="291"/>
      <c r="EY23" s="291"/>
      <c r="EZ23" s="291"/>
      <c r="FA23" s="292"/>
      <c r="FB23" s="291"/>
      <c r="FC23" s="291"/>
      <c r="FD23" s="292"/>
      <c r="FE23" s="292"/>
      <c r="FF23" s="292"/>
      <c r="FG23" s="292"/>
      <c r="FH23" s="292"/>
      <c r="FI23" s="35"/>
      <c r="FJ23" s="291"/>
      <c r="FK23" s="291"/>
      <c r="FL23" s="291"/>
      <c r="FM23" s="292"/>
      <c r="FN23" s="291"/>
      <c r="FO23" s="291"/>
      <c r="FP23" s="292"/>
      <c r="FQ23" s="292"/>
      <c r="FR23" s="292"/>
      <c r="FS23" s="292"/>
      <c r="FT23" s="292"/>
      <c r="FU23" s="35"/>
      <c r="FV23" s="291"/>
      <c r="FW23" s="291"/>
      <c r="FX23" s="291"/>
      <c r="FY23" s="292"/>
      <c r="FZ23" s="291"/>
      <c r="GA23" s="291"/>
      <c r="GB23" s="292"/>
      <c r="GC23" s="292"/>
      <c r="GD23" s="292"/>
      <c r="GE23" s="292"/>
      <c r="GF23" s="292"/>
      <c r="GG23" s="35"/>
      <c r="GH23" s="291"/>
      <c r="GI23" s="291"/>
      <c r="GJ23" s="291"/>
      <c r="GK23" s="292"/>
      <c r="GL23" s="291"/>
      <c r="GM23" s="291"/>
      <c r="GN23" s="292"/>
      <c r="GO23" s="292"/>
      <c r="GP23" s="292"/>
      <c r="GQ23" s="292"/>
      <c r="GR23" s="292"/>
      <c r="GS23" s="35"/>
      <c r="GT23" s="291"/>
      <c r="GU23" s="291"/>
      <c r="GV23" s="291"/>
      <c r="GW23" s="292"/>
      <c r="GX23" s="291"/>
      <c r="GY23" s="291"/>
      <c r="GZ23" s="292"/>
      <c r="HA23" s="292"/>
      <c r="HB23" s="292"/>
      <c r="HC23" s="292"/>
      <c r="HD23" s="292"/>
      <c r="HE23" s="35"/>
      <c r="HF23" s="291"/>
      <c r="HG23" s="291"/>
      <c r="HH23" s="291"/>
      <c r="HI23" s="292"/>
      <c r="HJ23" s="291"/>
      <c r="HK23" s="291"/>
      <c r="HL23" s="292"/>
      <c r="HM23" s="292"/>
      <c r="HN23" s="292"/>
      <c r="HO23" s="292"/>
      <c r="HP23" s="292"/>
      <c r="HQ23" s="35"/>
      <c r="HR23" s="291"/>
      <c r="HS23" s="291"/>
      <c r="HT23" s="291"/>
      <c r="HU23" s="292"/>
      <c r="HV23" s="291"/>
      <c r="HW23" s="291"/>
      <c r="HX23" s="292"/>
      <c r="HY23" s="292"/>
      <c r="HZ23" s="292"/>
      <c r="IA23" s="292"/>
      <c r="IB23" s="292"/>
      <c r="IC23" s="35"/>
      <c r="ID23" s="291"/>
      <c r="IE23" s="291"/>
      <c r="IF23" s="291"/>
      <c r="IG23" s="292"/>
      <c r="IH23" s="291"/>
      <c r="II23" s="291"/>
      <c r="IJ23" s="292"/>
      <c r="IK23" s="292"/>
      <c r="IL23" s="292"/>
      <c r="IM23" s="292"/>
      <c r="IN23" s="292"/>
      <c r="IO23" s="35"/>
      <c r="IP23" s="291"/>
      <c r="IQ23" s="291"/>
      <c r="IR23" s="291"/>
    </row>
    <row r="24" spans="1:252" s="38" customFormat="1" ht="14.25">
      <c r="A24" s="35" t="s">
        <v>15</v>
      </c>
      <c r="B24" s="291">
        <v>1.9</v>
      </c>
      <c r="C24" s="291">
        <v>3.9</v>
      </c>
      <c r="D24" s="291">
        <v>0.9</v>
      </c>
      <c r="E24" s="291">
        <v>0.7</v>
      </c>
      <c r="F24" s="291">
        <v>4.0999999999999996</v>
      </c>
      <c r="G24" s="397">
        <v>3.7</v>
      </c>
      <c r="H24" s="291">
        <v>1.5</v>
      </c>
      <c r="I24" s="291">
        <v>-0.1</v>
      </c>
      <c r="J24" s="291">
        <v>-0.2</v>
      </c>
      <c r="K24" s="291">
        <v>1.4</v>
      </c>
      <c r="L24" s="295"/>
      <c r="M24" s="295"/>
      <c r="N24" s="295"/>
      <c r="O24" s="295"/>
      <c r="P24" s="295"/>
      <c r="Q24" s="295"/>
      <c r="R24" s="295"/>
      <c r="S24" s="295"/>
      <c r="T24" s="295"/>
      <c r="U24" s="39"/>
      <c r="V24" s="295"/>
      <c r="W24" s="295"/>
      <c r="X24" s="295"/>
      <c r="Y24" s="295"/>
      <c r="Z24" s="295"/>
      <c r="AA24" s="295"/>
      <c r="AB24" s="295"/>
      <c r="AC24" s="295"/>
      <c r="AD24" s="295"/>
      <c r="AE24" s="295"/>
      <c r="AF24" s="295"/>
      <c r="AG24" s="39"/>
      <c r="AH24" s="295"/>
      <c r="AI24" s="295"/>
      <c r="AJ24" s="295"/>
      <c r="AK24" s="295"/>
      <c r="AL24" s="295"/>
      <c r="AM24" s="295"/>
      <c r="AN24" s="295"/>
      <c r="AO24" s="295"/>
      <c r="AP24" s="295"/>
      <c r="AQ24" s="295"/>
      <c r="AR24" s="295"/>
      <c r="AS24" s="39"/>
      <c r="AT24" s="295"/>
      <c r="AU24" s="295"/>
      <c r="AV24" s="295"/>
      <c r="AW24" s="295"/>
      <c r="AX24" s="295"/>
      <c r="AY24" s="295"/>
      <c r="AZ24" s="295"/>
      <c r="BA24" s="295"/>
      <c r="BB24" s="295"/>
      <c r="BC24" s="295"/>
      <c r="BD24" s="295"/>
      <c r="BE24" s="39"/>
      <c r="BF24" s="295"/>
      <c r="BG24" s="295"/>
      <c r="BH24" s="295"/>
      <c r="BI24" s="295"/>
      <c r="BJ24" s="295"/>
      <c r="BK24" s="295"/>
      <c r="BL24" s="295"/>
      <c r="BM24" s="295"/>
      <c r="BN24" s="295"/>
      <c r="BO24" s="295"/>
      <c r="BP24" s="295"/>
      <c r="BQ24" s="39"/>
      <c r="BR24" s="295"/>
      <c r="BS24" s="295"/>
      <c r="BT24" s="295"/>
      <c r="BU24" s="295"/>
      <c r="BV24" s="295"/>
      <c r="BW24" s="295"/>
      <c r="BX24" s="295"/>
      <c r="BY24" s="295"/>
      <c r="BZ24" s="295"/>
      <c r="CA24" s="295"/>
      <c r="CB24" s="295"/>
      <c r="CC24" s="39"/>
      <c r="CD24" s="295"/>
      <c r="CE24" s="295"/>
      <c r="CF24" s="295"/>
      <c r="CG24" s="295"/>
      <c r="CH24" s="295"/>
      <c r="CI24" s="295"/>
      <c r="CJ24" s="295"/>
      <c r="CK24" s="295"/>
      <c r="CL24" s="295"/>
      <c r="CM24" s="295"/>
      <c r="CN24" s="295"/>
      <c r="CO24" s="39"/>
      <c r="CP24" s="295"/>
      <c r="CQ24" s="295"/>
      <c r="CR24" s="295"/>
      <c r="CS24" s="295"/>
      <c r="CT24" s="295"/>
      <c r="CU24" s="295"/>
      <c r="CV24" s="295"/>
      <c r="CW24" s="295"/>
      <c r="CX24" s="295"/>
      <c r="CY24" s="295"/>
      <c r="CZ24" s="295"/>
      <c r="DA24" s="39"/>
      <c r="DB24" s="295"/>
      <c r="DC24" s="295"/>
      <c r="DD24" s="295"/>
      <c r="DE24" s="295"/>
      <c r="DF24" s="295"/>
      <c r="DG24" s="295"/>
      <c r="DH24" s="295"/>
      <c r="DI24" s="295"/>
      <c r="DJ24" s="295"/>
      <c r="DK24" s="295"/>
      <c r="DL24" s="295"/>
      <c r="DM24" s="39"/>
      <c r="DN24" s="295"/>
      <c r="DO24" s="295"/>
      <c r="DP24" s="295"/>
      <c r="DQ24" s="295"/>
      <c r="DR24" s="295"/>
      <c r="DS24" s="295"/>
      <c r="DT24" s="295"/>
      <c r="DU24" s="295"/>
      <c r="DV24" s="295"/>
      <c r="DW24" s="295"/>
      <c r="DX24" s="295"/>
      <c r="DY24" s="39"/>
      <c r="DZ24" s="295"/>
      <c r="EA24" s="295"/>
      <c r="EB24" s="295"/>
      <c r="EC24" s="295"/>
      <c r="ED24" s="295"/>
      <c r="EE24" s="295"/>
      <c r="EF24" s="295"/>
      <c r="EG24" s="295"/>
      <c r="EH24" s="295"/>
      <c r="EI24" s="295"/>
      <c r="EJ24" s="295"/>
      <c r="EK24" s="39"/>
      <c r="EL24" s="295"/>
      <c r="EM24" s="295"/>
      <c r="EN24" s="295"/>
      <c r="EO24" s="295"/>
      <c r="EP24" s="295"/>
      <c r="EQ24" s="295"/>
      <c r="ER24" s="295"/>
      <c r="ES24" s="295"/>
      <c r="ET24" s="295"/>
      <c r="EU24" s="295"/>
      <c r="EV24" s="295"/>
      <c r="EW24" s="39"/>
      <c r="EX24" s="295"/>
      <c r="EY24" s="295"/>
      <c r="EZ24" s="295"/>
      <c r="FA24" s="295"/>
      <c r="FB24" s="295"/>
      <c r="FC24" s="295"/>
      <c r="FD24" s="295"/>
      <c r="FE24" s="295"/>
      <c r="FF24" s="295"/>
      <c r="FG24" s="295"/>
      <c r="FH24" s="295"/>
      <c r="FI24" s="39"/>
      <c r="FJ24" s="295"/>
      <c r="FK24" s="295"/>
      <c r="FL24" s="295"/>
      <c r="FM24" s="295"/>
      <c r="FN24" s="295"/>
      <c r="FO24" s="295"/>
      <c r="FP24" s="295"/>
      <c r="FQ24" s="295"/>
      <c r="FR24" s="295"/>
      <c r="FS24" s="295"/>
      <c r="FT24" s="295"/>
      <c r="FU24" s="39"/>
      <c r="FV24" s="295"/>
      <c r="FW24" s="295"/>
      <c r="FX24" s="295"/>
      <c r="FY24" s="295"/>
      <c r="FZ24" s="295"/>
      <c r="GA24" s="295"/>
      <c r="GB24" s="295"/>
      <c r="GC24" s="295"/>
      <c r="GD24" s="295"/>
      <c r="GE24" s="295"/>
      <c r="GF24" s="295"/>
      <c r="GG24" s="39"/>
      <c r="GH24" s="295"/>
      <c r="GI24" s="295"/>
      <c r="GJ24" s="295"/>
      <c r="GK24" s="295"/>
      <c r="GL24" s="295"/>
      <c r="GM24" s="295"/>
      <c r="GN24" s="295"/>
      <c r="GO24" s="295"/>
      <c r="GP24" s="295"/>
      <c r="GQ24" s="295"/>
      <c r="GR24" s="295"/>
      <c r="GS24" s="39"/>
      <c r="GT24" s="295"/>
      <c r="GU24" s="295"/>
      <c r="GV24" s="295"/>
      <c r="GW24" s="295"/>
      <c r="GX24" s="295"/>
      <c r="GY24" s="295"/>
      <c r="GZ24" s="295"/>
      <c r="HA24" s="295"/>
      <c r="HB24" s="295"/>
      <c r="HC24" s="295"/>
      <c r="HD24" s="295"/>
      <c r="HE24" s="39"/>
      <c r="HF24" s="295"/>
      <c r="HG24" s="295"/>
      <c r="HH24" s="295"/>
      <c r="HI24" s="295"/>
      <c r="HJ24" s="295"/>
      <c r="HK24" s="295"/>
      <c r="HL24" s="295"/>
      <c r="HM24" s="295"/>
      <c r="HN24" s="295"/>
      <c r="HO24" s="295"/>
      <c r="HP24" s="295"/>
      <c r="HQ24" s="39"/>
      <c r="HR24" s="295"/>
      <c r="HS24" s="295"/>
      <c r="HT24" s="295"/>
      <c r="HU24" s="295"/>
      <c r="HV24" s="295"/>
      <c r="HW24" s="295"/>
      <c r="HX24" s="295"/>
      <c r="HY24" s="295"/>
      <c r="HZ24" s="295"/>
      <c r="IA24" s="295"/>
      <c r="IB24" s="295"/>
      <c r="IC24" s="39"/>
      <c r="ID24" s="295"/>
      <c r="IE24" s="295"/>
      <c r="IF24" s="295"/>
      <c r="IG24" s="295"/>
      <c r="IH24" s="295"/>
      <c r="II24" s="295"/>
      <c r="IJ24" s="295"/>
      <c r="IK24" s="295"/>
      <c r="IL24" s="295"/>
      <c r="IM24" s="295"/>
      <c r="IN24" s="295"/>
      <c r="IO24" s="39"/>
      <c r="IP24" s="295"/>
      <c r="IQ24" s="295"/>
      <c r="IR24" s="295"/>
    </row>
    <row r="25" spans="1:252" s="5" customFormat="1" ht="14.25">
      <c r="A25" s="35" t="s">
        <v>14</v>
      </c>
      <c r="B25" s="291">
        <v>1.6</v>
      </c>
      <c r="C25" s="291">
        <v>3.9</v>
      </c>
      <c r="D25" s="291">
        <v>1.6</v>
      </c>
      <c r="E25" s="291">
        <v>1.7</v>
      </c>
      <c r="F25" s="291">
        <v>3.3</v>
      </c>
      <c r="G25" s="397">
        <v>3.2</v>
      </c>
      <c r="H25" s="291">
        <v>2.2000000000000002</v>
      </c>
      <c r="I25" s="291">
        <v>1.2</v>
      </c>
      <c r="J25" s="291">
        <v>0.2</v>
      </c>
      <c r="K25" s="291">
        <v>1.3</v>
      </c>
      <c r="L25" s="291"/>
      <c r="M25" s="291"/>
      <c r="N25" s="291"/>
      <c r="O25" s="291"/>
      <c r="P25" s="291"/>
      <c r="Q25" s="291"/>
      <c r="R25" s="291"/>
      <c r="S25" s="291"/>
      <c r="T25" s="291"/>
      <c r="U25" s="35"/>
      <c r="V25" s="291"/>
      <c r="W25" s="291"/>
      <c r="X25" s="291"/>
      <c r="Y25" s="291"/>
      <c r="Z25" s="291"/>
      <c r="AA25" s="291"/>
      <c r="AB25" s="291"/>
      <c r="AC25" s="291"/>
      <c r="AD25" s="291"/>
      <c r="AE25" s="291"/>
      <c r="AF25" s="291"/>
      <c r="AG25" s="35"/>
      <c r="AH25" s="291"/>
      <c r="AI25" s="291"/>
      <c r="AJ25" s="291"/>
      <c r="AK25" s="291"/>
      <c r="AL25" s="291"/>
      <c r="AM25" s="291"/>
      <c r="AN25" s="291"/>
      <c r="AO25" s="291"/>
      <c r="AP25" s="291"/>
      <c r="AQ25" s="291"/>
      <c r="AR25" s="291"/>
      <c r="AS25" s="35"/>
      <c r="AT25" s="291"/>
      <c r="AU25" s="291"/>
      <c r="AV25" s="291"/>
      <c r="AW25" s="291"/>
      <c r="AX25" s="291"/>
      <c r="AY25" s="291"/>
      <c r="AZ25" s="291"/>
      <c r="BA25" s="291"/>
      <c r="BB25" s="291"/>
      <c r="BC25" s="291"/>
      <c r="BD25" s="291"/>
      <c r="BE25" s="35"/>
      <c r="BF25" s="291"/>
      <c r="BG25" s="291"/>
      <c r="BH25" s="291"/>
      <c r="BI25" s="291"/>
      <c r="BJ25" s="291"/>
      <c r="BK25" s="291"/>
      <c r="BL25" s="291"/>
      <c r="BM25" s="291"/>
      <c r="BN25" s="291"/>
      <c r="BO25" s="291"/>
      <c r="BP25" s="291"/>
      <c r="BQ25" s="35"/>
      <c r="BR25" s="291"/>
      <c r="BS25" s="291"/>
      <c r="BT25" s="291"/>
      <c r="BU25" s="291"/>
      <c r="BV25" s="291"/>
      <c r="BW25" s="291"/>
      <c r="BX25" s="291"/>
      <c r="BY25" s="291"/>
      <c r="BZ25" s="291"/>
      <c r="CA25" s="291"/>
      <c r="CB25" s="291"/>
      <c r="CC25" s="35"/>
      <c r="CD25" s="291"/>
      <c r="CE25" s="291"/>
      <c r="CF25" s="291"/>
      <c r="CG25" s="291"/>
      <c r="CH25" s="291"/>
      <c r="CI25" s="291"/>
      <c r="CJ25" s="291"/>
      <c r="CK25" s="291"/>
      <c r="CL25" s="291"/>
      <c r="CM25" s="291"/>
      <c r="CN25" s="291"/>
      <c r="CO25" s="35"/>
      <c r="CP25" s="291"/>
      <c r="CQ25" s="291"/>
      <c r="CR25" s="291"/>
      <c r="CS25" s="291"/>
      <c r="CT25" s="291"/>
      <c r="CU25" s="291"/>
      <c r="CV25" s="291"/>
      <c r="CW25" s="291"/>
      <c r="CX25" s="291"/>
      <c r="CY25" s="291"/>
      <c r="CZ25" s="291"/>
      <c r="DA25" s="35"/>
      <c r="DB25" s="291"/>
      <c r="DC25" s="291"/>
      <c r="DD25" s="291"/>
      <c r="DE25" s="291"/>
      <c r="DF25" s="291"/>
      <c r="DG25" s="291"/>
      <c r="DH25" s="291"/>
      <c r="DI25" s="291"/>
      <c r="DJ25" s="291"/>
      <c r="DK25" s="291"/>
      <c r="DL25" s="291"/>
      <c r="DM25" s="35"/>
      <c r="DN25" s="291"/>
      <c r="DO25" s="291"/>
      <c r="DP25" s="291"/>
      <c r="DQ25" s="291"/>
      <c r="DR25" s="291"/>
      <c r="DS25" s="291"/>
      <c r="DT25" s="291"/>
      <c r="DU25" s="291"/>
      <c r="DV25" s="291"/>
      <c r="DW25" s="291"/>
      <c r="DX25" s="291"/>
      <c r="DY25" s="35"/>
      <c r="DZ25" s="291"/>
      <c r="EA25" s="291"/>
      <c r="EB25" s="291"/>
      <c r="EC25" s="291"/>
      <c r="ED25" s="291"/>
      <c r="EE25" s="291"/>
      <c r="EF25" s="291"/>
      <c r="EG25" s="291"/>
      <c r="EH25" s="291"/>
      <c r="EI25" s="291"/>
      <c r="EJ25" s="291"/>
      <c r="EK25" s="35"/>
      <c r="EL25" s="291"/>
      <c r="EM25" s="291"/>
      <c r="EN25" s="291"/>
      <c r="EO25" s="291"/>
      <c r="EP25" s="291"/>
      <c r="EQ25" s="291"/>
      <c r="ER25" s="291"/>
      <c r="ES25" s="291"/>
      <c r="ET25" s="291"/>
      <c r="EU25" s="291"/>
      <c r="EV25" s="291"/>
      <c r="EW25" s="35"/>
      <c r="EX25" s="291"/>
      <c r="EY25" s="291"/>
      <c r="EZ25" s="291"/>
      <c r="FA25" s="291"/>
      <c r="FB25" s="291"/>
      <c r="FC25" s="291"/>
      <c r="FD25" s="291"/>
      <c r="FE25" s="291"/>
      <c r="FF25" s="291"/>
      <c r="FG25" s="291"/>
      <c r="FH25" s="291"/>
      <c r="FI25" s="35"/>
      <c r="FJ25" s="291"/>
      <c r="FK25" s="291"/>
      <c r="FL25" s="291"/>
      <c r="FM25" s="291"/>
      <c r="FN25" s="291"/>
      <c r="FO25" s="291"/>
      <c r="FP25" s="291"/>
      <c r="FQ25" s="291"/>
      <c r="FR25" s="291"/>
      <c r="FS25" s="291"/>
      <c r="FT25" s="291"/>
      <c r="FU25" s="35"/>
      <c r="FV25" s="291"/>
      <c r="FW25" s="291"/>
      <c r="FX25" s="291"/>
      <c r="FY25" s="291"/>
      <c r="FZ25" s="291"/>
      <c r="GA25" s="291"/>
      <c r="GB25" s="291"/>
      <c r="GC25" s="291"/>
      <c r="GD25" s="291"/>
      <c r="GE25" s="291"/>
      <c r="GF25" s="291"/>
      <c r="GG25" s="35"/>
      <c r="GH25" s="291"/>
      <c r="GI25" s="291"/>
      <c r="GJ25" s="291"/>
      <c r="GK25" s="291"/>
      <c r="GL25" s="291"/>
      <c r="GM25" s="291"/>
      <c r="GN25" s="291"/>
      <c r="GO25" s="291"/>
      <c r="GP25" s="291"/>
      <c r="GQ25" s="291"/>
      <c r="GR25" s="291"/>
      <c r="GS25" s="35"/>
      <c r="GT25" s="291"/>
      <c r="GU25" s="291"/>
      <c r="GV25" s="291"/>
      <c r="GW25" s="291"/>
      <c r="GX25" s="291"/>
      <c r="GY25" s="291"/>
      <c r="GZ25" s="291"/>
      <c r="HA25" s="291"/>
      <c r="HB25" s="291"/>
      <c r="HC25" s="291"/>
      <c r="HD25" s="291"/>
      <c r="HE25" s="35"/>
      <c r="HF25" s="291"/>
      <c r="HG25" s="291"/>
      <c r="HH25" s="291"/>
      <c r="HI25" s="291"/>
      <c r="HJ25" s="291"/>
      <c r="HK25" s="291"/>
      <c r="HL25" s="291"/>
      <c r="HM25" s="291"/>
      <c r="HN25" s="291"/>
      <c r="HO25" s="291"/>
      <c r="HP25" s="291"/>
      <c r="HQ25" s="35"/>
      <c r="HR25" s="291"/>
      <c r="HS25" s="291"/>
      <c r="HT25" s="291"/>
      <c r="HU25" s="291"/>
      <c r="HV25" s="291"/>
      <c r="HW25" s="291"/>
      <c r="HX25" s="291"/>
      <c r="HY25" s="291"/>
      <c r="HZ25" s="291"/>
      <c r="IA25" s="291"/>
      <c r="IB25" s="291"/>
      <c r="IC25" s="35"/>
      <c r="ID25" s="291"/>
      <c r="IE25" s="291"/>
      <c r="IF25" s="291"/>
      <c r="IG25" s="291"/>
      <c r="IH25" s="291"/>
      <c r="II25" s="291"/>
      <c r="IJ25" s="291"/>
      <c r="IK25" s="291"/>
      <c r="IL25" s="291"/>
      <c r="IM25" s="291"/>
      <c r="IN25" s="291"/>
      <c r="IO25" s="35"/>
      <c r="IP25" s="291"/>
      <c r="IQ25" s="291"/>
      <c r="IR25" s="291"/>
    </row>
    <row r="26" spans="1:252" s="5" customFormat="1" ht="14.25">
      <c r="A26" s="34" t="s">
        <v>12</v>
      </c>
      <c r="B26" s="295">
        <v>2.2000000000000002</v>
      </c>
      <c r="C26" s="295">
        <v>3.4</v>
      </c>
      <c r="D26" s="295">
        <v>0.3</v>
      </c>
      <c r="E26" s="295">
        <v>1.6</v>
      </c>
      <c r="F26" s="295">
        <v>2.7</v>
      </c>
      <c r="G26" s="296">
        <v>2.5</v>
      </c>
      <c r="H26" s="295">
        <v>1.4</v>
      </c>
      <c r="I26" s="295">
        <v>0.4</v>
      </c>
      <c r="J26" s="295">
        <v>0.1</v>
      </c>
      <c r="K26" s="295">
        <v>1.5</v>
      </c>
      <c r="L26" s="291"/>
      <c r="M26" s="291"/>
      <c r="N26" s="291"/>
      <c r="O26" s="291"/>
      <c r="P26" s="292"/>
      <c r="Q26" s="292"/>
      <c r="R26" s="292"/>
      <c r="S26" s="292"/>
      <c r="T26" s="292"/>
      <c r="U26" s="35"/>
      <c r="V26" s="291"/>
      <c r="W26" s="291"/>
      <c r="X26" s="291"/>
      <c r="Y26" s="291"/>
      <c r="Z26" s="291"/>
      <c r="AA26" s="291"/>
      <c r="AB26" s="292"/>
      <c r="AC26" s="292"/>
      <c r="AD26" s="292"/>
      <c r="AE26" s="292"/>
      <c r="AF26" s="292"/>
      <c r="AG26" s="35"/>
      <c r="AH26" s="291"/>
      <c r="AI26" s="291"/>
      <c r="AJ26" s="291"/>
      <c r="AK26" s="291"/>
      <c r="AL26" s="291"/>
      <c r="AM26" s="291"/>
      <c r="AN26" s="292"/>
      <c r="AO26" s="292"/>
      <c r="AP26" s="292"/>
      <c r="AQ26" s="292"/>
      <c r="AR26" s="292"/>
      <c r="AS26" s="35"/>
      <c r="AT26" s="291"/>
      <c r="AU26" s="291"/>
      <c r="AV26" s="291"/>
      <c r="AW26" s="291"/>
      <c r="AX26" s="291"/>
      <c r="AY26" s="291"/>
      <c r="AZ26" s="292"/>
      <c r="BA26" s="292"/>
      <c r="BB26" s="292"/>
      <c r="BC26" s="292"/>
      <c r="BD26" s="292"/>
      <c r="BE26" s="35"/>
      <c r="BF26" s="291"/>
      <c r="BG26" s="291"/>
      <c r="BH26" s="291"/>
      <c r="BI26" s="291"/>
      <c r="BJ26" s="291"/>
      <c r="BK26" s="291"/>
      <c r="BL26" s="292"/>
      <c r="BM26" s="292"/>
      <c r="BN26" s="292"/>
      <c r="BO26" s="292"/>
      <c r="BP26" s="292"/>
      <c r="BQ26" s="35"/>
      <c r="BR26" s="291"/>
      <c r="BS26" s="291"/>
      <c r="BT26" s="291"/>
      <c r="BU26" s="291"/>
      <c r="BV26" s="291"/>
      <c r="BW26" s="291"/>
      <c r="BX26" s="292"/>
      <c r="BY26" s="292"/>
      <c r="BZ26" s="292"/>
      <c r="CA26" s="292"/>
      <c r="CB26" s="292"/>
      <c r="CC26" s="35"/>
      <c r="CD26" s="291"/>
      <c r="CE26" s="291"/>
      <c r="CF26" s="291"/>
      <c r="CG26" s="291"/>
      <c r="CH26" s="291"/>
      <c r="CI26" s="291"/>
      <c r="CJ26" s="292"/>
      <c r="CK26" s="292"/>
      <c r="CL26" s="292"/>
      <c r="CM26" s="292"/>
      <c r="CN26" s="292"/>
      <c r="CO26" s="35"/>
      <c r="CP26" s="291"/>
      <c r="CQ26" s="291"/>
      <c r="CR26" s="291"/>
      <c r="CS26" s="291"/>
      <c r="CT26" s="291"/>
      <c r="CU26" s="291"/>
      <c r="CV26" s="292"/>
      <c r="CW26" s="292"/>
      <c r="CX26" s="292"/>
      <c r="CY26" s="292"/>
      <c r="CZ26" s="292"/>
      <c r="DA26" s="35"/>
      <c r="DB26" s="291"/>
      <c r="DC26" s="291"/>
      <c r="DD26" s="291"/>
      <c r="DE26" s="291"/>
      <c r="DF26" s="291"/>
      <c r="DG26" s="291"/>
      <c r="DH26" s="292"/>
      <c r="DI26" s="292"/>
      <c r="DJ26" s="292"/>
      <c r="DK26" s="292"/>
      <c r="DL26" s="292"/>
      <c r="DM26" s="35"/>
      <c r="DN26" s="291"/>
      <c r="DO26" s="291"/>
      <c r="DP26" s="291"/>
      <c r="DQ26" s="291"/>
      <c r="DR26" s="291"/>
      <c r="DS26" s="291"/>
      <c r="DT26" s="292"/>
      <c r="DU26" s="292"/>
      <c r="DV26" s="292"/>
      <c r="DW26" s="292"/>
      <c r="DX26" s="292"/>
      <c r="DY26" s="35"/>
      <c r="DZ26" s="291"/>
      <c r="EA26" s="291"/>
      <c r="EB26" s="291"/>
      <c r="EC26" s="291"/>
      <c r="ED26" s="291"/>
      <c r="EE26" s="291"/>
      <c r="EF26" s="292"/>
      <c r="EG26" s="292"/>
      <c r="EH26" s="292"/>
      <c r="EI26" s="292"/>
      <c r="EJ26" s="292"/>
      <c r="EK26" s="35"/>
      <c r="EL26" s="291"/>
      <c r="EM26" s="291"/>
      <c r="EN26" s="291"/>
      <c r="EO26" s="291"/>
      <c r="EP26" s="291"/>
      <c r="EQ26" s="291"/>
      <c r="ER26" s="292"/>
      <c r="ES26" s="292"/>
      <c r="ET26" s="292"/>
      <c r="EU26" s="292"/>
      <c r="EV26" s="292"/>
      <c r="EW26" s="35"/>
      <c r="EX26" s="291"/>
      <c r="EY26" s="291"/>
      <c r="EZ26" s="291"/>
      <c r="FA26" s="291"/>
      <c r="FB26" s="291"/>
      <c r="FC26" s="291"/>
      <c r="FD26" s="292"/>
      <c r="FE26" s="292"/>
      <c r="FF26" s="292"/>
      <c r="FG26" s="292"/>
      <c r="FH26" s="292"/>
      <c r="FI26" s="35"/>
      <c r="FJ26" s="291"/>
      <c r="FK26" s="291"/>
      <c r="FL26" s="291"/>
      <c r="FM26" s="291"/>
      <c r="FN26" s="291"/>
      <c r="FO26" s="291"/>
      <c r="FP26" s="292"/>
      <c r="FQ26" s="292"/>
      <c r="FR26" s="292"/>
      <c r="FS26" s="292"/>
      <c r="FT26" s="292"/>
      <c r="FU26" s="35"/>
      <c r="FV26" s="291"/>
      <c r="FW26" s="291"/>
      <c r="FX26" s="291"/>
      <c r="FY26" s="291"/>
      <c r="FZ26" s="291"/>
      <c r="GA26" s="291"/>
      <c r="GB26" s="292"/>
      <c r="GC26" s="292"/>
      <c r="GD26" s="292"/>
      <c r="GE26" s="292"/>
      <c r="GF26" s="292"/>
      <c r="GG26" s="35"/>
      <c r="GH26" s="291"/>
      <c r="GI26" s="291"/>
      <c r="GJ26" s="291"/>
      <c r="GK26" s="291"/>
      <c r="GL26" s="291"/>
      <c r="GM26" s="291"/>
      <c r="GN26" s="292"/>
      <c r="GO26" s="292"/>
      <c r="GP26" s="292"/>
      <c r="GQ26" s="292"/>
      <c r="GR26" s="292"/>
      <c r="GS26" s="35"/>
      <c r="GT26" s="291"/>
      <c r="GU26" s="291"/>
      <c r="GV26" s="291"/>
      <c r="GW26" s="291"/>
      <c r="GX26" s="291"/>
      <c r="GY26" s="291"/>
      <c r="GZ26" s="292"/>
      <c r="HA26" s="292"/>
      <c r="HB26" s="292"/>
      <c r="HC26" s="292"/>
      <c r="HD26" s="292"/>
      <c r="HE26" s="35"/>
      <c r="HF26" s="291"/>
      <c r="HG26" s="291"/>
      <c r="HH26" s="291"/>
      <c r="HI26" s="291"/>
      <c r="HJ26" s="291"/>
      <c r="HK26" s="291"/>
      <c r="HL26" s="292"/>
      <c r="HM26" s="292"/>
      <c r="HN26" s="292"/>
      <c r="HO26" s="292"/>
      <c r="HP26" s="292"/>
      <c r="HQ26" s="35"/>
      <c r="HR26" s="291"/>
      <c r="HS26" s="291"/>
      <c r="HT26" s="291"/>
      <c r="HU26" s="291"/>
      <c r="HV26" s="291"/>
      <c r="HW26" s="291"/>
      <c r="HX26" s="292"/>
      <c r="HY26" s="292"/>
      <c r="HZ26" s="292"/>
      <c r="IA26" s="292"/>
      <c r="IB26" s="292"/>
      <c r="IC26" s="35"/>
      <c r="ID26" s="291"/>
      <c r="IE26" s="291"/>
      <c r="IF26" s="291"/>
      <c r="IG26" s="291"/>
      <c r="IH26" s="291"/>
      <c r="II26" s="291"/>
      <c r="IJ26" s="292"/>
      <c r="IK26" s="292"/>
      <c r="IL26" s="292"/>
      <c r="IM26" s="292"/>
      <c r="IN26" s="292"/>
      <c r="IO26" s="35"/>
      <c r="IP26" s="291"/>
      <c r="IQ26" s="291"/>
      <c r="IR26" s="291"/>
    </row>
    <row r="27" spans="1:252" s="5" customFormat="1" ht="14.25">
      <c r="A27" s="35" t="s">
        <v>11</v>
      </c>
      <c r="B27" s="291">
        <v>7.6</v>
      </c>
      <c r="C27" s="291">
        <v>12</v>
      </c>
      <c r="D27" s="291">
        <v>2.5</v>
      </c>
      <c r="E27" s="291">
        <v>3</v>
      </c>
      <c r="F27" s="291">
        <v>3.4</v>
      </c>
      <c r="G27" s="397">
        <v>2.4</v>
      </c>
      <c r="H27" s="291">
        <v>0.4</v>
      </c>
      <c r="I27" s="291">
        <v>-1.6</v>
      </c>
      <c r="J27" s="291">
        <v>-0.5</v>
      </c>
      <c r="K27" s="291">
        <v>1</v>
      </c>
      <c r="L27" s="291"/>
      <c r="M27" s="291"/>
      <c r="N27" s="291"/>
      <c r="O27" s="291"/>
      <c r="P27" s="292"/>
      <c r="Q27" s="292"/>
      <c r="R27" s="292"/>
      <c r="S27" s="292"/>
      <c r="T27" s="292"/>
      <c r="U27" s="35"/>
      <c r="V27" s="291"/>
      <c r="W27" s="291"/>
      <c r="X27" s="291"/>
      <c r="Y27" s="291"/>
      <c r="Z27" s="291"/>
      <c r="AA27" s="291"/>
      <c r="AB27" s="292"/>
      <c r="AC27" s="292"/>
      <c r="AD27" s="292"/>
      <c r="AE27" s="292"/>
      <c r="AF27" s="292"/>
      <c r="AG27" s="35"/>
      <c r="AH27" s="291"/>
      <c r="AI27" s="291"/>
      <c r="AJ27" s="291"/>
      <c r="AK27" s="291"/>
      <c r="AL27" s="291"/>
      <c r="AM27" s="291"/>
      <c r="AN27" s="292"/>
      <c r="AO27" s="292"/>
      <c r="AP27" s="292"/>
      <c r="AQ27" s="292"/>
      <c r="AR27" s="292"/>
      <c r="AS27" s="35"/>
      <c r="AT27" s="291"/>
      <c r="AU27" s="291"/>
      <c r="AV27" s="291"/>
      <c r="AW27" s="291"/>
      <c r="AX27" s="291"/>
      <c r="AY27" s="291"/>
      <c r="AZ27" s="292"/>
      <c r="BA27" s="292"/>
      <c r="BB27" s="292"/>
      <c r="BC27" s="292"/>
      <c r="BD27" s="292"/>
      <c r="BE27" s="35"/>
      <c r="BF27" s="291"/>
      <c r="BG27" s="291"/>
      <c r="BH27" s="291"/>
      <c r="BI27" s="291"/>
      <c r="BJ27" s="291"/>
      <c r="BK27" s="291"/>
      <c r="BL27" s="292"/>
      <c r="BM27" s="292"/>
      <c r="BN27" s="292"/>
      <c r="BO27" s="292"/>
      <c r="BP27" s="292"/>
      <c r="BQ27" s="35"/>
      <c r="BR27" s="291"/>
      <c r="BS27" s="291"/>
      <c r="BT27" s="291"/>
      <c r="BU27" s="291"/>
      <c r="BV27" s="291"/>
      <c r="BW27" s="291"/>
      <c r="BX27" s="292"/>
      <c r="BY27" s="292"/>
      <c r="BZ27" s="292"/>
      <c r="CA27" s="292"/>
      <c r="CB27" s="292"/>
      <c r="CC27" s="35"/>
      <c r="CD27" s="291"/>
      <c r="CE27" s="291"/>
      <c r="CF27" s="291"/>
      <c r="CG27" s="291"/>
      <c r="CH27" s="291"/>
      <c r="CI27" s="291"/>
      <c r="CJ27" s="292"/>
      <c r="CK27" s="292"/>
      <c r="CL27" s="292"/>
      <c r="CM27" s="292"/>
      <c r="CN27" s="292"/>
      <c r="CO27" s="35"/>
      <c r="CP27" s="291"/>
      <c r="CQ27" s="291"/>
      <c r="CR27" s="291"/>
      <c r="CS27" s="291"/>
      <c r="CT27" s="291"/>
      <c r="CU27" s="291"/>
      <c r="CV27" s="292"/>
      <c r="CW27" s="292"/>
      <c r="CX27" s="292"/>
      <c r="CY27" s="292"/>
      <c r="CZ27" s="292"/>
      <c r="DA27" s="35"/>
      <c r="DB27" s="291"/>
      <c r="DC27" s="291"/>
      <c r="DD27" s="291"/>
      <c r="DE27" s="291"/>
      <c r="DF27" s="291"/>
      <c r="DG27" s="291"/>
      <c r="DH27" s="292"/>
      <c r="DI27" s="292"/>
      <c r="DJ27" s="292"/>
      <c r="DK27" s="292"/>
      <c r="DL27" s="292"/>
      <c r="DM27" s="35"/>
      <c r="DN27" s="291"/>
      <c r="DO27" s="291"/>
      <c r="DP27" s="291"/>
      <c r="DQ27" s="291"/>
      <c r="DR27" s="291"/>
      <c r="DS27" s="291"/>
      <c r="DT27" s="292"/>
      <c r="DU27" s="292"/>
      <c r="DV27" s="292"/>
      <c r="DW27" s="292"/>
      <c r="DX27" s="292"/>
      <c r="DY27" s="35"/>
      <c r="DZ27" s="291"/>
      <c r="EA27" s="291"/>
      <c r="EB27" s="291"/>
      <c r="EC27" s="291"/>
      <c r="ED27" s="291"/>
      <c r="EE27" s="291"/>
      <c r="EF27" s="292"/>
      <c r="EG27" s="292"/>
      <c r="EH27" s="292"/>
      <c r="EI27" s="292"/>
      <c r="EJ27" s="292"/>
      <c r="EK27" s="35"/>
      <c r="EL27" s="291"/>
      <c r="EM27" s="291"/>
      <c r="EN27" s="291"/>
      <c r="EO27" s="291"/>
      <c r="EP27" s="291"/>
      <c r="EQ27" s="291"/>
      <c r="ER27" s="292"/>
      <c r="ES27" s="292"/>
      <c r="ET27" s="292"/>
      <c r="EU27" s="292"/>
      <c r="EV27" s="292"/>
      <c r="EW27" s="35"/>
      <c r="EX27" s="291"/>
      <c r="EY27" s="291"/>
      <c r="EZ27" s="291"/>
      <c r="FA27" s="291"/>
      <c r="FB27" s="291"/>
      <c r="FC27" s="291"/>
      <c r="FD27" s="292"/>
      <c r="FE27" s="292"/>
      <c r="FF27" s="292"/>
      <c r="FG27" s="292"/>
      <c r="FH27" s="292"/>
      <c r="FI27" s="35"/>
      <c r="FJ27" s="291"/>
      <c r="FK27" s="291"/>
      <c r="FL27" s="291"/>
      <c r="FM27" s="291"/>
      <c r="FN27" s="291"/>
      <c r="FO27" s="291"/>
      <c r="FP27" s="292"/>
      <c r="FQ27" s="292"/>
      <c r="FR27" s="292"/>
      <c r="FS27" s="292"/>
      <c r="FT27" s="292"/>
      <c r="FU27" s="35"/>
      <c r="FV27" s="291"/>
      <c r="FW27" s="291"/>
      <c r="FX27" s="291"/>
      <c r="FY27" s="291"/>
      <c r="FZ27" s="291"/>
      <c r="GA27" s="291"/>
      <c r="GB27" s="292"/>
      <c r="GC27" s="292"/>
      <c r="GD27" s="292"/>
      <c r="GE27" s="292"/>
      <c r="GF27" s="292"/>
      <c r="GG27" s="35"/>
      <c r="GH27" s="291"/>
      <c r="GI27" s="291"/>
      <c r="GJ27" s="291"/>
      <c r="GK27" s="291"/>
      <c r="GL27" s="291"/>
      <c r="GM27" s="291"/>
      <c r="GN27" s="292"/>
      <c r="GO27" s="292"/>
      <c r="GP27" s="292"/>
      <c r="GQ27" s="292"/>
      <c r="GR27" s="292"/>
      <c r="GS27" s="35"/>
      <c r="GT27" s="291"/>
      <c r="GU27" s="291"/>
      <c r="GV27" s="291"/>
      <c r="GW27" s="291"/>
      <c r="GX27" s="291"/>
      <c r="GY27" s="291"/>
      <c r="GZ27" s="292"/>
      <c r="HA27" s="292"/>
      <c r="HB27" s="292"/>
      <c r="HC27" s="292"/>
      <c r="HD27" s="292"/>
      <c r="HE27" s="35"/>
      <c r="HF27" s="291"/>
      <c r="HG27" s="291"/>
      <c r="HH27" s="291"/>
      <c r="HI27" s="291"/>
      <c r="HJ27" s="291"/>
      <c r="HK27" s="291"/>
      <c r="HL27" s="292"/>
      <c r="HM27" s="292"/>
      <c r="HN27" s="292"/>
      <c r="HO27" s="292"/>
      <c r="HP27" s="292"/>
      <c r="HQ27" s="35"/>
      <c r="HR27" s="291"/>
      <c r="HS27" s="291"/>
      <c r="HT27" s="291"/>
      <c r="HU27" s="291"/>
      <c r="HV27" s="291"/>
      <c r="HW27" s="291"/>
      <c r="HX27" s="292"/>
      <c r="HY27" s="292"/>
      <c r="HZ27" s="292"/>
      <c r="IA27" s="292"/>
      <c r="IB27" s="292"/>
      <c r="IC27" s="35"/>
      <c r="ID27" s="291"/>
      <c r="IE27" s="291"/>
      <c r="IF27" s="291"/>
      <c r="IG27" s="291"/>
      <c r="IH27" s="291"/>
      <c r="II27" s="291"/>
      <c r="IJ27" s="292"/>
      <c r="IK27" s="292"/>
      <c r="IL27" s="292"/>
      <c r="IM27" s="292"/>
      <c r="IN27" s="292"/>
      <c r="IO27" s="35"/>
      <c r="IP27" s="291"/>
      <c r="IQ27" s="291"/>
      <c r="IR27" s="291"/>
    </row>
    <row r="28" spans="1:252" s="5" customFormat="1" ht="14.25">
      <c r="A28" s="35" t="s">
        <v>33</v>
      </c>
      <c r="B28" s="291">
        <v>3</v>
      </c>
      <c r="C28" s="291">
        <v>6.3</v>
      </c>
      <c r="D28" s="291">
        <v>0.6</v>
      </c>
      <c r="E28" s="291">
        <v>1.2</v>
      </c>
      <c r="F28" s="291">
        <v>2.1</v>
      </c>
      <c r="G28" s="397">
        <v>3.5</v>
      </c>
      <c r="H28" s="291">
        <v>1.4</v>
      </c>
      <c r="I28" s="291">
        <v>0.4</v>
      </c>
      <c r="J28" s="291">
        <v>0.2</v>
      </c>
      <c r="K28" s="291">
        <v>1.4</v>
      </c>
      <c r="L28" s="291"/>
      <c r="M28" s="292"/>
      <c r="N28" s="291"/>
      <c r="O28" s="291"/>
      <c r="P28" s="292"/>
      <c r="Q28" s="292"/>
      <c r="R28" s="292"/>
      <c r="S28" s="292"/>
      <c r="T28" s="292"/>
      <c r="U28" s="35"/>
      <c r="V28" s="291"/>
      <c r="W28" s="291"/>
      <c r="X28" s="291"/>
      <c r="Y28" s="292"/>
      <c r="Z28" s="291"/>
      <c r="AA28" s="291"/>
      <c r="AB28" s="292"/>
      <c r="AC28" s="292"/>
      <c r="AD28" s="292"/>
      <c r="AE28" s="292"/>
      <c r="AF28" s="292"/>
      <c r="AG28" s="35"/>
      <c r="AH28" s="291"/>
      <c r="AI28" s="291"/>
      <c r="AJ28" s="291"/>
      <c r="AK28" s="292"/>
      <c r="AL28" s="291"/>
      <c r="AM28" s="291"/>
      <c r="AN28" s="292"/>
      <c r="AO28" s="292"/>
      <c r="AP28" s="292"/>
      <c r="AQ28" s="292"/>
      <c r="AR28" s="292"/>
      <c r="AS28" s="35"/>
      <c r="AT28" s="291"/>
      <c r="AU28" s="291"/>
      <c r="AV28" s="291"/>
      <c r="AW28" s="292"/>
      <c r="AX28" s="291"/>
      <c r="AY28" s="291"/>
      <c r="AZ28" s="292"/>
      <c r="BA28" s="292"/>
      <c r="BB28" s="292"/>
      <c r="BC28" s="292"/>
      <c r="BD28" s="292"/>
      <c r="BE28" s="35"/>
      <c r="BF28" s="291"/>
      <c r="BG28" s="291"/>
      <c r="BH28" s="291"/>
      <c r="BI28" s="292"/>
      <c r="BJ28" s="291"/>
      <c r="BK28" s="291"/>
      <c r="BL28" s="292"/>
      <c r="BM28" s="292"/>
      <c r="BN28" s="292"/>
      <c r="BO28" s="292"/>
      <c r="BP28" s="292"/>
      <c r="BQ28" s="35"/>
      <c r="BR28" s="291"/>
      <c r="BS28" s="291"/>
      <c r="BT28" s="291"/>
      <c r="BU28" s="292"/>
      <c r="BV28" s="291"/>
      <c r="BW28" s="291"/>
      <c r="BX28" s="292"/>
      <c r="BY28" s="292"/>
      <c r="BZ28" s="292"/>
      <c r="CA28" s="292"/>
      <c r="CB28" s="292"/>
      <c r="CC28" s="35"/>
      <c r="CD28" s="291"/>
      <c r="CE28" s="291"/>
      <c r="CF28" s="291"/>
      <c r="CG28" s="292"/>
      <c r="CH28" s="291"/>
      <c r="CI28" s="291"/>
      <c r="CJ28" s="292"/>
      <c r="CK28" s="292"/>
      <c r="CL28" s="292"/>
      <c r="CM28" s="292"/>
      <c r="CN28" s="292"/>
      <c r="CO28" s="35"/>
      <c r="CP28" s="291"/>
      <c r="CQ28" s="291"/>
      <c r="CR28" s="291"/>
      <c r="CS28" s="292"/>
      <c r="CT28" s="291"/>
      <c r="CU28" s="291"/>
      <c r="CV28" s="292"/>
      <c r="CW28" s="292"/>
      <c r="CX28" s="292"/>
      <c r="CY28" s="292"/>
      <c r="CZ28" s="292"/>
      <c r="DA28" s="35"/>
      <c r="DB28" s="291"/>
      <c r="DC28" s="291"/>
      <c r="DD28" s="291"/>
      <c r="DE28" s="292"/>
      <c r="DF28" s="291"/>
      <c r="DG28" s="291"/>
      <c r="DH28" s="292"/>
      <c r="DI28" s="292"/>
      <c r="DJ28" s="292"/>
      <c r="DK28" s="292"/>
      <c r="DL28" s="292"/>
      <c r="DM28" s="35"/>
      <c r="DN28" s="291"/>
      <c r="DO28" s="291"/>
      <c r="DP28" s="291"/>
      <c r="DQ28" s="292"/>
      <c r="DR28" s="291"/>
      <c r="DS28" s="291"/>
      <c r="DT28" s="292"/>
      <c r="DU28" s="292"/>
      <c r="DV28" s="292"/>
      <c r="DW28" s="292"/>
      <c r="DX28" s="292"/>
      <c r="DY28" s="35"/>
      <c r="DZ28" s="291"/>
      <c r="EA28" s="291"/>
      <c r="EB28" s="291"/>
      <c r="EC28" s="292"/>
      <c r="ED28" s="291"/>
      <c r="EE28" s="291"/>
      <c r="EF28" s="292"/>
      <c r="EG28" s="292"/>
      <c r="EH28" s="292"/>
      <c r="EI28" s="292"/>
      <c r="EJ28" s="292"/>
      <c r="EK28" s="35"/>
      <c r="EL28" s="291"/>
      <c r="EM28" s="291"/>
      <c r="EN28" s="291"/>
      <c r="EO28" s="292"/>
      <c r="EP28" s="291"/>
      <c r="EQ28" s="291"/>
      <c r="ER28" s="292"/>
      <c r="ES28" s="292"/>
      <c r="ET28" s="292"/>
      <c r="EU28" s="292"/>
      <c r="EV28" s="292"/>
      <c r="EW28" s="35"/>
      <c r="EX28" s="291"/>
      <c r="EY28" s="291"/>
      <c r="EZ28" s="291"/>
      <c r="FA28" s="292"/>
      <c r="FB28" s="291"/>
      <c r="FC28" s="291"/>
      <c r="FD28" s="292"/>
      <c r="FE28" s="292"/>
      <c r="FF28" s="292"/>
      <c r="FG28" s="292"/>
      <c r="FH28" s="292"/>
      <c r="FI28" s="35"/>
      <c r="FJ28" s="291"/>
      <c r="FK28" s="291"/>
      <c r="FL28" s="291"/>
      <c r="FM28" s="292"/>
      <c r="FN28" s="291"/>
      <c r="FO28" s="291"/>
      <c r="FP28" s="292"/>
      <c r="FQ28" s="292"/>
      <c r="FR28" s="292"/>
      <c r="FS28" s="292"/>
      <c r="FT28" s="292"/>
      <c r="FU28" s="35"/>
      <c r="FV28" s="291"/>
      <c r="FW28" s="291"/>
      <c r="FX28" s="291"/>
      <c r="FY28" s="292"/>
      <c r="FZ28" s="291"/>
      <c r="GA28" s="291"/>
      <c r="GB28" s="292"/>
      <c r="GC28" s="292"/>
      <c r="GD28" s="292"/>
      <c r="GE28" s="292"/>
      <c r="GF28" s="292"/>
      <c r="GG28" s="35"/>
      <c r="GH28" s="291"/>
      <c r="GI28" s="291"/>
      <c r="GJ28" s="291"/>
      <c r="GK28" s="292"/>
      <c r="GL28" s="291"/>
      <c r="GM28" s="291"/>
      <c r="GN28" s="292"/>
      <c r="GO28" s="292"/>
      <c r="GP28" s="292"/>
      <c r="GQ28" s="292"/>
      <c r="GR28" s="292"/>
      <c r="GS28" s="35"/>
      <c r="GT28" s="291"/>
      <c r="GU28" s="291"/>
      <c r="GV28" s="291"/>
      <c r="GW28" s="292"/>
      <c r="GX28" s="291"/>
      <c r="GY28" s="291"/>
      <c r="GZ28" s="292"/>
      <c r="HA28" s="292"/>
      <c r="HB28" s="292"/>
      <c r="HC28" s="292"/>
      <c r="HD28" s="292"/>
      <c r="HE28" s="35"/>
      <c r="HF28" s="291"/>
      <c r="HG28" s="291"/>
      <c r="HH28" s="291"/>
      <c r="HI28" s="292"/>
      <c r="HJ28" s="291"/>
      <c r="HK28" s="291"/>
      <c r="HL28" s="292"/>
      <c r="HM28" s="292"/>
      <c r="HN28" s="292"/>
      <c r="HO28" s="292"/>
      <c r="HP28" s="292"/>
      <c r="HQ28" s="35"/>
      <c r="HR28" s="291"/>
      <c r="HS28" s="291"/>
      <c r="HT28" s="291"/>
      <c r="HU28" s="292"/>
      <c r="HV28" s="291"/>
      <c r="HW28" s="291"/>
      <c r="HX28" s="292"/>
      <c r="HY28" s="292"/>
      <c r="HZ28" s="292"/>
      <c r="IA28" s="292"/>
      <c r="IB28" s="292"/>
      <c r="IC28" s="35"/>
      <c r="ID28" s="291"/>
      <c r="IE28" s="291"/>
      <c r="IF28" s="291"/>
      <c r="IG28" s="292"/>
      <c r="IH28" s="291"/>
      <c r="II28" s="291"/>
      <c r="IJ28" s="292"/>
      <c r="IK28" s="292"/>
      <c r="IL28" s="292"/>
      <c r="IM28" s="292"/>
      <c r="IN28" s="292"/>
      <c r="IO28" s="35"/>
      <c r="IP28" s="291"/>
      <c r="IQ28" s="291"/>
      <c r="IR28" s="291"/>
    </row>
    <row r="29" spans="1:252" s="5" customFormat="1" ht="14.25">
      <c r="A29" s="35" t="s">
        <v>10</v>
      </c>
      <c r="B29" s="291">
        <v>1.7</v>
      </c>
      <c r="C29" s="291">
        <v>3.6</v>
      </c>
      <c r="D29" s="291">
        <v>1.1000000000000001</v>
      </c>
      <c r="E29" s="291">
        <v>2.2000000000000002</v>
      </c>
      <c r="F29" s="291">
        <v>2.7</v>
      </c>
      <c r="G29" s="397">
        <v>2.4</v>
      </c>
      <c r="H29" s="291">
        <v>0.5</v>
      </c>
      <c r="I29" s="291">
        <v>0.3</v>
      </c>
      <c r="J29" s="291">
        <v>0.6</v>
      </c>
      <c r="K29" s="291">
        <v>1.7</v>
      </c>
      <c r="L29" s="291"/>
      <c r="M29" s="291"/>
      <c r="N29" s="291"/>
      <c r="O29" s="291"/>
      <c r="P29" s="291"/>
      <c r="Q29" s="291"/>
      <c r="R29" s="291"/>
      <c r="S29" s="291"/>
      <c r="T29" s="291"/>
      <c r="U29" s="36"/>
      <c r="V29" s="291"/>
      <c r="W29" s="291"/>
      <c r="X29" s="291"/>
      <c r="Y29" s="291"/>
      <c r="Z29" s="291"/>
      <c r="AA29" s="291"/>
      <c r="AB29" s="291"/>
      <c r="AC29" s="291"/>
      <c r="AD29" s="291"/>
      <c r="AE29" s="291"/>
      <c r="AF29" s="291"/>
      <c r="AG29" s="36"/>
      <c r="AH29" s="291"/>
      <c r="AI29" s="291"/>
      <c r="AJ29" s="291"/>
      <c r="AK29" s="291"/>
      <c r="AL29" s="291"/>
      <c r="AM29" s="291"/>
      <c r="AN29" s="291"/>
      <c r="AO29" s="291"/>
      <c r="AP29" s="291"/>
      <c r="AQ29" s="291"/>
      <c r="AR29" s="291"/>
      <c r="AS29" s="36"/>
      <c r="AT29" s="291"/>
      <c r="AU29" s="291"/>
      <c r="AV29" s="291"/>
      <c r="AW29" s="291"/>
      <c r="AX29" s="291"/>
      <c r="AY29" s="291"/>
      <c r="AZ29" s="291"/>
      <c r="BA29" s="291"/>
      <c r="BB29" s="291"/>
      <c r="BC29" s="291"/>
      <c r="BD29" s="291"/>
      <c r="BE29" s="36"/>
      <c r="BF29" s="291"/>
      <c r="BG29" s="291"/>
      <c r="BH29" s="291"/>
      <c r="BI29" s="291"/>
      <c r="BJ29" s="291"/>
      <c r="BK29" s="291"/>
      <c r="BL29" s="291"/>
      <c r="BM29" s="291"/>
      <c r="BN29" s="291"/>
      <c r="BO29" s="291"/>
      <c r="BP29" s="291"/>
      <c r="BQ29" s="36"/>
      <c r="BR29" s="291"/>
      <c r="BS29" s="291"/>
      <c r="BT29" s="291"/>
      <c r="BU29" s="291"/>
      <c r="BV29" s="291"/>
      <c r="BW29" s="291"/>
      <c r="BX29" s="291"/>
      <c r="BY29" s="291"/>
      <c r="BZ29" s="291"/>
      <c r="CA29" s="291"/>
      <c r="CB29" s="291"/>
      <c r="CC29" s="36"/>
      <c r="CD29" s="291"/>
      <c r="CE29" s="291"/>
      <c r="CF29" s="291"/>
      <c r="CG29" s="291"/>
      <c r="CH29" s="291"/>
      <c r="CI29" s="291"/>
      <c r="CJ29" s="291"/>
      <c r="CK29" s="291"/>
      <c r="CL29" s="291"/>
      <c r="CM29" s="291"/>
      <c r="CN29" s="291"/>
      <c r="CO29" s="36"/>
      <c r="CP29" s="291"/>
      <c r="CQ29" s="291"/>
      <c r="CR29" s="291"/>
      <c r="CS29" s="291"/>
      <c r="CT29" s="291"/>
      <c r="CU29" s="291"/>
      <c r="CV29" s="291"/>
      <c r="CW29" s="291"/>
      <c r="CX29" s="291"/>
      <c r="CY29" s="291"/>
      <c r="CZ29" s="291"/>
      <c r="DA29" s="36"/>
      <c r="DB29" s="291"/>
      <c r="DC29" s="291"/>
      <c r="DD29" s="291"/>
      <c r="DE29" s="291"/>
      <c r="DF29" s="291"/>
      <c r="DG29" s="291"/>
      <c r="DH29" s="291"/>
      <c r="DI29" s="291"/>
      <c r="DJ29" s="291"/>
      <c r="DK29" s="291"/>
      <c r="DL29" s="291"/>
      <c r="DM29" s="36"/>
      <c r="DN29" s="291"/>
      <c r="DO29" s="291"/>
      <c r="DP29" s="291"/>
      <c r="DQ29" s="291"/>
      <c r="DR29" s="291"/>
      <c r="DS29" s="291"/>
      <c r="DT29" s="291"/>
      <c r="DU29" s="291"/>
      <c r="DV29" s="291"/>
      <c r="DW29" s="291"/>
      <c r="DX29" s="291"/>
      <c r="DY29" s="36"/>
      <c r="DZ29" s="291"/>
      <c r="EA29" s="291"/>
      <c r="EB29" s="291"/>
      <c r="EC29" s="291"/>
      <c r="ED29" s="291"/>
      <c r="EE29" s="291"/>
      <c r="EF29" s="291"/>
      <c r="EG29" s="291"/>
      <c r="EH29" s="291"/>
      <c r="EI29" s="291"/>
      <c r="EJ29" s="291"/>
      <c r="EK29" s="36"/>
      <c r="EL29" s="291"/>
      <c r="EM29" s="291"/>
      <c r="EN29" s="291"/>
      <c r="EO29" s="291"/>
      <c r="EP29" s="291"/>
      <c r="EQ29" s="291"/>
      <c r="ER29" s="291"/>
      <c r="ES29" s="291"/>
      <c r="ET29" s="291"/>
      <c r="EU29" s="291"/>
      <c r="EV29" s="291"/>
      <c r="EW29" s="36"/>
      <c r="EX29" s="291"/>
      <c r="EY29" s="291"/>
      <c r="EZ29" s="291"/>
      <c r="FA29" s="291"/>
      <c r="FB29" s="291"/>
      <c r="FC29" s="291"/>
      <c r="FD29" s="291"/>
      <c r="FE29" s="291"/>
      <c r="FF29" s="291"/>
      <c r="FG29" s="291"/>
      <c r="FH29" s="291"/>
      <c r="FI29" s="36"/>
      <c r="FJ29" s="291"/>
      <c r="FK29" s="291"/>
      <c r="FL29" s="291"/>
      <c r="FM29" s="291"/>
      <c r="FN29" s="291"/>
      <c r="FO29" s="291"/>
      <c r="FP29" s="291"/>
      <c r="FQ29" s="291"/>
      <c r="FR29" s="291"/>
      <c r="FS29" s="291"/>
      <c r="FT29" s="291"/>
      <c r="FU29" s="36"/>
      <c r="FV29" s="291"/>
      <c r="FW29" s="291"/>
      <c r="FX29" s="291"/>
      <c r="FY29" s="291"/>
      <c r="FZ29" s="291"/>
      <c r="GA29" s="291"/>
      <c r="GB29" s="291"/>
      <c r="GC29" s="291"/>
      <c r="GD29" s="291"/>
      <c r="GE29" s="291"/>
      <c r="GF29" s="291"/>
      <c r="GG29" s="36"/>
      <c r="GH29" s="291"/>
      <c r="GI29" s="291"/>
      <c r="GJ29" s="291"/>
      <c r="GK29" s="291"/>
      <c r="GL29" s="291"/>
      <c r="GM29" s="291"/>
      <c r="GN29" s="291"/>
      <c r="GO29" s="291"/>
      <c r="GP29" s="291"/>
      <c r="GQ29" s="291"/>
      <c r="GR29" s="291"/>
      <c r="GS29" s="36"/>
      <c r="GT29" s="291"/>
      <c r="GU29" s="291"/>
      <c r="GV29" s="291"/>
      <c r="GW29" s="291"/>
      <c r="GX29" s="291"/>
      <c r="GY29" s="291"/>
      <c r="GZ29" s="291"/>
      <c r="HA29" s="291"/>
      <c r="HB29" s="291"/>
      <c r="HC29" s="291"/>
      <c r="HD29" s="291"/>
      <c r="HE29" s="36"/>
      <c r="HF29" s="291"/>
      <c r="HG29" s="291"/>
      <c r="HH29" s="291"/>
      <c r="HI29" s="291"/>
      <c r="HJ29" s="291"/>
      <c r="HK29" s="291"/>
      <c r="HL29" s="291"/>
      <c r="HM29" s="291"/>
      <c r="HN29" s="291"/>
      <c r="HO29" s="291"/>
      <c r="HP29" s="291"/>
      <c r="HQ29" s="36"/>
      <c r="HR29" s="291"/>
      <c r="HS29" s="291"/>
      <c r="HT29" s="291"/>
      <c r="HU29" s="291"/>
      <c r="HV29" s="291"/>
      <c r="HW29" s="291"/>
      <c r="HX29" s="291"/>
      <c r="HY29" s="291"/>
      <c r="HZ29" s="291"/>
      <c r="IA29" s="291"/>
      <c r="IB29" s="291"/>
      <c r="IC29" s="36"/>
      <c r="ID29" s="291"/>
      <c r="IE29" s="291"/>
      <c r="IF29" s="291"/>
      <c r="IG29" s="291"/>
      <c r="IH29" s="291"/>
      <c r="II29" s="291"/>
      <c r="IJ29" s="291"/>
      <c r="IK29" s="291"/>
      <c r="IL29" s="291"/>
      <c r="IM29" s="291"/>
      <c r="IN29" s="291"/>
      <c r="IO29" s="36"/>
      <c r="IP29" s="291"/>
      <c r="IQ29" s="291"/>
      <c r="IR29" s="291"/>
    </row>
    <row r="30" spans="1:252" s="5" customFormat="1" ht="14.25">
      <c r="A30" s="35" t="s">
        <v>816</v>
      </c>
      <c r="B30" s="291">
        <v>2.7</v>
      </c>
      <c r="C30" s="291">
        <v>5.8</v>
      </c>
      <c r="D30" s="291">
        <v>2.2000000000000002</v>
      </c>
      <c r="E30" s="291">
        <v>1.1000000000000001</v>
      </c>
      <c r="F30" s="291">
        <v>2.2000000000000002</v>
      </c>
      <c r="G30" s="397">
        <v>3.4</v>
      </c>
      <c r="H30" s="291">
        <v>2.2999999999999998</v>
      </c>
      <c r="I30" s="291">
        <v>0.2</v>
      </c>
      <c r="J30" s="291">
        <v>0.1</v>
      </c>
      <c r="K30" s="291">
        <v>1.3</v>
      </c>
      <c r="L30" s="291"/>
      <c r="M30" s="291"/>
      <c r="N30" s="291"/>
      <c r="O30" s="291"/>
      <c r="P30" s="291"/>
      <c r="Q30" s="291"/>
      <c r="R30" s="291"/>
      <c r="S30" s="291"/>
      <c r="T30" s="291"/>
      <c r="U30" s="35"/>
      <c r="V30" s="291"/>
      <c r="W30" s="291"/>
      <c r="X30" s="291"/>
      <c r="Y30" s="291"/>
      <c r="Z30" s="291"/>
      <c r="AA30" s="291"/>
      <c r="AB30" s="291"/>
      <c r="AC30" s="291"/>
      <c r="AD30" s="291"/>
      <c r="AE30" s="291"/>
      <c r="AF30" s="291"/>
      <c r="AG30" s="35"/>
      <c r="AH30" s="291"/>
      <c r="AI30" s="291"/>
      <c r="AJ30" s="291"/>
      <c r="AK30" s="291"/>
      <c r="AL30" s="291"/>
      <c r="AM30" s="291"/>
      <c r="AN30" s="291"/>
      <c r="AO30" s="291"/>
      <c r="AP30" s="291"/>
      <c r="AQ30" s="291"/>
      <c r="AR30" s="291"/>
      <c r="AS30" s="35"/>
      <c r="AT30" s="291"/>
      <c r="AU30" s="291"/>
      <c r="AV30" s="291"/>
      <c r="AW30" s="291"/>
      <c r="AX30" s="291"/>
      <c r="AY30" s="291"/>
      <c r="AZ30" s="291"/>
      <c r="BA30" s="291"/>
      <c r="BB30" s="291"/>
      <c r="BC30" s="291"/>
      <c r="BD30" s="291"/>
      <c r="BE30" s="35"/>
      <c r="BF30" s="291"/>
      <c r="BG30" s="291"/>
      <c r="BH30" s="291"/>
      <c r="BI30" s="291"/>
      <c r="BJ30" s="291"/>
      <c r="BK30" s="291"/>
      <c r="BL30" s="291"/>
      <c r="BM30" s="291"/>
      <c r="BN30" s="291"/>
      <c r="BO30" s="291"/>
      <c r="BP30" s="291"/>
      <c r="BQ30" s="35"/>
      <c r="BR30" s="291"/>
      <c r="BS30" s="291"/>
      <c r="BT30" s="291"/>
      <c r="BU30" s="291"/>
      <c r="BV30" s="291"/>
      <c r="BW30" s="291"/>
      <c r="BX30" s="291"/>
      <c r="BY30" s="291"/>
      <c r="BZ30" s="291"/>
      <c r="CA30" s="291"/>
      <c r="CB30" s="291"/>
      <c r="CC30" s="35"/>
      <c r="CD30" s="291"/>
      <c r="CE30" s="291"/>
      <c r="CF30" s="291"/>
      <c r="CG30" s="291"/>
      <c r="CH30" s="291"/>
      <c r="CI30" s="291"/>
      <c r="CJ30" s="291"/>
      <c r="CK30" s="291"/>
      <c r="CL30" s="291"/>
      <c r="CM30" s="291"/>
      <c r="CN30" s="291"/>
      <c r="CO30" s="35"/>
      <c r="CP30" s="291"/>
      <c r="CQ30" s="291"/>
      <c r="CR30" s="291"/>
      <c r="CS30" s="291"/>
      <c r="CT30" s="291"/>
      <c r="CU30" s="291"/>
      <c r="CV30" s="291"/>
      <c r="CW30" s="291"/>
      <c r="CX30" s="291"/>
      <c r="CY30" s="291"/>
      <c r="CZ30" s="291"/>
      <c r="DA30" s="35"/>
      <c r="DB30" s="291"/>
      <c r="DC30" s="291"/>
      <c r="DD30" s="291"/>
      <c r="DE30" s="291"/>
      <c r="DF30" s="291"/>
      <c r="DG30" s="291"/>
      <c r="DH30" s="291"/>
      <c r="DI30" s="291"/>
      <c r="DJ30" s="291"/>
      <c r="DK30" s="291"/>
      <c r="DL30" s="291"/>
      <c r="DM30" s="35"/>
      <c r="DN30" s="291"/>
      <c r="DO30" s="291"/>
      <c r="DP30" s="291"/>
      <c r="DQ30" s="291"/>
      <c r="DR30" s="291"/>
      <c r="DS30" s="291"/>
      <c r="DT30" s="291"/>
      <c r="DU30" s="291"/>
      <c r="DV30" s="291"/>
      <c r="DW30" s="291"/>
      <c r="DX30" s="291"/>
      <c r="DY30" s="35"/>
      <c r="DZ30" s="291"/>
      <c r="EA30" s="291"/>
      <c r="EB30" s="291"/>
      <c r="EC30" s="291"/>
      <c r="ED30" s="291"/>
      <c r="EE30" s="291"/>
      <c r="EF30" s="291"/>
      <c r="EG30" s="291"/>
      <c r="EH30" s="291"/>
      <c r="EI30" s="291"/>
      <c r="EJ30" s="291"/>
      <c r="EK30" s="35"/>
      <c r="EL30" s="291"/>
      <c r="EM30" s="291"/>
      <c r="EN30" s="291"/>
      <c r="EO30" s="291"/>
      <c r="EP30" s="291"/>
      <c r="EQ30" s="291"/>
      <c r="ER30" s="291"/>
      <c r="ES30" s="291"/>
      <c r="ET30" s="291"/>
      <c r="EU30" s="291"/>
      <c r="EV30" s="291"/>
      <c r="EW30" s="35"/>
      <c r="EX30" s="291"/>
      <c r="EY30" s="291"/>
      <c r="EZ30" s="291"/>
      <c r="FA30" s="291"/>
      <c r="FB30" s="291"/>
      <c r="FC30" s="291"/>
      <c r="FD30" s="291"/>
      <c r="FE30" s="291"/>
      <c r="FF30" s="291"/>
      <c r="FG30" s="291"/>
      <c r="FH30" s="291"/>
      <c r="FI30" s="35"/>
      <c r="FJ30" s="291"/>
      <c r="FK30" s="291"/>
      <c r="FL30" s="291"/>
      <c r="FM30" s="291"/>
      <c r="FN30" s="291"/>
      <c r="FO30" s="291"/>
      <c r="FP30" s="291"/>
      <c r="FQ30" s="291"/>
      <c r="FR30" s="291"/>
      <c r="FS30" s="291"/>
      <c r="FT30" s="291"/>
      <c r="FU30" s="35"/>
      <c r="FV30" s="291"/>
      <c r="FW30" s="291"/>
      <c r="FX30" s="291"/>
      <c r="FY30" s="291"/>
      <c r="FZ30" s="291"/>
      <c r="GA30" s="291"/>
      <c r="GB30" s="291"/>
      <c r="GC30" s="291"/>
      <c r="GD30" s="291"/>
      <c r="GE30" s="291"/>
      <c r="GF30" s="291"/>
      <c r="GG30" s="35"/>
      <c r="GH30" s="291"/>
      <c r="GI30" s="291"/>
      <c r="GJ30" s="291"/>
      <c r="GK30" s="291"/>
      <c r="GL30" s="291"/>
      <c r="GM30" s="291"/>
      <c r="GN30" s="291"/>
      <c r="GO30" s="291"/>
      <c r="GP30" s="291"/>
      <c r="GQ30" s="291"/>
      <c r="GR30" s="291"/>
      <c r="GS30" s="35"/>
      <c r="GT30" s="291"/>
      <c r="GU30" s="291"/>
      <c r="GV30" s="291"/>
      <c r="GW30" s="291"/>
      <c r="GX30" s="291"/>
      <c r="GY30" s="291"/>
      <c r="GZ30" s="291"/>
      <c r="HA30" s="291"/>
      <c r="HB30" s="291"/>
      <c r="HC30" s="291"/>
      <c r="HD30" s="291"/>
      <c r="HE30" s="35"/>
      <c r="HF30" s="291"/>
      <c r="HG30" s="291"/>
      <c r="HH30" s="291"/>
      <c r="HI30" s="291"/>
      <c r="HJ30" s="291"/>
      <c r="HK30" s="291"/>
      <c r="HL30" s="291"/>
      <c r="HM30" s="291"/>
      <c r="HN30" s="291"/>
      <c r="HO30" s="291"/>
      <c r="HP30" s="291"/>
      <c r="HQ30" s="35"/>
      <c r="HR30" s="291"/>
      <c r="HS30" s="291"/>
      <c r="HT30" s="291"/>
      <c r="HU30" s="291"/>
      <c r="HV30" s="291"/>
      <c r="HW30" s="291"/>
      <c r="HX30" s="291"/>
      <c r="HY30" s="291"/>
      <c r="HZ30" s="291"/>
      <c r="IA30" s="291"/>
      <c r="IB30" s="291"/>
      <c r="IC30" s="35"/>
      <c r="ID30" s="291"/>
      <c r="IE30" s="291"/>
      <c r="IF30" s="291"/>
      <c r="IG30" s="291"/>
      <c r="IH30" s="291"/>
      <c r="II30" s="291"/>
      <c r="IJ30" s="291"/>
      <c r="IK30" s="291"/>
      <c r="IL30" s="291"/>
      <c r="IM30" s="291"/>
      <c r="IN30" s="291"/>
      <c r="IO30" s="35"/>
      <c r="IP30" s="291"/>
      <c r="IQ30" s="291"/>
      <c r="IR30" s="291"/>
    </row>
    <row r="31" spans="1:252" s="5" customFormat="1" ht="14.25">
      <c r="A31" s="35" t="s">
        <v>7</v>
      </c>
      <c r="B31" s="291">
        <v>7.9</v>
      </c>
      <c r="C31" s="291">
        <v>6</v>
      </c>
      <c r="D31" s="291">
        <v>4</v>
      </c>
      <c r="E31" s="291">
        <v>4.7</v>
      </c>
      <c r="F31" s="291">
        <v>3.9</v>
      </c>
      <c r="G31" s="397">
        <v>5.7</v>
      </c>
      <c r="H31" s="291">
        <v>1.7</v>
      </c>
      <c r="I31" s="291">
        <v>0</v>
      </c>
      <c r="J31" s="291">
        <v>0</v>
      </c>
      <c r="K31" s="291">
        <v>2.5</v>
      </c>
      <c r="L31" s="291"/>
      <c r="M31" s="291"/>
      <c r="N31" s="291"/>
      <c r="O31" s="291"/>
      <c r="P31" s="292"/>
      <c r="Q31" s="292"/>
      <c r="R31" s="292"/>
      <c r="S31" s="292"/>
      <c r="T31" s="292"/>
      <c r="U31" s="35"/>
      <c r="V31" s="291"/>
      <c r="W31" s="291"/>
      <c r="X31" s="291"/>
      <c r="Y31" s="291"/>
      <c r="Z31" s="291"/>
      <c r="AA31" s="291"/>
      <c r="AB31" s="292"/>
      <c r="AC31" s="292"/>
      <c r="AD31" s="292"/>
      <c r="AE31" s="292"/>
      <c r="AF31" s="292"/>
      <c r="AG31" s="35"/>
      <c r="AH31" s="291"/>
      <c r="AI31" s="291"/>
      <c r="AJ31" s="291"/>
      <c r="AK31" s="291"/>
      <c r="AL31" s="291"/>
      <c r="AM31" s="291"/>
      <c r="AN31" s="292"/>
      <c r="AO31" s="292"/>
      <c r="AP31" s="292"/>
      <c r="AQ31" s="292"/>
      <c r="AR31" s="292"/>
      <c r="AS31" s="35"/>
      <c r="AT31" s="291"/>
      <c r="AU31" s="291"/>
      <c r="AV31" s="291"/>
      <c r="AW31" s="291"/>
      <c r="AX31" s="291"/>
      <c r="AY31" s="291"/>
      <c r="AZ31" s="292"/>
      <c r="BA31" s="292"/>
      <c r="BB31" s="292"/>
      <c r="BC31" s="292"/>
      <c r="BD31" s="292"/>
      <c r="BE31" s="35"/>
      <c r="BF31" s="291"/>
      <c r="BG31" s="291"/>
      <c r="BH31" s="291"/>
      <c r="BI31" s="291"/>
      <c r="BJ31" s="291"/>
      <c r="BK31" s="291"/>
      <c r="BL31" s="292"/>
      <c r="BM31" s="292"/>
      <c r="BN31" s="292"/>
      <c r="BO31" s="292"/>
      <c r="BP31" s="292"/>
      <c r="BQ31" s="35"/>
      <c r="BR31" s="291"/>
      <c r="BS31" s="291"/>
      <c r="BT31" s="291"/>
      <c r="BU31" s="291"/>
      <c r="BV31" s="291"/>
      <c r="BW31" s="291"/>
      <c r="BX31" s="292"/>
      <c r="BY31" s="292"/>
      <c r="BZ31" s="292"/>
      <c r="CA31" s="292"/>
      <c r="CB31" s="292"/>
      <c r="CC31" s="35"/>
      <c r="CD31" s="291"/>
      <c r="CE31" s="291"/>
      <c r="CF31" s="291"/>
      <c r="CG31" s="291"/>
      <c r="CH31" s="291"/>
      <c r="CI31" s="291"/>
      <c r="CJ31" s="292"/>
      <c r="CK31" s="292"/>
      <c r="CL31" s="292"/>
      <c r="CM31" s="292"/>
      <c r="CN31" s="292"/>
      <c r="CO31" s="35"/>
      <c r="CP31" s="291"/>
      <c r="CQ31" s="291"/>
      <c r="CR31" s="291"/>
      <c r="CS31" s="291"/>
      <c r="CT31" s="291"/>
      <c r="CU31" s="291"/>
      <c r="CV31" s="292"/>
      <c r="CW31" s="292"/>
      <c r="CX31" s="292"/>
      <c r="CY31" s="292"/>
      <c r="CZ31" s="292"/>
      <c r="DA31" s="35"/>
      <c r="DB31" s="291"/>
      <c r="DC31" s="291"/>
      <c r="DD31" s="291"/>
      <c r="DE31" s="291"/>
      <c r="DF31" s="291"/>
      <c r="DG31" s="291"/>
      <c r="DH31" s="292"/>
      <c r="DI31" s="292"/>
      <c r="DJ31" s="292"/>
      <c r="DK31" s="292"/>
      <c r="DL31" s="292"/>
      <c r="DM31" s="35"/>
      <c r="DN31" s="291"/>
      <c r="DO31" s="291"/>
      <c r="DP31" s="291"/>
      <c r="DQ31" s="291"/>
      <c r="DR31" s="291"/>
      <c r="DS31" s="291"/>
      <c r="DT31" s="292"/>
      <c r="DU31" s="292"/>
      <c r="DV31" s="292"/>
      <c r="DW31" s="292"/>
      <c r="DX31" s="292"/>
      <c r="DY31" s="35"/>
      <c r="DZ31" s="291"/>
      <c r="EA31" s="291"/>
      <c r="EB31" s="291"/>
      <c r="EC31" s="291"/>
      <c r="ED31" s="291"/>
      <c r="EE31" s="291"/>
      <c r="EF31" s="292"/>
      <c r="EG31" s="292"/>
      <c r="EH31" s="292"/>
      <c r="EI31" s="292"/>
      <c r="EJ31" s="292"/>
      <c r="EK31" s="35"/>
      <c r="EL31" s="291"/>
      <c r="EM31" s="291"/>
      <c r="EN31" s="291"/>
      <c r="EO31" s="291"/>
      <c r="EP31" s="291"/>
      <c r="EQ31" s="291"/>
      <c r="ER31" s="292"/>
      <c r="ES31" s="292"/>
      <c r="ET31" s="292"/>
      <c r="EU31" s="292"/>
      <c r="EV31" s="292"/>
      <c r="EW31" s="35"/>
      <c r="EX31" s="291"/>
      <c r="EY31" s="291"/>
      <c r="EZ31" s="291"/>
      <c r="FA31" s="291"/>
      <c r="FB31" s="291"/>
      <c r="FC31" s="291"/>
      <c r="FD31" s="292"/>
      <c r="FE31" s="292"/>
      <c r="FF31" s="292"/>
      <c r="FG31" s="292"/>
      <c r="FH31" s="292"/>
      <c r="FI31" s="35"/>
      <c r="FJ31" s="291"/>
      <c r="FK31" s="291"/>
      <c r="FL31" s="291"/>
      <c r="FM31" s="291"/>
      <c r="FN31" s="291"/>
      <c r="FO31" s="291"/>
      <c r="FP31" s="292"/>
      <c r="FQ31" s="292"/>
      <c r="FR31" s="292"/>
      <c r="FS31" s="292"/>
      <c r="FT31" s="292"/>
      <c r="FU31" s="35"/>
      <c r="FV31" s="291"/>
      <c r="FW31" s="291"/>
      <c r="FX31" s="291"/>
      <c r="FY31" s="291"/>
      <c r="FZ31" s="291"/>
      <c r="GA31" s="291"/>
      <c r="GB31" s="292"/>
      <c r="GC31" s="292"/>
      <c r="GD31" s="292"/>
      <c r="GE31" s="292"/>
      <c r="GF31" s="292"/>
      <c r="GG31" s="35"/>
      <c r="GH31" s="291"/>
      <c r="GI31" s="291"/>
      <c r="GJ31" s="291"/>
      <c r="GK31" s="291"/>
      <c r="GL31" s="291"/>
      <c r="GM31" s="291"/>
      <c r="GN31" s="292"/>
      <c r="GO31" s="292"/>
      <c r="GP31" s="292"/>
      <c r="GQ31" s="292"/>
      <c r="GR31" s="292"/>
      <c r="GS31" s="35"/>
      <c r="GT31" s="291"/>
      <c r="GU31" s="291"/>
      <c r="GV31" s="291"/>
      <c r="GW31" s="291"/>
      <c r="GX31" s="291"/>
      <c r="GY31" s="291"/>
      <c r="GZ31" s="292"/>
      <c r="HA31" s="292"/>
      <c r="HB31" s="292"/>
      <c r="HC31" s="292"/>
      <c r="HD31" s="292"/>
      <c r="HE31" s="35"/>
      <c r="HF31" s="291"/>
      <c r="HG31" s="291"/>
      <c r="HH31" s="291"/>
      <c r="HI31" s="291"/>
      <c r="HJ31" s="291"/>
      <c r="HK31" s="291"/>
      <c r="HL31" s="292"/>
      <c r="HM31" s="292"/>
      <c r="HN31" s="292"/>
      <c r="HO31" s="292"/>
      <c r="HP31" s="292"/>
      <c r="HQ31" s="35"/>
      <c r="HR31" s="291"/>
      <c r="HS31" s="291"/>
      <c r="HT31" s="291"/>
      <c r="HU31" s="291"/>
      <c r="HV31" s="291"/>
      <c r="HW31" s="291"/>
      <c r="HX31" s="292"/>
      <c r="HY31" s="292"/>
      <c r="HZ31" s="292"/>
      <c r="IA31" s="292"/>
      <c r="IB31" s="292"/>
      <c r="IC31" s="35"/>
      <c r="ID31" s="291"/>
      <c r="IE31" s="291"/>
      <c r="IF31" s="291"/>
      <c r="IG31" s="291"/>
      <c r="IH31" s="291"/>
      <c r="II31" s="291"/>
      <c r="IJ31" s="292"/>
      <c r="IK31" s="292"/>
      <c r="IL31" s="292"/>
      <c r="IM31" s="292"/>
      <c r="IN31" s="292"/>
      <c r="IO31" s="35"/>
      <c r="IP31" s="291"/>
      <c r="IQ31" s="291"/>
      <c r="IR31" s="291"/>
    </row>
    <row r="32" spans="1:252" s="5" customFormat="1" ht="14.25">
      <c r="A32" s="35" t="s">
        <v>6</v>
      </c>
      <c r="B32" s="291">
        <v>2.6</v>
      </c>
      <c r="C32" s="291">
        <v>4.2</v>
      </c>
      <c r="D32" s="291">
        <v>4</v>
      </c>
      <c r="E32" s="291">
        <v>2.7</v>
      </c>
      <c r="F32" s="291">
        <v>3.9</v>
      </c>
      <c r="G32" s="397">
        <v>3.7</v>
      </c>
      <c r="H32" s="291">
        <v>0.8</v>
      </c>
      <c r="I32" s="291">
        <v>0.1</v>
      </c>
      <c r="J32" s="291">
        <v>-0.4</v>
      </c>
      <c r="K32" s="291">
        <v>1.1000000000000001</v>
      </c>
      <c r="L32" s="291"/>
      <c r="M32" s="291"/>
      <c r="N32" s="291"/>
      <c r="O32" s="291"/>
      <c r="P32" s="292"/>
      <c r="Q32" s="292"/>
      <c r="R32" s="292"/>
      <c r="S32" s="292"/>
      <c r="T32" s="292"/>
      <c r="U32" s="35"/>
      <c r="V32" s="291"/>
      <c r="W32" s="291"/>
      <c r="X32" s="291"/>
      <c r="Y32" s="291"/>
      <c r="Z32" s="291"/>
      <c r="AA32" s="291"/>
      <c r="AB32" s="292"/>
      <c r="AC32" s="292"/>
      <c r="AD32" s="292"/>
      <c r="AE32" s="292"/>
      <c r="AF32" s="292"/>
      <c r="AG32" s="35"/>
      <c r="AH32" s="291"/>
      <c r="AI32" s="291"/>
      <c r="AJ32" s="291"/>
      <c r="AK32" s="291"/>
      <c r="AL32" s="291"/>
      <c r="AM32" s="291"/>
      <c r="AN32" s="292"/>
      <c r="AO32" s="292"/>
      <c r="AP32" s="292"/>
      <c r="AQ32" s="292"/>
      <c r="AR32" s="292"/>
      <c r="AS32" s="35"/>
      <c r="AT32" s="291"/>
      <c r="AU32" s="291"/>
      <c r="AV32" s="291"/>
      <c r="AW32" s="291"/>
      <c r="AX32" s="291"/>
      <c r="AY32" s="291"/>
      <c r="AZ32" s="292"/>
      <c r="BA32" s="292"/>
      <c r="BB32" s="292"/>
      <c r="BC32" s="292"/>
      <c r="BD32" s="292"/>
      <c r="BE32" s="35"/>
      <c r="BF32" s="291"/>
      <c r="BG32" s="291"/>
      <c r="BH32" s="291"/>
      <c r="BI32" s="291"/>
      <c r="BJ32" s="291"/>
      <c r="BK32" s="291"/>
      <c r="BL32" s="292"/>
      <c r="BM32" s="292"/>
      <c r="BN32" s="292"/>
      <c r="BO32" s="292"/>
      <c r="BP32" s="292"/>
      <c r="BQ32" s="35"/>
      <c r="BR32" s="291"/>
      <c r="BS32" s="291"/>
      <c r="BT32" s="291"/>
      <c r="BU32" s="291"/>
      <c r="BV32" s="291"/>
      <c r="BW32" s="291"/>
      <c r="BX32" s="292"/>
      <c r="BY32" s="292"/>
      <c r="BZ32" s="292"/>
      <c r="CA32" s="292"/>
      <c r="CB32" s="292"/>
      <c r="CC32" s="35"/>
      <c r="CD32" s="291"/>
      <c r="CE32" s="291"/>
      <c r="CF32" s="291"/>
      <c r="CG32" s="291"/>
      <c r="CH32" s="291"/>
      <c r="CI32" s="291"/>
      <c r="CJ32" s="292"/>
      <c r="CK32" s="292"/>
      <c r="CL32" s="292"/>
      <c r="CM32" s="292"/>
      <c r="CN32" s="292"/>
      <c r="CO32" s="35"/>
      <c r="CP32" s="291"/>
      <c r="CQ32" s="291"/>
      <c r="CR32" s="291"/>
      <c r="CS32" s="291"/>
      <c r="CT32" s="291"/>
      <c r="CU32" s="291"/>
      <c r="CV32" s="292"/>
      <c r="CW32" s="292"/>
      <c r="CX32" s="292"/>
      <c r="CY32" s="292"/>
      <c r="CZ32" s="292"/>
      <c r="DA32" s="35"/>
      <c r="DB32" s="291"/>
      <c r="DC32" s="291"/>
      <c r="DD32" s="291"/>
      <c r="DE32" s="291"/>
      <c r="DF32" s="291"/>
      <c r="DG32" s="291"/>
      <c r="DH32" s="292"/>
      <c r="DI32" s="292"/>
      <c r="DJ32" s="292"/>
      <c r="DK32" s="292"/>
      <c r="DL32" s="292"/>
      <c r="DM32" s="35"/>
      <c r="DN32" s="291"/>
      <c r="DO32" s="291"/>
      <c r="DP32" s="291"/>
      <c r="DQ32" s="291"/>
      <c r="DR32" s="291"/>
      <c r="DS32" s="291"/>
      <c r="DT32" s="292"/>
      <c r="DU32" s="292"/>
      <c r="DV32" s="292"/>
      <c r="DW32" s="292"/>
      <c r="DX32" s="292"/>
      <c r="DY32" s="35"/>
      <c r="DZ32" s="291"/>
      <c r="EA32" s="291"/>
      <c r="EB32" s="291"/>
      <c r="EC32" s="291"/>
      <c r="ED32" s="291"/>
      <c r="EE32" s="291"/>
      <c r="EF32" s="292"/>
      <c r="EG32" s="292"/>
      <c r="EH32" s="292"/>
      <c r="EI32" s="292"/>
      <c r="EJ32" s="292"/>
      <c r="EK32" s="35"/>
      <c r="EL32" s="291"/>
      <c r="EM32" s="291"/>
      <c r="EN32" s="291"/>
      <c r="EO32" s="291"/>
      <c r="EP32" s="291"/>
      <c r="EQ32" s="291"/>
      <c r="ER32" s="292"/>
      <c r="ES32" s="292"/>
      <c r="ET32" s="292"/>
      <c r="EU32" s="292"/>
      <c r="EV32" s="292"/>
      <c r="EW32" s="35"/>
      <c r="EX32" s="291"/>
      <c r="EY32" s="291"/>
      <c r="EZ32" s="291"/>
      <c r="FA32" s="291"/>
      <c r="FB32" s="291"/>
      <c r="FC32" s="291"/>
      <c r="FD32" s="292"/>
      <c r="FE32" s="292"/>
      <c r="FF32" s="292"/>
      <c r="FG32" s="292"/>
      <c r="FH32" s="292"/>
      <c r="FI32" s="35"/>
      <c r="FJ32" s="291"/>
      <c r="FK32" s="291"/>
      <c r="FL32" s="291"/>
      <c r="FM32" s="291"/>
      <c r="FN32" s="291"/>
      <c r="FO32" s="291"/>
      <c r="FP32" s="292"/>
      <c r="FQ32" s="292"/>
      <c r="FR32" s="292"/>
      <c r="FS32" s="292"/>
      <c r="FT32" s="292"/>
      <c r="FU32" s="35"/>
      <c r="FV32" s="291"/>
      <c r="FW32" s="291"/>
      <c r="FX32" s="291"/>
      <c r="FY32" s="291"/>
      <c r="FZ32" s="291"/>
      <c r="GA32" s="291"/>
      <c r="GB32" s="292"/>
      <c r="GC32" s="292"/>
      <c r="GD32" s="292"/>
      <c r="GE32" s="292"/>
      <c r="GF32" s="292"/>
      <c r="GG32" s="35"/>
      <c r="GH32" s="291"/>
      <c r="GI32" s="291"/>
      <c r="GJ32" s="291"/>
      <c r="GK32" s="291"/>
      <c r="GL32" s="291"/>
      <c r="GM32" s="291"/>
      <c r="GN32" s="292"/>
      <c r="GO32" s="292"/>
      <c r="GP32" s="292"/>
      <c r="GQ32" s="292"/>
      <c r="GR32" s="292"/>
      <c r="GS32" s="35"/>
      <c r="GT32" s="291"/>
      <c r="GU32" s="291"/>
      <c r="GV32" s="291"/>
      <c r="GW32" s="291"/>
      <c r="GX32" s="291"/>
      <c r="GY32" s="291"/>
      <c r="GZ32" s="292"/>
      <c r="HA32" s="292"/>
      <c r="HB32" s="292"/>
      <c r="HC32" s="292"/>
      <c r="HD32" s="292"/>
      <c r="HE32" s="35"/>
      <c r="HF32" s="291"/>
      <c r="HG32" s="291"/>
      <c r="HH32" s="291"/>
      <c r="HI32" s="291"/>
      <c r="HJ32" s="291"/>
      <c r="HK32" s="291"/>
      <c r="HL32" s="292"/>
      <c r="HM32" s="292"/>
      <c r="HN32" s="292"/>
      <c r="HO32" s="292"/>
      <c r="HP32" s="292"/>
      <c r="HQ32" s="35"/>
      <c r="HR32" s="291"/>
      <c r="HS32" s="291"/>
      <c r="HT32" s="291"/>
      <c r="HU32" s="291"/>
      <c r="HV32" s="291"/>
      <c r="HW32" s="291"/>
      <c r="HX32" s="292"/>
      <c r="HY32" s="292"/>
      <c r="HZ32" s="292"/>
      <c r="IA32" s="292"/>
      <c r="IB32" s="292"/>
      <c r="IC32" s="35"/>
      <c r="ID32" s="291"/>
      <c r="IE32" s="291"/>
      <c r="IF32" s="291"/>
      <c r="IG32" s="291"/>
      <c r="IH32" s="291"/>
      <c r="II32" s="291"/>
      <c r="IJ32" s="292"/>
      <c r="IK32" s="292"/>
      <c r="IL32" s="292"/>
      <c r="IM32" s="292"/>
      <c r="IN32" s="292"/>
      <c r="IO32" s="35"/>
      <c r="IP32" s="291"/>
      <c r="IQ32" s="291"/>
      <c r="IR32" s="291"/>
    </row>
    <row r="33" spans="1:252" s="5" customFormat="1" ht="14.25">
      <c r="A33" s="35" t="s">
        <v>5</v>
      </c>
      <c r="B33" s="291">
        <v>4.9000000000000004</v>
      </c>
      <c r="C33" s="291">
        <v>7.9</v>
      </c>
      <c r="D33" s="291">
        <v>5.6</v>
      </c>
      <c r="E33" s="291">
        <v>6.1</v>
      </c>
      <c r="F33" s="291">
        <v>5.8</v>
      </c>
      <c r="G33" s="397">
        <v>3.4</v>
      </c>
      <c r="H33" s="291">
        <v>3.2</v>
      </c>
      <c r="I33" s="291">
        <v>1.4</v>
      </c>
      <c r="J33" s="291">
        <v>0.2</v>
      </c>
      <c r="K33" s="291">
        <v>0.9</v>
      </c>
      <c r="L33" s="291"/>
      <c r="M33" s="292"/>
      <c r="N33" s="291"/>
      <c r="O33" s="291"/>
      <c r="P33" s="292"/>
      <c r="Q33" s="292"/>
      <c r="R33" s="292"/>
      <c r="S33" s="292"/>
      <c r="T33" s="292"/>
      <c r="U33" s="35"/>
      <c r="V33" s="291"/>
      <c r="W33" s="291"/>
      <c r="X33" s="291"/>
      <c r="Y33" s="292"/>
      <c r="Z33" s="291"/>
      <c r="AA33" s="291"/>
      <c r="AB33" s="292"/>
      <c r="AC33" s="292"/>
      <c r="AD33" s="292"/>
      <c r="AE33" s="292"/>
      <c r="AF33" s="292"/>
      <c r="AG33" s="35"/>
      <c r="AH33" s="291"/>
      <c r="AI33" s="291"/>
      <c r="AJ33" s="291"/>
      <c r="AK33" s="292"/>
      <c r="AL33" s="291"/>
      <c r="AM33" s="291"/>
      <c r="AN33" s="292"/>
      <c r="AO33" s="292"/>
      <c r="AP33" s="292"/>
      <c r="AQ33" s="292"/>
      <c r="AR33" s="292"/>
      <c r="AS33" s="35"/>
      <c r="AT33" s="291"/>
      <c r="AU33" s="291"/>
      <c r="AV33" s="291"/>
      <c r="AW33" s="292"/>
      <c r="AX33" s="291"/>
      <c r="AY33" s="291"/>
      <c r="AZ33" s="292"/>
      <c r="BA33" s="292"/>
      <c r="BB33" s="292"/>
      <c r="BC33" s="292"/>
      <c r="BD33" s="292"/>
      <c r="BE33" s="35"/>
      <c r="BF33" s="291"/>
      <c r="BG33" s="291"/>
      <c r="BH33" s="291"/>
      <c r="BI33" s="292"/>
      <c r="BJ33" s="291"/>
      <c r="BK33" s="291"/>
      <c r="BL33" s="292"/>
      <c r="BM33" s="292"/>
      <c r="BN33" s="292"/>
      <c r="BO33" s="292"/>
      <c r="BP33" s="292"/>
      <c r="BQ33" s="35"/>
      <c r="BR33" s="291"/>
      <c r="BS33" s="291"/>
      <c r="BT33" s="291"/>
      <c r="BU33" s="292"/>
      <c r="BV33" s="291"/>
      <c r="BW33" s="291"/>
      <c r="BX33" s="292"/>
      <c r="BY33" s="292"/>
      <c r="BZ33" s="292"/>
      <c r="CA33" s="292"/>
      <c r="CB33" s="292"/>
      <c r="CC33" s="35"/>
      <c r="CD33" s="291"/>
      <c r="CE33" s="291"/>
      <c r="CF33" s="291"/>
      <c r="CG33" s="292"/>
      <c r="CH33" s="291"/>
      <c r="CI33" s="291"/>
      <c r="CJ33" s="292"/>
      <c r="CK33" s="292"/>
      <c r="CL33" s="292"/>
      <c r="CM33" s="292"/>
      <c r="CN33" s="292"/>
      <c r="CO33" s="35"/>
      <c r="CP33" s="291"/>
      <c r="CQ33" s="291"/>
      <c r="CR33" s="291"/>
      <c r="CS33" s="292"/>
      <c r="CT33" s="291"/>
      <c r="CU33" s="291"/>
      <c r="CV33" s="292"/>
      <c r="CW33" s="292"/>
      <c r="CX33" s="292"/>
      <c r="CY33" s="292"/>
      <c r="CZ33" s="292"/>
      <c r="DA33" s="35"/>
      <c r="DB33" s="291"/>
      <c r="DC33" s="291"/>
      <c r="DD33" s="291"/>
      <c r="DE33" s="292"/>
      <c r="DF33" s="291"/>
      <c r="DG33" s="291"/>
      <c r="DH33" s="292"/>
      <c r="DI33" s="292"/>
      <c r="DJ33" s="292"/>
      <c r="DK33" s="292"/>
      <c r="DL33" s="292"/>
      <c r="DM33" s="35"/>
      <c r="DN33" s="291"/>
      <c r="DO33" s="291"/>
      <c r="DP33" s="291"/>
      <c r="DQ33" s="292"/>
      <c r="DR33" s="291"/>
      <c r="DS33" s="291"/>
      <c r="DT33" s="292"/>
      <c r="DU33" s="292"/>
      <c r="DV33" s="292"/>
      <c r="DW33" s="292"/>
      <c r="DX33" s="292"/>
      <c r="DY33" s="35"/>
      <c r="DZ33" s="291"/>
      <c r="EA33" s="291"/>
      <c r="EB33" s="291"/>
      <c r="EC33" s="292"/>
      <c r="ED33" s="291"/>
      <c r="EE33" s="291"/>
      <c r="EF33" s="292"/>
      <c r="EG33" s="292"/>
      <c r="EH33" s="292"/>
      <c r="EI33" s="292"/>
      <c r="EJ33" s="292"/>
      <c r="EK33" s="35"/>
      <c r="EL33" s="291"/>
      <c r="EM33" s="291"/>
      <c r="EN33" s="291"/>
      <c r="EO33" s="292"/>
      <c r="EP33" s="291"/>
      <c r="EQ33" s="291"/>
      <c r="ER33" s="292"/>
      <c r="ES33" s="292"/>
      <c r="ET33" s="292"/>
      <c r="EU33" s="292"/>
      <c r="EV33" s="292"/>
      <c r="EW33" s="35"/>
      <c r="EX33" s="291"/>
      <c r="EY33" s="291"/>
      <c r="EZ33" s="291"/>
      <c r="FA33" s="292"/>
      <c r="FB33" s="291"/>
      <c r="FC33" s="291"/>
      <c r="FD33" s="292"/>
      <c r="FE33" s="292"/>
      <c r="FF33" s="292"/>
      <c r="FG33" s="292"/>
      <c r="FH33" s="292"/>
      <c r="FI33" s="35"/>
      <c r="FJ33" s="291"/>
      <c r="FK33" s="291"/>
      <c r="FL33" s="291"/>
      <c r="FM33" s="292"/>
      <c r="FN33" s="291"/>
      <c r="FO33" s="291"/>
      <c r="FP33" s="292"/>
      <c r="FQ33" s="292"/>
      <c r="FR33" s="292"/>
      <c r="FS33" s="292"/>
      <c r="FT33" s="292"/>
      <c r="FU33" s="35"/>
      <c r="FV33" s="291"/>
      <c r="FW33" s="291"/>
      <c r="FX33" s="291"/>
      <c r="FY33" s="292"/>
      <c r="FZ33" s="291"/>
      <c r="GA33" s="291"/>
      <c r="GB33" s="292"/>
      <c r="GC33" s="292"/>
      <c r="GD33" s="292"/>
      <c r="GE33" s="292"/>
      <c r="GF33" s="292"/>
      <c r="GG33" s="35"/>
      <c r="GH33" s="291"/>
      <c r="GI33" s="291"/>
      <c r="GJ33" s="291"/>
      <c r="GK33" s="292"/>
      <c r="GL33" s="291"/>
      <c r="GM33" s="291"/>
      <c r="GN33" s="292"/>
      <c r="GO33" s="292"/>
      <c r="GP33" s="292"/>
      <c r="GQ33" s="292"/>
      <c r="GR33" s="292"/>
      <c r="GS33" s="35"/>
      <c r="GT33" s="291"/>
      <c r="GU33" s="291"/>
      <c r="GV33" s="291"/>
      <c r="GW33" s="292"/>
      <c r="GX33" s="291"/>
      <c r="GY33" s="291"/>
      <c r="GZ33" s="292"/>
      <c r="HA33" s="292"/>
      <c r="HB33" s="292"/>
      <c r="HC33" s="292"/>
      <c r="HD33" s="292"/>
      <c r="HE33" s="35"/>
      <c r="HF33" s="291"/>
      <c r="HG33" s="291"/>
      <c r="HH33" s="291"/>
      <c r="HI33" s="292"/>
      <c r="HJ33" s="291"/>
      <c r="HK33" s="291"/>
      <c r="HL33" s="292"/>
      <c r="HM33" s="292"/>
      <c r="HN33" s="292"/>
      <c r="HO33" s="292"/>
      <c r="HP33" s="292"/>
      <c r="HQ33" s="35"/>
      <c r="HR33" s="291"/>
      <c r="HS33" s="291"/>
      <c r="HT33" s="291"/>
      <c r="HU33" s="292"/>
      <c r="HV33" s="291"/>
      <c r="HW33" s="291"/>
      <c r="HX33" s="292"/>
      <c r="HY33" s="292"/>
      <c r="HZ33" s="292"/>
      <c r="IA33" s="292"/>
      <c r="IB33" s="292"/>
      <c r="IC33" s="35"/>
      <c r="ID33" s="291"/>
      <c r="IE33" s="291"/>
      <c r="IF33" s="291"/>
      <c r="IG33" s="292"/>
      <c r="IH33" s="291"/>
      <c r="II33" s="291"/>
      <c r="IJ33" s="292"/>
      <c r="IK33" s="292"/>
      <c r="IL33" s="292"/>
      <c r="IM33" s="292"/>
      <c r="IN33" s="292"/>
      <c r="IO33" s="35"/>
      <c r="IP33" s="291"/>
      <c r="IQ33" s="291"/>
      <c r="IR33" s="291"/>
    </row>
    <row r="34" spans="1:252" s="5" customFormat="1" ht="14.25">
      <c r="A34" s="36" t="s">
        <v>4</v>
      </c>
      <c r="B34" s="291">
        <v>1.7</v>
      </c>
      <c r="C34" s="291">
        <v>3.3</v>
      </c>
      <c r="D34" s="291">
        <v>1.9</v>
      </c>
      <c r="E34" s="291">
        <v>1.9</v>
      </c>
      <c r="F34" s="291">
        <v>1.4</v>
      </c>
      <c r="G34" s="291">
        <v>0.9</v>
      </c>
      <c r="H34" s="291">
        <v>0.4</v>
      </c>
      <c r="I34" s="291">
        <v>0.2</v>
      </c>
      <c r="J34" s="291">
        <v>0.7</v>
      </c>
      <c r="K34" s="291">
        <v>1.6</v>
      </c>
      <c r="L34" s="291"/>
      <c r="M34" s="291"/>
      <c r="N34" s="291"/>
      <c r="O34" s="291"/>
      <c r="P34" s="291"/>
      <c r="Q34" s="291"/>
      <c r="R34" s="291"/>
      <c r="S34" s="291"/>
      <c r="T34" s="291"/>
      <c r="U34" s="36"/>
      <c r="V34" s="291"/>
      <c r="W34" s="291"/>
      <c r="X34" s="291"/>
      <c r="Y34" s="291"/>
      <c r="Z34" s="291"/>
      <c r="AA34" s="291"/>
      <c r="AB34" s="291"/>
      <c r="AC34" s="291"/>
      <c r="AD34" s="291"/>
      <c r="AE34" s="291"/>
      <c r="AF34" s="291"/>
      <c r="AG34" s="36"/>
      <c r="AH34" s="291"/>
      <c r="AI34" s="291"/>
      <c r="AJ34" s="291"/>
      <c r="AK34" s="291"/>
      <c r="AL34" s="291"/>
      <c r="AM34" s="291"/>
      <c r="AN34" s="291"/>
      <c r="AO34" s="291"/>
      <c r="AP34" s="291"/>
      <c r="AQ34" s="291"/>
      <c r="AR34" s="291"/>
      <c r="AS34" s="36"/>
      <c r="AT34" s="291"/>
      <c r="AU34" s="291"/>
      <c r="AV34" s="291"/>
      <c r="AW34" s="291"/>
      <c r="AX34" s="291"/>
      <c r="AY34" s="291"/>
      <c r="AZ34" s="291"/>
      <c r="BA34" s="291"/>
      <c r="BB34" s="291"/>
      <c r="BC34" s="291"/>
      <c r="BD34" s="291"/>
      <c r="BE34" s="36"/>
      <c r="BF34" s="291"/>
      <c r="BG34" s="291"/>
      <c r="BH34" s="291"/>
      <c r="BI34" s="291"/>
      <c r="BJ34" s="291"/>
      <c r="BK34" s="291"/>
      <c r="BL34" s="291"/>
      <c r="BM34" s="291"/>
      <c r="BN34" s="291"/>
      <c r="BO34" s="291"/>
      <c r="BP34" s="291"/>
      <c r="BQ34" s="36"/>
      <c r="BR34" s="291"/>
      <c r="BS34" s="291"/>
      <c r="BT34" s="291"/>
      <c r="BU34" s="291"/>
      <c r="BV34" s="291"/>
      <c r="BW34" s="291"/>
      <c r="BX34" s="291"/>
      <c r="BY34" s="291"/>
      <c r="BZ34" s="291"/>
      <c r="CA34" s="291"/>
      <c r="CB34" s="291"/>
      <c r="CC34" s="36"/>
      <c r="CD34" s="291"/>
      <c r="CE34" s="291"/>
      <c r="CF34" s="291"/>
      <c r="CG34" s="291"/>
      <c r="CH34" s="291"/>
      <c r="CI34" s="291"/>
      <c r="CJ34" s="291"/>
      <c r="CK34" s="291"/>
      <c r="CL34" s="291"/>
      <c r="CM34" s="291"/>
      <c r="CN34" s="291"/>
      <c r="CO34" s="36"/>
      <c r="CP34" s="291"/>
      <c r="CQ34" s="291"/>
      <c r="CR34" s="291"/>
      <c r="CS34" s="291"/>
      <c r="CT34" s="291"/>
      <c r="CU34" s="291"/>
      <c r="CV34" s="291"/>
      <c r="CW34" s="291"/>
      <c r="CX34" s="291"/>
      <c r="CY34" s="291"/>
      <c r="CZ34" s="291"/>
      <c r="DA34" s="36"/>
      <c r="DB34" s="291"/>
      <c r="DC34" s="291"/>
      <c r="DD34" s="291"/>
      <c r="DE34" s="291"/>
      <c r="DF34" s="291"/>
      <c r="DG34" s="291"/>
      <c r="DH34" s="291"/>
      <c r="DI34" s="291"/>
      <c r="DJ34" s="291"/>
      <c r="DK34" s="291"/>
      <c r="DL34" s="291"/>
      <c r="DM34" s="36"/>
      <c r="DN34" s="291"/>
      <c r="DO34" s="291"/>
      <c r="DP34" s="291"/>
      <c r="DQ34" s="291"/>
      <c r="DR34" s="291"/>
      <c r="DS34" s="291"/>
      <c r="DT34" s="291"/>
      <c r="DU34" s="291"/>
      <c r="DV34" s="291"/>
      <c r="DW34" s="291"/>
      <c r="DX34" s="291"/>
      <c r="DY34" s="36"/>
      <c r="DZ34" s="291"/>
      <c r="EA34" s="291"/>
      <c r="EB34" s="291"/>
      <c r="EC34" s="291"/>
      <c r="ED34" s="291"/>
      <c r="EE34" s="291"/>
      <c r="EF34" s="291"/>
      <c r="EG34" s="291"/>
      <c r="EH34" s="291"/>
      <c r="EI34" s="291"/>
      <c r="EJ34" s="291"/>
      <c r="EK34" s="36"/>
      <c r="EL34" s="291"/>
      <c r="EM34" s="291"/>
      <c r="EN34" s="291"/>
      <c r="EO34" s="291"/>
      <c r="EP34" s="291"/>
      <c r="EQ34" s="291"/>
      <c r="ER34" s="291"/>
      <c r="ES34" s="291"/>
      <c r="ET34" s="291"/>
      <c r="EU34" s="291"/>
      <c r="EV34" s="291"/>
      <c r="EW34" s="36"/>
      <c r="EX34" s="291"/>
      <c r="EY34" s="291"/>
      <c r="EZ34" s="291"/>
      <c r="FA34" s="291"/>
      <c r="FB34" s="291"/>
      <c r="FC34" s="291"/>
      <c r="FD34" s="291"/>
      <c r="FE34" s="291"/>
      <c r="FF34" s="291"/>
      <c r="FG34" s="291"/>
      <c r="FH34" s="291"/>
      <c r="FI34" s="36"/>
      <c r="FJ34" s="291"/>
      <c r="FK34" s="291"/>
      <c r="FL34" s="291"/>
      <c r="FM34" s="291"/>
      <c r="FN34" s="291"/>
      <c r="FO34" s="291"/>
      <c r="FP34" s="291"/>
      <c r="FQ34" s="291"/>
      <c r="FR34" s="291"/>
      <c r="FS34" s="291"/>
      <c r="FT34" s="291"/>
      <c r="FU34" s="36"/>
      <c r="FV34" s="291"/>
      <c r="FW34" s="291"/>
      <c r="FX34" s="291"/>
      <c r="FY34" s="291"/>
      <c r="FZ34" s="291"/>
      <c r="GA34" s="291"/>
      <c r="GB34" s="291"/>
      <c r="GC34" s="291"/>
      <c r="GD34" s="291"/>
      <c r="GE34" s="291"/>
      <c r="GF34" s="291"/>
      <c r="GG34" s="36"/>
      <c r="GH34" s="291"/>
      <c r="GI34" s="291"/>
      <c r="GJ34" s="291"/>
      <c r="GK34" s="291"/>
      <c r="GL34" s="291"/>
      <c r="GM34" s="291"/>
      <c r="GN34" s="291"/>
      <c r="GO34" s="291"/>
      <c r="GP34" s="291"/>
      <c r="GQ34" s="291"/>
      <c r="GR34" s="291"/>
      <c r="GS34" s="36"/>
      <c r="GT34" s="291"/>
      <c r="GU34" s="291"/>
      <c r="GV34" s="291"/>
      <c r="GW34" s="291"/>
      <c r="GX34" s="291"/>
      <c r="GY34" s="291"/>
      <c r="GZ34" s="291"/>
      <c r="HA34" s="291"/>
      <c r="HB34" s="291"/>
      <c r="HC34" s="291"/>
      <c r="HD34" s="291"/>
      <c r="HE34" s="36"/>
      <c r="HF34" s="291"/>
      <c r="HG34" s="291"/>
      <c r="HH34" s="291"/>
      <c r="HI34" s="291"/>
      <c r="HJ34" s="291"/>
      <c r="HK34" s="291"/>
      <c r="HL34" s="291"/>
      <c r="HM34" s="291"/>
      <c r="HN34" s="291"/>
      <c r="HO34" s="291"/>
      <c r="HP34" s="291"/>
      <c r="HQ34" s="36"/>
      <c r="HR34" s="291"/>
      <c r="HS34" s="291"/>
      <c r="HT34" s="291"/>
      <c r="HU34" s="291"/>
      <c r="HV34" s="291"/>
      <c r="HW34" s="291"/>
      <c r="HX34" s="291"/>
      <c r="HY34" s="291"/>
      <c r="HZ34" s="291"/>
      <c r="IA34" s="291"/>
      <c r="IB34" s="291"/>
      <c r="IC34" s="36"/>
      <c r="ID34" s="291"/>
      <c r="IE34" s="291"/>
      <c r="IF34" s="291"/>
      <c r="IG34" s="291"/>
      <c r="IH34" s="291"/>
      <c r="II34" s="291"/>
      <c r="IJ34" s="291"/>
      <c r="IK34" s="291"/>
      <c r="IL34" s="291"/>
      <c r="IM34" s="291"/>
      <c r="IN34" s="291"/>
      <c r="IO34" s="36"/>
      <c r="IP34" s="291"/>
      <c r="IQ34" s="291"/>
      <c r="IR34" s="291"/>
    </row>
    <row r="35" spans="1:252" s="38" customFormat="1" ht="14.25">
      <c r="A35" s="35" t="s">
        <v>1022</v>
      </c>
      <c r="B35" s="291">
        <v>2.2999999999999998</v>
      </c>
      <c r="C35" s="291">
        <v>3.6</v>
      </c>
      <c r="D35" s="291">
        <v>2.2000000000000002</v>
      </c>
      <c r="E35" s="291">
        <v>3.3</v>
      </c>
      <c r="F35" s="291">
        <v>4.5</v>
      </c>
      <c r="G35" s="291">
        <v>2.8</v>
      </c>
      <c r="H35" s="291">
        <v>2.6</v>
      </c>
      <c r="I35" s="291">
        <v>1.5</v>
      </c>
      <c r="J35" s="291">
        <v>0.4</v>
      </c>
      <c r="K35" s="291">
        <v>1.6</v>
      </c>
      <c r="L35" s="295"/>
      <c r="M35" s="295"/>
      <c r="N35" s="295"/>
      <c r="O35" s="295"/>
      <c r="P35" s="295"/>
      <c r="Q35" s="295"/>
      <c r="R35" s="295"/>
      <c r="S35" s="295"/>
      <c r="T35" s="295"/>
      <c r="U35" s="34"/>
      <c r="V35" s="295"/>
      <c r="W35" s="295"/>
      <c r="X35" s="295"/>
      <c r="Y35" s="295"/>
      <c r="Z35" s="295"/>
      <c r="AA35" s="295"/>
      <c r="AB35" s="295"/>
      <c r="AC35" s="295"/>
      <c r="AD35" s="295"/>
      <c r="AE35" s="295"/>
      <c r="AF35" s="295"/>
      <c r="AG35" s="34"/>
      <c r="AH35" s="295"/>
      <c r="AI35" s="295"/>
      <c r="AJ35" s="295"/>
      <c r="AK35" s="295"/>
      <c r="AL35" s="295"/>
      <c r="AM35" s="295"/>
      <c r="AN35" s="295"/>
      <c r="AO35" s="295"/>
      <c r="AP35" s="295"/>
      <c r="AQ35" s="295"/>
      <c r="AR35" s="295"/>
      <c r="AS35" s="34"/>
      <c r="AT35" s="295"/>
      <c r="AU35" s="295"/>
      <c r="AV35" s="295"/>
      <c r="AW35" s="295"/>
      <c r="AX35" s="295"/>
      <c r="AY35" s="295"/>
      <c r="AZ35" s="295"/>
      <c r="BA35" s="295"/>
      <c r="BB35" s="295"/>
      <c r="BC35" s="295"/>
      <c r="BD35" s="295"/>
      <c r="BE35" s="34"/>
      <c r="BF35" s="295"/>
      <c r="BG35" s="295"/>
      <c r="BH35" s="295"/>
      <c r="BI35" s="295"/>
      <c r="BJ35" s="295"/>
      <c r="BK35" s="295"/>
      <c r="BL35" s="295"/>
      <c r="BM35" s="295"/>
      <c r="BN35" s="295"/>
      <c r="BO35" s="295"/>
      <c r="BP35" s="295"/>
      <c r="BQ35" s="34"/>
      <c r="BR35" s="295"/>
      <c r="BS35" s="295"/>
      <c r="BT35" s="295"/>
      <c r="BU35" s="295"/>
      <c r="BV35" s="295"/>
      <c r="BW35" s="295"/>
      <c r="BX35" s="295"/>
      <c r="BY35" s="295"/>
      <c r="BZ35" s="295"/>
      <c r="CA35" s="295"/>
      <c r="CB35" s="295"/>
      <c r="CC35" s="34"/>
      <c r="CD35" s="295"/>
      <c r="CE35" s="295"/>
      <c r="CF35" s="295"/>
      <c r="CG35" s="295"/>
      <c r="CH35" s="295"/>
      <c r="CI35" s="295"/>
      <c r="CJ35" s="295"/>
      <c r="CK35" s="295"/>
      <c r="CL35" s="295"/>
      <c r="CM35" s="295"/>
      <c r="CN35" s="295"/>
      <c r="CO35" s="34"/>
      <c r="CP35" s="295"/>
      <c r="CQ35" s="295"/>
      <c r="CR35" s="295"/>
      <c r="CS35" s="295"/>
      <c r="CT35" s="295"/>
      <c r="CU35" s="295"/>
      <c r="CV35" s="295"/>
      <c r="CW35" s="295"/>
      <c r="CX35" s="295"/>
      <c r="CY35" s="295"/>
      <c r="CZ35" s="295"/>
      <c r="DA35" s="34"/>
      <c r="DB35" s="295"/>
      <c r="DC35" s="295"/>
      <c r="DD35" s="295"/>
      <c r="DE35" s="295"/>
      <c r="DF35" s="295"/>
      <c r="DG35" s="295"/>
      <c r="DH35" s="295"/>
      <c r="DI35" s="295"/>
      <c r="DJ35" s="295"/>
      <c r="DK35" s="295"/>
      <c r="DL35" s="295"/>
      <c r="DM35" s="34"/>
      <c r="DN35" s="295"/>
      <c r="DO35" s="295"/>
      <c r="DP35" s="295"/>
      <c r="DQ35" s="295"/>
      <c r="DR35" s="295"/>
      <c r="DS35" s="295"/>
      <c r="DT35" s="295"/>
      <c r="DU35" s="295"/>
      <c r="DV35" s="295"/>
      <c r="DW35" s="295"/>
      <c r="DX35" s="295"/>
      <c r="DY35" s="34"/>
      <c r="DZ35" s="295"/>
      <c r="EA35" s="295"/>
      <c r="EB35" s="295"/>
      <c r="EC35" s="295"/>
      <c r="ED35" s="295"/>
      <c r="EE35" s="295"/>
      <c r="EF35" s="295"/>
      <c r="EG35" s="295"/>
      <c r="EH35" s="295"/>
      <c r="EI35" s="295"/>
      <c r="EJ35" s="295"/>
      <c r="EK35" s="34"/>
      <c r="EL35" s="295"/>
      <c r="EM35" s="295"/>
      <c r="EN35" s="295"/>
      <c r="EO35" s="295"/>
      <c r="EP35" s="295"/>
      <c r="EQ35" s="295"/>
      <c r="ER35" s="295"/>
      <c r="ES35" s="295"/>
      <c r="ET35" s="295"/>
      <c r="EU35" s="295"/>
      <c r="EV35" s="295"/>
      <c r="EW35" s="34"/>
      <c r="EX35" s="295"/>
      <c r="EY35" s="295"/>
      <c r="EZ35" s="295"/>
      <c r="FA35" s="295"/>
      <c r="FB35" s="295"/>
      <c r="FC35" s="295"/>
      <c r="FD35" s="295"/>
      <c r="FE35" s="295"/>
      <c r="FF35" s="295"/>
      <c r="FG35" s="295"/>
      <c r="FH35" s="295"/>
      <c r="FI35" s="34"/>
      <c r="FJ35" s="295"/>
      <c r="FK35" s="295"/>
      <c r="FL35" s="295"/>
      <c r="FM35" s="295"/>
      <c r="FN35" s="295"/>
      <c r="FO35" s="295"/>
      <c r="FP35" s="295"/>
      <c r="FQ35" s="295"/>
      <c r="FR35" s="295"/>
      <c r="FS35" s="295"/>
      <c r="FT35" s="295"/>
      <c r="FU35" s="34"/>
      <c r="FV35" s="295"/>
      <c r="FW35" s="295"/>
      <c r="FX35" s="295"/>
      <c r="FY35" s="295"/>
      <c r="FZ35" s="295"/>
      <c r="GA35" s="295"/>
      <c r="GB35" s="295"/>
      <c r="GC35" s="295"/>
      <c r="GD35" s="295"/>
      <c r="GE35" s="295"/>
      <c r="GF35" s="295"/>
      <c r="GG35" s="34"/>
      <c r="GH35" s="295"/>
      <c r="GI35" s="295"/>
      <c r="GJ35" s="295"/>
      <c r="GK35" s="295"/>
      <c r="GL35" s="295"/>
      <c r="GM35" s="295"/>
      <c r="GN35" s="295"/>
      <c r="GO35" s="295"/>
      <c r="GP35" s="295"/>
      <c r="GQ35" s="295"/>
      <c r="GR35" s="295"/>
      <c r="GS35" s="34"/>
      <c r="GT35" s="295"/>
      <c r="GU35" s="295"/>
      <c r="GV35" s="295"/>
      <c r="GW35" s="295"/>
      <c r="GX35" s="295"/>
      <c r="GY35" s="295"/>
      <c r="GZ35" s="295"/>
      <c r="HA35" s="295"/>
      <c r="HB35" s="295"/>
      <c r="HC35" s="295"/>
      <c r="HD35" s="295"/>
      <c r="HE35" s="34"/>
      <c r="HF35" s="295"/>
      <c r="HG35" s="295"/>
      <c r="HH35" s="295"/>
      <c r="HI35" s="295"/>
      <c r="HJ35" s="295"/>
      <c r="HK35" s="295"/>
      <c r="HL35" s="295"/>
      <c r="HM35" s="295"/>
      <c r="HN35" s="295"/>
      <c r="HO35" s="295"/>
      <c r="HP35" s="295"/>
      <c r="HQ35" s="34"/>
      <c r="HR35" s="295"/>
      <c r="HS35" s="295"/>
      <c r="HT35" s="295"/>
      <c r="HU35" s="295"/>
      <c r="HV35" s="295"/>
      <c r="HW35" s="295"/>
      <c r="HX35" s="295"/>
      <c r="HY35" s="295"/>
      <c r="HZ35" s="295"/>
      <c r="IA35" s="295"/>
      <c r="IB35" s="295"/>
      <c r="IC35" s="34"/>
      <c r="ID35" s="295"/>
      <c r="IE35" s="295"/>
      <c r="IF35" s="295"/>
      <c r="IG35" s="295"/>
      <c r="IH35" s="295"/>
      <c r="II35" s="295"/>
      <c r="IJ35" s="295"/>
      <c r="IK35" s="295"/>
      <c r="IL35" s="295"/>
      <c r="IM35" s="295"/>
      <c r="IN35" s="295"/>
      <c r="IO35" s="34"/>
      <c r="IP35" s="295"/>
      <c r="IQ35" s="295"/>
      <c r="IR35" s="295"/>
    </row>
    <row r="36" spans="1:252" s="5" customFormat="1" ht="14.25">
      <c r="A36" s="34" t="s">
        <v>817</v>
      </c>
      <c r="B36" s="295">
        <v>2.4</v>
      </c>
      <c r="C36" s="295">
        <v>3.7</v>
      </c>
      <c r="D36" s="295">
        <v>1</v>
      </c>
      <c r="E36" s="295">
        <v>2.1</v>
      </c>
      <c r="F36" s="295">
        <v>3.1</v>
      </c>
      <c r="G36" s="296">
        <v>2.6</v>
      </c>
      <c r="H36" s="295">
        <v>1.5</v>
      </c>
      <c r="I36" s="295">
        <v>0.6</v>
      </c>
      <c r="J36" s="295">
        <v>0.1</v>
      </c>
      <c r="K36" s="295">
        <v>1.5</v>
      </c>
      <c r="L36" s="291"/>
      <c r="M36" s="291"/>
      <c r="N36" s="291"/>
      <c r="O36" s="291"/>
      <c r="P36" s="292"/>
      <c r="Q36" s="292"/>
      <c r="R36" s="292"/>
      <c r="S36" s="292"/>
      <c r="T36" s="292"/>
      <c r="U36" s="35"/>
      <c r="V36" s="291"/>
      <c r="W36" s="291"/>
      <c r="X36" s="291"/>
      <c r="Y36" s="291"/>
      <c r="Z36" s="291"/>
      <c r="AA36" s="291"/>
      <c r="AB36" s="292"/>
      <c r="AC36" s="292"/>
      <c r="AD36" s="292"/>
      <c r="AE36" s="292"/>
      <c r="AF36" s="292"/>
      <c r="AG36" s="35"/>
      <c r="AH36" s="291"/>
      <c r="AI36" s="291"/>
      <c r="AJ36" s="291"/>
      <c r="AK36" s="291"/>
      <c r="AL36" s="291"/>
      <c r="AM36" s="291"/>
      <c r="AN36" s="292"/>
      <c r="AO36" s="292"/>
      <c r="AP36" s="292"/>
      <c r="AQ36" s="292"/>
      <c r="AR36" s="292"/>
      <c r="AS36" s="35"/>
      <c r="AT36" s="291"/>
      <c r="AU36" s="291"/>
      <c r="AV36" s="291"/>
      <c r="AW36" s="291"/>
      <c r="AX36" s="291"/>
      <c r="AY36" s="291"/>
      <c r="AZ36" s="292"/>
      <c r="BA36" s="292"/>
      <c r="BB36" s="292"/>
      <c r="BC36" s="292"/>
      <c r="BD36" s="292"/>
      <c r="BE36" s="35"/>
      <c r="BF36" s="291"/>
      <c r="BG36" s="291"/>
      <c r="BH36" s="291"/>
      <c r="BI36" s="291"/>
      <c r="BJ36" s="291"/>
      <c r="BK36" s="291"/>
      <c r="BL36" s="292"/>
      <c r="BM36" s="292"/>
      <c r="BN36" s="292"/>
      <c r="BO36" s="292"/>
      <c r="BP36" s="292"/>
      <c r="BQ36" s="35"/>
      <c r="BR36" s="291"/>
      <c r="BS36" s="291"/>
      <c r="BT36" s="291"/>
      <c r="BU36" s="291"/>
      <c r="BV36" s="291"/>
      <c r="BW36" s="291"/>
      <c r="BX36" s="292"/>
      <c r="BY36" s="292"/>
      <c r="BZ36" s="292"/>
      <c r="CA36" s="292"/>
      <c r="CB36" s="292"/>
      <c r="CC36" s="35"/>
      <c r="CD36" s="291"/>
      <c r="CE36" s="291"/>
      <c r="CF36" s="291"/>
      <c r="CG36" s="291"/>
      <c r="CH36" s="291"/>
      <c r="CI36" s="291"/>
      <c r="CJ36" s="292"/>
      <c r="CK36" s="292"/>
      <c r="CL36" s="292"/>
      <c r="CM36" s="292"/>
      <c r="CN36" s="292"/>
      <c r="CO36" s="35"/>
      <c r="CP36" s="291"/>
      <c r="CQ36" s="291"/>
      <c r="CR36" s="291"/>
      <c r="CS36" s="291"/>
      <c r="CT36" s="291"/>
      <c r="CU36" s="291"/>
      <c r="CV36" s="292"/>
      <c r="CW36" s="292"/>
      <c r="CX36" s="292"/>
      <c r="CY36" s="292"/>
      <c r="CZ36" s="292"/>
      <c r="DA36" s="35"/>
      <c r="DB36" s="291"/>
      <c r="DC36" s="291"/>
      <c r="DD36" s="291"/>
      <c r="DE36" s="291"/>
      <c r="DF36" s="291"/>
      <c r="DG36" s="291"/>
      <c r="DH36" s="292"/>
      <c r="DI36" s="292"/>
      <c r="DJ36" s="292"/>
      <c r="DK36" s="292"/>
      <c r="DL36" s="292"/>
      <c r="DM36" s="35"/>
      <c r="DN36" s="291"/>
      <c r="DO36" s="291"/>
      <c r="DP36" s="291"/>
      <c r="DQ36" s="291"/>
      <c r="DR36" s="291"/>
      <c r="DS36" s="291"/>
      <c r="DT36" s="292"/>
      <c r="DU36" s="292"/>
      <c r="DV36" s="292"/>
      <c r="DW36" s="292"/>
      <c r="DX36" s="292"/>
      <c r="DY36" s="35"/>
      <c r="DZ36" s="291"/>
      <c r="EA36" s="291"/>
      <c r="EB36" s="291"/>
      <c r="EC36" s="291"/>
      <c r="ED36" s="291"/>
      <c r="EE36" s="291"/>
      <c r="EF36" s="292"/>
      <c r="EG36" s="292"/>
      <c r="EH36" s="292"/>
      <c r="EI36" s="292"/>
      <c r="EJ36" s="292"/>
      <c r="EK36" s="35"/>
      <c r="EL36" s="291"/>
      <c r="EM36" s="291"/>
      <c r="EN36" s="291"/>
      <c r="EO36" s="291"/>
      <c r="EP36" s="291"/>
      <c r="EQ36" s="291"/>
      <c r="ER36" s="292"/>
      <c r="ES36" s="292"/>
      <c r="ET36" s="292"/>
      <c r="EU36" s="292"/>
      <c r="EV36" s="292"/>
      <c r="EW36" s="35"/>
      <c r="EX36" s="291"/>
      <c r="EY36" s="291"/>
      <c r="EZ36" s="291"/>
      <c r="FA36" s="291"/>
      <c r="FB36" s="291"/>
      <c r="FC36" s="291"/>
      <c r="FD36" s="292"/>
      <c r="FE36" s="292"/>
      <c r="FF36" s="292"/>
      <c r="FG36" s="292"/>
      <c r="FH36" s="292"/>
      <c r="FI36" s="35"/>
      <c r="FJ36" s="291"/>
      <c r="FK36" s="291"/>
      <c r="FL36" s="291"/>
      <c r="FM36" s="291"/>
      <c r="FN36" s="291"/>
      <c r="FO36" s="291"/>
      <c r="FP36" s="292"/>
      <c r="FQ36" s="292"/>
      <c r="FR36" s="292"/>
      <c r="FS36" s="292"/>
      <c r="FT36" s="292"/>
      <c r="FU36" s="35"/>
      <c r="FV36" s="291"/>
      <c r="FW36" s="291"/>
      <c r="FX36" s="291"/>
      <c r="FY36" s="291"/>
      <c r="FZ36" s="291"/>
      <c r="GA36" s="291"/>
      <c r="GB36" s="292"/>
      <c r="GC36" s="292"/>
      <c r="GD36" s="292"/>
      <c r="GE36" s="292"/>
      <c r="GF36" s="292"/>
      <c r="GG36" s="35"/>
      <c r="GH36" s="291"/>
      <c r="GI36" s="291"/>
      <c r="GJ36" s="291"/>
      <c r="GK36" s="291"/>
      <c r="GL36" s="291"/>
      <c r="GM36" s="291"/>
      <c r="GN36" s="292"/>
      <c r="GO36" s="292"/>
      <c r="GP36" s="292"/>
      <c r="GQ36" s="292"/>
      <c r="GR36" s="292"/>
      <c r="GS36" s="35"/>
      <c r="GT36" s="291"/>
      <c r="GU36" s="291"/>
      <c r="GV36" s="291"/>
      <c r="GW36" s="291"/>
      <c r="GX36" s="291"/>
      <c r="GY36" s="291"/>
      <c r="GZ36" s="292"/>
      <c r="HA36" s="292"/>
      <c r="HB36" s="292"/>
      <c r="HC36" s="292"/>
      <c r="HD36" s="292"/>
      <c r="HE36" s="35"/>
      <c r="HF36" s="291"/>
      <c r="HG36" s="291"/>
      <c r="HH36" s="291"/>
      <c r="HI36" s="291"/>
      <c r="HJ36" s="291"/>
      <c r="HK36" s="291"/>
      <c r="HL36" s="292"/>
      <c r="HM36" s="292"/>
      <c r="HN36" s="292"/>
      <c r="HO36" s="292"/>
      <c r="HP36" s="292"/>
      <c r="HQ36" s="35"/>
      <c r="HR36" s="291"/>
      <c r="HS36" s="291"/>
      <c r="HT36" s="291"/>
      <c r="HU36" s="291"/>
      <c r="HV36" s="291"/>
      <c r="HW36" s="291"/>
      <c r="HX36" s="292"/>
      <c r="HY36" s="292"/>
      <c r="HZ36" s="292"/>
      <c r="IA36" s="292"/>
      <c r="IB36" s="292"/>
      <c r="IC36" s="35"/>
      <c r="ID36" s="291"/>
      <c r="IE36" s="291"/>
      <c r="IF36" s="291"/>
      <c r="IG36" s="291"/>
      <c r="IH36" s="291"/>
      <c r="II36" s="291"/>
      <c r="IJ36" s="292"/>
      <c r="IK36" s="292"/>
      <c r="IL36" s="292"/>
      <c r="IM36" s="292"/>
      <c r="IN36" s="292"/>
      <c r="IO36" s="35"/>
      <c r="IP36" s="291"/>
      <c r="IQ36" s="291"/>
      <c r="IR36" s="291"/>
    </row>
    <row r="37" spans="1:252" s="5" customFormat="1" ht="14.25">
      <c r="A37" s="35" t="s">
        <v>2</v>
      </c>
      <c r="B37" s="291">
        <v>2.8</v>
      </c>
      <c r="C37" s="397">
        <v>3.8</v>
      </c>
      <c r="D37" s="397">
        <v>-0.4</v>
      </c>
      <c r="E37" s="397">
        <v>1.6</v>
      </c>
      <c r="F37" s="397">
        <v>3.2</v>
      </c>
      <c r="G37" s="397">
        <v>2.1</v>
      </c>
      <c r="H37" s="291">
        <v>1.5</v>
      </c>
      <c r="I37" s="291">
        <v>1.6</v>
      </c>
      <c r="J37" s="291">
        <v>0.4</v>
      </c>
      <c r="K37" s="291">
        <v>2.2000000000000002</v>
      </c>
      <c r="L37" s="291"/>
      <c r="M37" s="291"/>
      <c r="N37" s="291"/>
      <c r="O37" s="291"/>
      <c r="P37" s="292"/>
      <c r="Q37" s="292"/>
      <c r="R37" s="292"/>
      <c r="S37" s="292"/>
      <c r="T37" s="292"/>
      <c r="U37" s="35"/>
      <c r="V37" s="291"/>
      <c r="W37" s="291"/>
      <c r="X37" s="291"/>
      <c r="Y37" s="291"/>
      <c r="Z37" s="291"/>
      <c r="AA37" s="291"/>
      <c r="AB37" s="292"/>
      <c r="AC37" s="292"/>
      <c r="AD37" s="292"/>
      <c r="AE37" s="292"/>
      <c r="AF37" s="292"/>
      <c r="AG37" s="35"/>
      <c r="AH37" s="291"/>
      <c r="AI37" s="291"/>
      <c r="AJ37" s="291"/>
      <c r="AK37" s="291"/>
      <c r="AL37" s="291"/>
      <c r="AM37" s="291"/>
      <c r="AN37" s="292"/>
      <c r="AO37" s="292"/>
      <c r="AP37" s="292"/>
      <c r="AQ37" s="292"/>
      <c r="AR37" s="292"/>
      <c r="AS37" s="35"/>
      <c r="AT37" s="291"/>
      <c r="AU37" s="291"/>
      <c r="AV37" s="291"/>
      <c r="AW37" s="291"/>
      <c r="AX37" s="291"/>
      <c r="AY37" s="291"/>
      <c r="AZ37" s="292"/>
      <c r="BA37" s="292"/>
      <c r="BB37" s="292"/>
      <c r="BC37" s="292"/>
      <c r="BD37" s="292"/>
      <c r="BE37" s="35"/>
      <c r="BF37" s="291"/>
      <c r="BG37" s="291"/>
      <c r="BH37" s="291"/>
      <c r="BI37" s="291"/>
      <c r="BJ37" s="291"/>
      <c r="BK37" s="291"/>
      <c r="BL37" s="292"/>
      <c r="BM37" s="292"/>
      <c r="BN37" s="292"/>
      <c r="BO37" s="292"/>
      <c r="BP37" s="292"/>
      <c r="BQ37" s="35"/>
      <c r="BR37" s="291"/>
      <c r="BS37" s="291"/>
      <c r="BT37" s="291"/>
      <c r="BU37" s="291"/>
      <c r="BV37" s="291"/>
      <c r="BW37" s="291"/>
      <c r="BX37" s="292"/>
      <c r="BY37" s="292"/>
      <c r="BZ37" s="292"/>
      <c r="CA37" s="292"/>
      <c r="CB37" s="292"/>
      <c r="CC37" s="35"/>
      <c r="CD37" s="291"/>
      <c r="CE37" s="291"/>
      <c r="CF37" s="291"/>
      <c r="CG37" s="291"/>
      <c r="CH37" s="291"/>
      <c r="CI37" s="291"/>
      <c r="CJ37" s="292"/>
      <c r="CK37" s="292"/>
      <c r="CL37" s="292"/>
      <c r="CM37" s="292"/>
      <c r="CN37" s="292"/>
      <c r="CO37" s="35"/>
      <c r="CP37" s="291"/>
      <c r="CQ37" s="291"/>
      <c r="CR37" s="291"/>
      <c r="CS37" s="291"/>
      <c r="CT37" s="291"/>
      <c r="CU37" s="291"/>
      <c r="CV37" s="292"/>
      <c r="CW37" s="292"/>
      <c r="CX37" s="292"/>
      <c r="CY37" s="292"/>
      <c r="CZ37" s="292"/>
      <c r="DA37" s="35"/>
      <c r="DB37" s="291"/>
      <c r="DC37" s="291"/>
      <c r="DD37" s="291"/>
      <c r="DE37" s="291"/>
      <c r="DF37" s="291"/>
      <c r="DG37" s="291"/>
      <c r="DH37" s="292"/>
      <c r="DI37" s="292"/>
      <c r="DJ37" s="292"/>
      <c r="DK37" s="292"/>
      <c r="DL37" s="292"/>
      <c r="DM37" s="35"/>
      <c r="DN37" s="291"/>
      <c r="DO37" s="291"/>
      <c r="DP37" s="291"/>
      <c r="DQ37" s="291"/>
      <c r="DR37" s="291"/>
      <c r="DS37" s="291"/>
      <c r="DT37" s="292"/>
      <c r="DU37" s="292"/>
      <c r="DV37" s="292"/>
      <c r="DW37" s="292"/>
      <c r="DX37" s="292"/>
      <c r="DY37" s="35"/>
      <c r="DZ37" s="291"/>
      <c r="EA37" s="291"/>
      <c r="EB37" s="291"/>
      <c r="EC37" s="291"/>
      <c r="ED37" s="291"/>
      <c r="EE37" s="291"/>
      <c r="EF37" s="292"/>
      <c r="EG37" s="292"/>
      <c r="EH37" s="292"/>
      <c r="EI37" s="292"/>
      <c r="EJ37" s="292"/>
      <c r="EK37" s="35"/>
      <c r="EL37" s="291"/>
      <c r="EM37" s="291"/>
      <c r="EN37" s="291"/>
      <c r="EO37" s="291"/>
      <c r="EP37" s="291"/>
      <c r="EQ37" s="291"/>
      <c r="ER37" s="292"/>
      <c r="ES37" s="292"/>
      <c r="ET37" s="292"/>
      <c r="EU37" s="292"/>
      <c r="EV37" s="292"/>
      <c r="EW37" s="35"/>
      <c r="EX37" s="291"/>
      <c r="EY37" s="291"/>
      <c r="EZ37" s="291"/>
      <c r="FA37" s="291"/>
      <c r="FB37" s="291"/>
      <c r="FC37" s="291"/>
      <c r="FD37" s="292"/>
      <c r="FE37" s="292"/>
      <c r="FF37" s="292"/>
      <c r="FG37" s="292"/>
      <c r="FH37" s="292"/>
      <c r="FI37" s="35"/>
      <c r="FJ37" s="291"/>
      <c r="FK37" s="291"/>
      <c r="FL37" s="291"/>
      <c r="FM37" s="291"/>
      <c r="FN37" s="291"/>
      <c r="FO37" s="291"/>
      <c r="FP37" s="292"/>
      <c r="FQ37" s="292"/>
      <c r="FR37" s="292"/>
      <c r="FS37" s="292"/>
      <c r="FT37" s="292"/>
      <c r="FU37" s="35"/>
      <c r="FV37" s="291"/>
      <c r="FW37" s="291"/>
      <c r="FX37" s="291"/>
      <c r="FY37" s="291"/>
      <c r="FZ37" s="291"/>
      <c r="GA37" s="291"/>
      <c r="GB37" s="292"/>
      <c r="GC37" s="292"/>
      <c r="GD37" s="292"/>
      <c r="GE37" s="292"/>
      <c r="GF37" s="292"/>
      <c r="GG37" s="35"/>
      <c r="GH37" s="291"/>
      <c r="GI37" s="291"/>
      <c r="GJ37" s="291"/>
      <c r="GK37" s="291"/>
      <c r="GL37" s="291"/>
      <c r="GM37" s="291"/>
      <c r="GN37" s="292"/>
      <c r="GO37" s="292"/>
      <c r="GP37" s="292"/>
      <c r="GQ37" s="292"/>
      <c r="GR37" s="292"/>
      <c r="GS37" s="35"/>
      <c r="GT37" s="291"/>
      <c r="GU37" s="291"/>
      <c r="GV37" s="291"/>
      <c r="GW37" s="291"/>
      <c r="GX37" s="291"/>
      <c r="GY37" s="291"/>
      <c r="GZ37" s="292"/>
      <c r="HA37" s="292"/>
      <c r="HB37" s="292"/>
      <c r="HC37" s="292"/>
      <c r="HD37" s="292"/>
      <c r="HE37" s="35"/>
      <c r="HF37" s="291"/>
      <c r="HG37" s="291"/>
      <c r="HH37" s="291"/>
      <c r="HI37" s="291"/>
      <c r="HJ37" s="291"/>
      <c r="HK37" s="291"/>
      <c r="HL37" s="292"/>
      <c r="HM37" s="292"/>
      <c r="HN37" s="292"/>
      <c r="HO37" s="292"/>
      <c r="HP37" s="292"/>
      <c r="HQ37" s="35"/>
      <c r="HR37" s="291"/>
      <c r="HS37" s="291"/>
      <c r="HT37" s="291"/>
      <c r="HU37" s="291"/>
      <c r="HV37" s="291"/>
      <c r="HW37" s="291"/>
      <c r="HX37" s="292"/>
      <c r="HY37" s="292"/>
      <c r="HZ37" s="292"/>
      <c r="IA37" s="292"/>
      <c r="IB37" s="292"/>
      <c r="IC37" s="35"/>
      <c r="ID37" s="291"/>
      <c r="IE37" s="291"/>
      <c r="IF37" s="291"/>
      <c r="IG37" s="291"/>
      <c r="IH37" s="291"/>
      <c r="II37" s="291"/>
      <c r="IJ37" s="292"/>
      <c r="IK37" s="292"/>
      <c r="IL37" s="292"/>
      <c r="IM37" s="292"/>
      <c r="IN37" s="292"/>
      <c r="IO37" s="35"/>
      <c r="IP37" s="291"/>
      <c r="IQ37" s="291"/>
      <c r="IR37" s="291"/>
    </row>
    <row r="38" spans="1:252" s="5" customFormat="1" ht="14.25">
      <c r="A38" s="35" t="s">
        <v>763</v>
      </c>
      <c r="B38" s="389">
        <v>0.8</v>
      </c>
      <c r="C38" s="389">
        <v>2.2999999999999998</v>
      </c>
      <c r="D38" s="389">
        <v>-0.7</v>
      </c>
      <c r="E38" s="389">
        <v>0.6</v>
      </c>
      <c r="F38" s="389">
        <v>0.1</v>
      </c>
      <c r="G38" s="389">
        <v>-0.7</v>
      </c>
      <c r="H38" s="389">
        <v>0.1</v>
      </c>
      <c r="I38" s="291">
        <v>0</v>
      </c>
      <c r="J38" s="291">
        <v>-1</v>
      </c>
      <c r="K38" s="291">
        <v>-0.7</v>
      </c>
      <c r="L38" s="291"/>
      <c r="M38" s="291"/>
      <c r="N38" s="291"/>
      <c r="O38" s="291"/>
      <c r="P38" s="292"/>
      <c r="Q38" s="292"/>
      <c r="R38" s="292"/>
      <c r="S38" s="292"/>
      <c r="T38" s="292"/>
      <c r="U38" s="35"/>
      <c r="V38" s="291"/>
      <c r="W38" s="291"/>
      <c r="X38" s="291"/>
      <c r="Y38" s="291"/>
      <c r="Z38" s="291"/>
      <c r="AA38" s="291"/>
      <c r="AB38" s="292"/>
      <c r="AC38" s="292"/>
      <c r="AD38" s="292"/>
      <c r="AE38" s="292"/>
      <c r="AF38" s="292"/>
      <c r="AG38" s="35"/>
      <c r="AH38" s="291"/>
      <c r="AI38" s="291"/>
      <c r="AJ38" s="291"/>
      <c r="AK38" s="291"/>
      <c r="AL38" s="291"/>
      <c r="AM38" s="291"/>
      <c r="AN38" s="292"/>
      <c r="AO38" s="292"/>
      <c r="AP38" s="292"/>
      <c r="AQ38" s="292"/>
      <c r="AR38" s="292"/>
      <c r="AS38" s="35"/>
      <c r="AT38" s="291"/>
      <c r="AU38" s="291"/>
      <c r="AV38" s="291"/>
      <c r="AW38" s="291"/>
      <c r="AX38" s="291"/>
      <c r="AY38" s="291"/>
      <c r="AZ38" s="292"/>
      <c r="BA38" s="292"/>
      <c r="BB38" s="292"/>
      <c r="BC38" s="292"/>
      <c r="BD38" s="292"/>
      <c r="BE38" s="35"/>
      <c r="BF38" s="291"/>
      <c r="BG38" s="291"/>
      <c r="BH38" s="291"/>
      <c r="BI38" s="291"/>
      <c r="BJ38" s="291"/>
      <c r="BK38" s="291"/>
      <c r="BL38" s="292"/>
      <c r="BM38" s="292"/>
      <c r="BN38" s="292"/>
      <c r="BO38" s="292"/>
      <c r="BP38" s="292"/>
      <c r="BQ38" s="35"/>
      <c r="BR38" s="291"/>
      <c r="BS38" s="291"/>
      <c r="BT38" s="291"/>
      <c r="BU38" s="291"/>
      <c r="BV38" s="291"/>
      <c r="BW38" s="291"/>
      <c r="BX38" s="292"/>
      <c r="BY38" s="292"/>
      <c r="BZ38" s="292"/>
      <c r="CA38" s="292"/>
      <c r="CB38" s="292"/>
      <c r="CC38" s="35"/>
      <c r="CD38" s="291"/>
      <c r="CE38" s="291"/>
      <c r="CF38" s="291"/>
      <c r="CG38" s="291"/>
      <c r="CH38" s="291"/>
      <c r="CI38" s="291"/>
      <c r="CJ38" s="292"/>
      <c r="CK38" s="292"/>
      <c r="CL38" s="292"/>
      <c r="CM38" s="292"/>
      <c r="CN38" s="292"/>
      <c r="CO38" s="35"/>
      <c r="CP38" s="291"/>
      <c r="CQ38" s="291"/>
      <c r="CR38" s="291"/>
      <c r="CS38" s="291"/>
      <c r="CT38" s="291"/>
      <c r="CU38" s="291"/>
      <c r="CV38" s="292"/>
      <c r="CW38" s="292"/>
      <c r="CX38" s="292"/>
      <c r="CY38" s="292"/>
      <c r="CZ38" s="292"/>
      <c r="DA38" s="35"/>
      <c r="DB38" s="291"/>
      <c r="DC38" s="291"/>
      <c r="DD38" s="291"/>
      <c r="DE38" s="291"/>
      <c r="DF38" s="291"/>
      <c r="DG38" s="291"/>
      <c r="DH38" s="292"/>
      <c r="DI38" s="292"/>
      <c r="DJ38" s="292"/>
      <c r="DK38" s="292"/>
      <c r="DL38" s="292"/>
      <c r="DM38" s="35"/>
      <c r="DN38" s="291"/>
      <c r="DO38" s="291"/>
      <c r="DP38" s="291"/>
      <c r="DQ38" s="291"/>
      <c r="DR38" s="291"/>
      <c r="DS38" s="291"/>
      <c r="DT38" s="292"/>
      <c r="DU38" s="292"/>
      <c r="DV38" s="292"/>
      <c r="DW38" s="292"/>
      <c r="DX38" s="292"/>
      <c r="DY38" s="35"/>
      <c r="DZ38" s="291"/>
      <c r="EA38" s="291"/>
      <c r="EB38" s="291"/>
      <c r="EC38" s="291"/>
      <c r="ED38" s="291"/>
      <c r="EE38" s="291"/>
      <c r="EF38" s="292"/>
      <c r="EG38" s="292"/>
      <c r="EH38" s="292"/>
      <c r="EI38" s="292"/>
      <c r="EJ38" s="292"/>
      <c r="EK38" s="35"/>
      <c r="EL38" s="291"/>
      <c r="EM38" s="291"/>
      <c r="EN38" s="291"/>
      <c r="EO38" s="291"/>
      <c r="EP38" s="291"/>
      <c r="EQ38" s="291"/>
      <c r="ER38" s="292"/>
      <c r="ES38" s="292"/>
      <c r="ET38" s="292"/>
      <c r="EU38" s="292"/>
      <c r="EV38" s="292"/>
      <c r="EW38" s="35"/>
      <c r="EX38" s="291"/>
      <c r="EY38" s="291"/>
      <c r="EZ38" s="291"/>
      <c r="FA38" s="291"/>
      <c r="FB38" s="291"/>
      <c r="FC38" s="291"/>
      <c r="FD38" s="292"/>
      <c r="FE38" s="292"/>
      <c r="FF38" s="292"/>
      <c r="FG38" s="292"/>
      <c r="FH38" s="292"/>
      <c r="FI38" s="35"/>
      <c r="FJ38" s="291"/>
      <c r="FK38" s="291"/>
      <c r="FL38" s="291"/>
      <c r="FM38" s="291"/>
      <c r="FN38" s="291"/>
      <c r="FO38" s="291"/>
      <c r="FP38" s="292"/>
      <c r="FQ38" s="292"/>
      <c r="FR38" s="292"/>
      <c r="FS38" s="292"/>
      <c r="FT38" s="292"/>
      <c r="FU38" s="35"/>
      <c r="FV38" s="291"/>
      <c r="FW38" s="291"/>
      <c r="FX38" s="291"/>
      <c r="FY38" s="291"/>
      <c r="FZ38" s="291"/>
      <c r="GA38" s="291"/>
      <c r="GB38" s="292"/>
      <c r="GC38" s="292"/>
      <c r="GD38" s="292"/>
      <c r="GE38" s="292"/>
      <c r="GF38" s="292"/>
      <c r="GG38" s="35"/>
      <c r="GH38" s="291"/>
      <c r="GI38" s="291"/>
      <c r="GJ38" s="291"/>
      <c r="GK38" s="291"/>
      <c r="GL38" s="291"/>
      <c r="GM38" s="291"/>
      <c r="GN38" s="292"/>
      <c r="GO38" s="292"/>
      <c r="GP38" s="292"/>
      <c r="GQ38" s="292"/>
      <c r="GR38" s="292"/>
      <c r="GS38" s="35"/>
      <c r="GT38" s="291"/>
      <c r="GU38" s="291"/>
      <c r="GV38" s="291"/>
      <c r="GW38" s="291"/>
      <c r="GX38" s="291"/>
      <c r="GY38" s="291"/>
      <c r="GZ38" s="292"/>
      <c r="HA38" s="292"/>
      <c r="HB38" s="292"/>
      <c r="HC38" s="292"/>
      <c r="HD38" s="292"/>
      <c r="HE38" s="35"/>
      <c r="HF38" s="291"/>
      <c r="HG38" s="291"/>
      <c r="HH38" s="291"/>
      <c r="HI38" s="291"/>
      <c r="HJ38" s="291"/>
      <c r="HK38" s="291"/>
      <c r="HL38" s="292"/>
      <c r="HM38" s="292"/>
      <c r="HN38" s="292"/>
      <c r="HO38" s="292"/>
      <c r="HP38" s="292"/>
      <c r="HQ38" s="35"/>
      <c r="HR38" s="291"/>
      <c r="HS38" s="291"/>
      <c r="HT38" s="291"/>
      <c r="HU38" s="291"/>
      <c r="HV38" s="291"/>
      <c r="HW38" s="291"/>
      <c r="HX38" s="292"/>
      <c r="HY38" s="292"/>
      <c r="HZ38" s="292"/>
      <c r="IA38" s="292"/>
      <c r="IB38" s="292"/>
      <c r="IC38" s="35"/>
      <c r="ID38" s="291"/>
      <c r="IE38" s="291"/>
      <c r="IF38" s="291"/>
      <c r="IG38" s="291"/>
      <c r="IH38" s="291"/>
      <c r="II38" s="291"/>
      <c r="IJ38" s="292"/>
      <c r="IK38" s="292"/>
      <c r="IL38" s="292"/>
      <c r="IM38" s="292"/>
      <c r="IN38" s="292"/>
      <c r="IO38" s="35"/>
      <c r="IP38" s="291"/>
      <c r="IQ38" s="291"/>
      <c r="IR38" s="291"/>
    </row>
    <row r="39" spans="1:252" s="5" customFormat="1" ht="14.25">
      <c r="A39" s="35" t="s">
        <v>1</v>
      </c>
      <c r="B39" s="389">
        <v>0</v>
      </c>
      <c r="C39" s="389">
        <v>1.4</v>
      </c>
      <c r="D39" s="389">
        <v>-1.4</v>
      </c>
      <c r="E39" s="389">
        <v>-0.7</v>
      </c>
      <c r="F39" s="389">
        <v>-0.3</v>
      </c>
      <c r="G39" s="389">
        <v>0</v>
      </c>
      <c r="H39" s="389">
        <v>0.4</v>
      </c>
      <c r="I39" s="291">
        <v>2.7</v>
      </c>
      <c r="J39" s="291">
        <v>0.5</v>
      </c>
      <c r="K39" s="291">
        <v>0.9</v>
      </c>
      <c r="L39" s="291"/>
      <c r="M39" s="291"/>
      <c r="N39" s="291"/>
      <c r="O39" s="291"/>
      <c r="P39" s="292"/>
      <c r="Q39" s="292"/>
      <c r="R39" s="292"/>
      <c r="S39" s="292"/>
      <c r="T39" s="292"/>
      <c r="U39" s="35"/>
      <c r="V39" s="291"/>
      <c r="W39" s="291"/>
      <c r="X39" s="291"/>
      <c r="Y39" s="291"/>
      <c r="Z39" s="291"/>
      <c r="AA39" s="291"/>
      <c r="AB39" s="292"/>
      <c r="AC39" s="292"/>
      <c r="AD39" s="292"/>
      <c r="AE39" s="292"/>
      <c r="AF39" s="292"/>
      <c r="AG39" s="35"/>
      <c r="AH39" s="291"/>
      <c r="AI39" s="291"/>
      <c r="AJ39" s="291"/>
      <c r="AK39" s="291"/>
      <c r="AL39" s="291"/>
      <c r="AM39" s="291"/>
      <c r="AN39" s="292"/>
      <c r="AO39" s="292"/>
      <c r="AP39" s="292"/>
      <c r="AQ39" s="292"/>
      <c r="AR39" s="292"/>
      <c r="AS39" s="35"/>
      <c r="AT39" s="291"/>
      <c r="AU39" s="291"/>
      <c r="AV39" s="291"/>
      <c r="AW39" s="291"/>
      <c r="AX39" s="291"/>
      <c r="AY39" s="291"/>
      <c r="AZ39" s="292"/>
      <c r="BA39" s="292"/>
      <c r="BB39" s="292"/>
      <c r="BC39" s="292"/>
      <c r="BD39" s="292"/>
      <c r="BE39" s="35"/>
      <c r="BF39" s="291"/>
      <c r="BG39" s="291"/>
      <c r="BH39" s="291"/>
      <c r="BI39" s="291"/>
      <c r="BJ39" s="291"/>
      <c r="BK39" s="291"/>
      <c r="BL39" s="292"/>
      <c r="BM39" s="292"/>
      <c r="BN39" s="292"/>
      <c r="BO39" s="292"/>
      <c r="BP39" s="292"/>
      <c r="BQ39" s="35"/>
      <c r="BR39" s="291"/>
      <c r="BS39" s="291"/>
      <c r="BT39" s="291"/>
      <c r="BU39" s="291"/>
      <c r="BV39" s="291"/>
      <c r="BW39" s="291"/>
      <c r="BX39" s="292"/>
      <c r="BY39" s="292"/>
      <c r="BZ39" s="292"/>
      <c r="CA39" s="292"/>
      <c r="CB39" s="292"/>
      <c r="CC39" s="35"/>
      <c r="CD39" s="291"/>
      <c r="CE39" s="291"/>
      <c r="CF39" s="291"/>
      <c r="CG39" s="291"/>
      <c r="CH39" s="291"/>
      <c r="CI39" s="291"/>
      <c r="CJ39" s="292"/>
      <c r="CK39" s="292"/>
      <c r="CL39" s="292"/>
      <c r="CM39" s="292"/>
      <c r="CN39" s="292"/>
      <c r="CO39" s="35"/>
      <c r="CP39" s="291"/>
      <c r="CQ39" s="291"/>
      <c r="CR39" s="291"/>
      <c r="CS39" s="291"/>
      <c r="CT39" s="291"/>
      <c r="CU39" s="291"/>
      <c r="CV39" s="292"/>
      <c r="CW39" s="292"/>
      <c r="CX39" s="292"/>
      <c r="CY39" s="292"/>
      <c r="CZ39" s="292"/>
      <c r="DA39" s="35"/>
      <c r="DB39" s="291"/>
      <c r="DC39" s="291"/>
      <c r="DD39" s="291"/>
      <c r="DE39" s="291"/>
      <c r="DF39" s="291"/>
      <c r="DG39" s="291"/>
      <c r="DH39" s="292"/>
      <c r="DI39" s="292"/>
      <c r="DJ39" s="292"/>
      <c r="DK39" s="292"/>
      <c r="DL39" s="292"/>
      <c r="DM39" s="35"/>
      <c r="DN39" s="291"/>
      <c r="DO39" s="291"/>
      <c r="DP39" s="291"/>
      <c r="DQ39" s="291"/>
      <c r="DR39" s="291"/>
      <c r="DS39" s="291"/>
      <c r="DT39" s="292"/>
      <c r="DU39" s="292"/>
      <c r="DV39" s="292"/>
      <c r="DW39" s="292"/>
      <c r="DX39" s="292"/>
      <c r="DY39" s="35"/>
      <c r="DZ39" s="291"/>
      <c r="EA39" s="291"/>
      <c r="EB39" s="291"/>
      <c r="EC39" s="291"/>
      <c r="ED39" s="291"/>
      <c r="EE39" s="291"/>
      <c r="EF39" s="292"/>
      <c r="EG39" s="292"/>
      <c r="EH39" s="292"/>
      <c r="EI39" s="292"/>
      <c r="EJ39" s="292"/>
      <c r="EK39" s="35"/>
      <c r="EL39" s="291"/>
      <c r="EM39" s="291"/>
      <c r="EN39" s="291"/>
      <c r="EO39" s="291"/>
      <c r="EP39" s="291"/>
      <c r="EQ39" s="291"/>
      <c r="ER39" s="292"/>
      <c r="ES39" s="292"/>
      <c r="ET39" s="292"/>
      <c r="EU39" s="292"/>
      <c r="EV39" s="292"/>
      <c r="EW39" s="35"/>
      <c r="EX39" s="291"/>
      <c r="EY39" s="291"/>
      <c r="EZ39" s="291"/>
      <c r="FA39" s="291"/>
      <c r="FB39" s="291"/>
      <c r="FC39" s="291"/>
      <c r="FD39" s="292"/>
      <c r="FE39" s="292"/>
      <c r="FF39" s="292"/>
      <c r="FG39" s="292"/>
      <c r="FH39" s="292"/>
      <c r="FI39" s="35"/>
      <c r="FJ39" s="291"/>
      <c r="FK39" s="291"/>
      <c r="FL39" s="291"/>
      <c r="FM39" s="291"/>
      <c r="FN39" s="291"/>
      <c r="FO39" s="291"/>
      <c r="FP39" s="292"/>
      <c r="FQ39" s="292"/>
      <c r="FR39" s="292"/>
      <c r="FS39" s="292"/>
      <c r="FT39" s="292"/>
      <c r="FU39" s="35"/>
      <c r="FV39" s="291"/>
      <c r="FW39" s="291"/>
      <c r="FX39" s="291"/>
      <c r="FY39" s="291"/>
      <c r="FZ39" s="291"/>
      <c r="GA39" s="291"/>
      <c r="GB39" s="292"/>
      <c r="GC39" s="292"/>
      <c r="GD39" s="292"/>
      <c r="GE39" s="292"/>
      <c r="GF39" s="292"/>
      <c r="GG39" s="35"/>
      <c r="GH39" s="291"/>
      <c r="GI39" s="291"/>
      <c r="GJ39" s="291"/>
      <c r="GK39" s="291"/>
      <c r="GL39" s="291"/>
      <c r="GM39" s="291"/>
      <c r="GN39" s="292"/>
      <c r="GO39" s="292"/>
      <c r="GP39" s="292"/>
      <c r="GQ39" s="292"/>
      <c r="GR39" s="292"/>
      <c r="GS39" s="35"/>
      <c r="GT39" s="291"/>
      <c r="GU39" s="291"/>
      <c r="GV39" s="291"/>
      <c r="GW39" s="291"/>
      <c r="GX39" s="291"/>
      <c r="GY39" s="291"/>
      <c r="GZ39" s="292"/>
      <c r="HA39" s="292"/>
      <c r="HB39" s="292"/>
      <c r="HC39" s="292"/>
      <c r="HD39" s="292"/>
      <c r="HE39" s="35"/>
      <c r="HF39" s="291"/>
      <c r="HG39" s="291"/>
      <c r="HH39" s="291"/>
      <c r="HI39" s="291"/>
      <c r="HJ39" s="291"/>
      <c r="HK39" s="291"/>
      <c r="HL39" s="292"/>
      <c r="HM39" s="292"/>
      <c r="HN39" s="292"/>
      <c r="HO39" s="292"/>
      <c r="HP39" s="292"/>
      <c r="HQ39" s="35"/>
      <c r="HR39" s="291"/>
      <c r="HS39" s="291"/>
      <c r="HT39" s="291"/>
      <c r="HU39" s="291"/>
      <c r="HV39" s="291"/>
      <c r="HW39" s="291"/>
      <c r="HX39" s="292"/>
      <c r="HY39" s="292"/>
      <c r="HZ39" s="292"/>
      <c r="IA39" s="292"/>
      <c r="IB39" s="292"/>
      <c r="IC39" s="35"/>
      <c r="ID39" s="291"/>
      <c r="IE39" s="291"/>
      <c r="IF39" s="291"/>
      <c r="IG39" s="291"/>
      <c r="IH39" s="291"/>
      <c r="II39" s="291"/>
      <c r="IJ39" s="292"/>
      <c r="IK39" s="292"/>
      <c r="IL39" s="292"/>
      <c r="IM39" s="292"/>
      <c r="IN39" s="292"/>
      <c r="IO39" s="35"/>
      <c r="IP39" s="291"/>
      <c r="IQ39" s="291"/>
      <c r="IR39" s="291"/>
    </row>
    <row r="40" spans="1:252" s="5" customFormat="1" ht="14.25">
      <c r="A40" s="396"/>
      <c r="B40" s="398"/>
      <c r="C40" s="398"/>
      <c r="D40" s="398"/>
      <c r="E40" s="398"/>
      <c r="F40" s="398"/>
      <c r="G40" s="398"/>
      <c r="H40" s="398"/>
      <c r="I40" s="398"/>
      <c r="J40" s="398"/>
      <c r="K40" s="398"/>
      <c r="L40" s="291"/>
      <c r="M40" s="291"/>
      <c r="N40" s="291"/>
      <c r="O40" s="291"/>
      <c r="P40" s="292"/>
      <c r="Q40" s="292"/>
      <c r="R40" s="292"/>
      <c r="S40" s="292"/>
      <c r="T40" s="292"/>
      <c r="U40" s="35"/>
      <c r="V40" s="291"/>
      <c r="W40" s="291"/>
      <c r="X40" s="291"/>
      <c r="Y40" s="291"/>
      <c r="Z40" s="291"/>
      <c r="AA40" s="291"/>
      <c r="AB40" s="292"/>
      <c r="AC40" s="292"/>
      <c r="AD40" s="292"/>
      <c r="AE40" s="292"/>
      <c r="AF40" s="292"/>
      <c r="AG40" s="35"/>
      <c r="AH40" s="291"/>
      <c r="AI40" s="291"/>
      <c r="AJ40" s="291"/>
      <c r="AK40" s="291"/>
      <c r="AL40" s="291"/>
      <c r="AM40" s="291"/>
      <c r="AN40" s="292"/>
      <c r="AO40" s="292"/>
      <c r="AP40" s="292"/>
      <c r="AQ40" s="292"/>
      <c r="AR40" s="292"/>
      <c r="AS40" s="35"/>
      <c r="AT40" s="291"/>
      <c r="AU40" s="291"/>
      <c r="AV40" s="291"/>
      <c r="AW40" s="291"/>
      <c r="AX40" s="291"/>
      <c r="AY40" s="291"/>
      <c r="AZ40" s="292"/>
      <c r="BA40" s="292"/>
      <c r="BB40" s="292"/>
      <c r="BC40" s="292"/>
      <c r="BD40" s="292"/>
      <c r="BE40" s="35"/>
      <c r="BF40" s="291"/>
      <c r="BG40" s="291"/>
      <c r="BH40" s="291"/>
      <c r="BI40" s="291"/>
      <c r="BJ40" s="291"/>
      <c r="BK40" s="291"/>
      <c r="BL40" s="292"/>
      <c r="BM40" s="292"/>
      <c r="BN40" s="292"/>
      <c r="BO40" s="292"/>
      <c r="BP40" s="292"/>
      <c r="BQ40" s="35"/>
      <c r="BR40" s="291"/>
      <c r="BS40" s="291"/>
      <c r="BT40" s="291"/>
      <c r="BU40" s="291"/>
      <c r="BV40" s="291"/>
      <c r="BW40" s="291"/>
      <c r="BX40" s="292"/>
      <c r="BY40" s="292"/>
      <c r="BZ40" s="292"/>
      <c r="CA40" s="292"/>
      <c r="CB40" s="292"/>
      <c r="CC40" s="35"/>
      <c r="CD40" s="291"/>
      <c r="CE40" s="291"/>
      <c r="CF40" s="291"/>
      <c r="CG40" s="291"/>
      <c r="CH40" s="291"/>
      <c r="CI40" s="291"/>
      <c r="CJ40" s="292"/>
      <c r="CK40" s="292"/>
      <c r="CL40" s="292"/>
      <c r="CM40" s="292"/>
      <c r="CN40" s="292"/>
      <c r="CO40" s="35"/>
      <c r="CP40" s="291"/>
      <c r="CQ40" s="291"/>
      <c r="CR40" s="291"/>
      <c r="CS40" s="291"/>
      <c r="CT40" s="291"/>
      <c r="CU40" s="291"/>
      <c r="CV40" s="292"/>
      <c r="CW40" s="292"/>
      <c r="CX40" s="292"/>
      <c r="CY40" s="292"/>
      <c r="CZ40" s="292"/>
      <c r="DA40" s="35"/>
      <c r="DB40" s="291"/>
      <c r="DC40" s="291"/>
      <c r="DD40" s="291"/>
      <c r="DE40" s="291"/>
      <c r="DF40" s="291"/>
      <c r="DG40" s="291"/>
      <c r="DH40" s="292"/>
      <c r="DI40" s="292"/>
      <c r="DJ40" s="292"/>
      <c r="DK40" s="292"/>
      <c r="DL40" s="292"/>
      <c r="DM40" s="35"/>
      <c r="DN40" s="291"/>
      <c r="DO40" s="291"/>
      <c r="DP40" s="291"/>
      <c r="DQ40" s="291"/>
      <c r="DR40" s="291"/>
      <c r="DS40" s="291"/>
      <c r="DT40" s="292"/>
      <c r="DU40" s="292"/>
      <c r="DV40" s="292"/>
      <c r="DW40" s="292"/>
      <c r="DX40" s="292"/>
      <c r="DY40" s="35"/>
      <c r="DZ40" s="291"/>
      <c r="EA40" s="291"/>
      <c r="EB40" s="291"/>
      <c r="EC40" s="291"/>
      <c r="ED40" s="291"/>
      <c r="EE40" s="291"/>
      <c r="EF40" s="292"/>
      <c r="EG40" s="292"/>
      <c r="EH40" s="292"/>
      <c r="EI40" s="292"/>
      <c r="EJ40" s="292"/>
      <c r="EK40" s="35"/>
      <c r="EL40" s="291"/>
      <c r="EM40" s="291"/>
      <c r="EN40" s="291"/>
      <c r="EO40" s="291"/>
      <c r="EP40" s="291"/>
      <c r="EQ40" s="291"/>
      <c r="ER40" s="292"/>
      <c r="ES40" s="292"/>
      <c r="ET40" s="292"/>
      <c r="EU40" s="292"/>
      <c r="EV40" s="292"/>
      <c r="EW40" s="35"/>
      <c r="EX40" s="291"/>
      <c r="EY40" s="291"/>
      <c r="EZ40" s="291"/>
      <c r="FA40" s="291"/>
      <c r="FB40" s="291"/>
      <c r="FC40" s="291"/>
      <c r="FD40" s="292"/>
      <c r="FE40" s="292"/>
      <c r="FF40" s="292"/>
      <c r="FG40" s="292"/>
      <c r="FH40" s="292"/>
      <c r="FI40" s="35"/>
      <c r="FJ40" s="291"/>
      <c r="FK40" s="291"/>
      <c r="FL40" s="291"/>
      <c r="FM40" s="291"/>
      <c r="FN40" s="291"/>
      <c r="FO40" s="291"/>
      <c r="FP40" s="292"/>
      <c r="FQ40" s="292"/>
      <c r="FR40" s="292"/>
      <c r="FS40" s="292"/>
      <c r="FT40" s="292"/>
      <c r="FU40" s="35"/>
      <c r="FV40" s="291"/>
      <c r="FW40" s="291"/>
      <c r="FX40" s="291"/>
      <c r="FY40" s="291"/>
      <c r="FZ40" s="291"/>
      <c r="GA40" s="291"/>
      <c r="GB40" s="292"/>
      <c r="GC40" s="292"/>
      <c r="GD40" s="292"/>
      <c r="GE40" s="292"/>
      <c r="GF40" s="292"/>
      <c r="GG40" s="35"/>
      <c r="GH40" s="291"/>
      <c r="GI40" s="291"/>
      <c r="GJ40" s="291"/>
      <c r="GK40" s="291"/>
      <c r="GL40" s="291"/>
      <c r="GM40" s="291"/>
      <c r="GN40" s="292"/>
      <c r="GO40" s="292"/>
      <c r="GP40" s="292"/>
      <c r="GQ40" s="292"/>
      <c r="GR40" s="292"/>
      <c r="GS40" s="35"/>
      <c r="GT40" s="291"/>
      <c r="GU40" s="291"/>
      <c r="GV40" s="291"/>
      <c r="GW40" s="291"/>
      <c r="GX40" s="291"/>
      <c r="GY40" s="291"/>
      <c r="GZ40" s="292"/>
      <c r="HA40" s="292"/>
      <c r="HB40" s="292"/>
      <c r="HC40" s="292"/>
      <c r="HD40" s="292"/>
      <c r="HE40" s="35"/>
      <c r="HF40" s="291"/>
      <c r="HG40" s="291"/>
      <c r="HH40" s="291"/>
      <c r="HI40" s="291"/>
      <c r="HJ40" s="291"/>
      <c r="HK40" s="291"/>
      <c r="HL40" s="292"/>
      <c r="HM40" s="292"/>
      <c r="HN40" s="292"/>
      <c r="HO40" s="292"/>
      <c r="HP40" s="292"/>
      <c r="HQ40" s="35"/>
      <c r="HR40" s="291"/>
      <c r="HS40" s="291"/>
      <c r="HT40" s="291"/>
      <c r="HU40" s="291"/>
      <c r="HV40" s="291"/>
      <c r="HW40" s="291"/>
      <c r="HX40" s="292"/>
      <c r="HY40" s="292"/>
      <c r="HZ40" s="292"/>
      <c r="IA40" s="292"/>
      <c r="IB40" s="292"/>
      <c r="IC40" s="35"/>
      <c r="ID40" s="291"/>
      <c r="IE40" s="291"/>
      <c r="IF40" s="291"/>
      <c r="IG40" s="291"/>
      <c r="IH40" s="291"/>
      <c r="II40" s="291"/>
      <c r="IJ40" s="292"/>
      <c r="IK40" s="292"/>
      <c r="IL40" s="292"/>
      <c r="IM40" s="292"/>
      <c r="IN40" s="292"/>
      <c r="IO40" s="35"/>
      <c r="IP40" s="291"/>
      <c r="IQ40" s="291"/>
      <c r="IR40" s="291"/>
    </row>
    <row r="41" spans="1:252" s="5" customFormat="1" ht="14.25">
      <c r="A41" s="391"/>
      <c r="B41" s="397"/>
      <c r="C41" s="397"/>
      <c r="D41" s="397"/>
      <c r="E41" s="397"/>
      <c r="F41" s="397"/>
      <c r="G41" s="397"/>
      <c r="H41" s="397"/>
      <c r="I41" s="397"/>
      <c r="J41" s="397"/>
      <c r="K41" s="397"/>
      <c r="L41" s="291"/>
      <c r="M41" s="291"/>
      <c r="N41" s="291"/>
      <c r="O41" s="291"/>
      <c r="P41" s="292"/>
      <c r="Q41" s="292"/>
      <c r="R41" s="292"/>
      <c r="S41" s="292"/>
      <c r="T41" s="292"/>
      <c r="U41" s="35"/>
      <c r="V41" s="291"/>
      <c r="W41" s="291"/>
      <c r="X41" s="291"/>
      <c r="Y41" s="291"/>
      <c r="Z41" s="291"/>
      <c r="AA41" s="291"/>
      <c r="AB41" s="292"/>
      <c r="AC41" s="292"/>
      <c r="AD41" s="292"/>
      <c r="AE41" s="292"/>
      <c r="AF41" s="292"/>
      <c r="AG41" s="35"/>
      <c r="AH41" s="291"/>
      <c r="AI41" s="291"/>
      <c r="AJ41" s="291"/>
      <c r="AK41" s="291"/>
      <c r="AL41" s="291"/>
      <c r="AM41" s="291"/>
      <c r="AN41" s="292"/>
      <c r="AO41" s="292"/>
      <c r="AP41" s="292"/>
      <c r="AQ41" s="292"/>
      <c r="AR41" s="292"/>
      <c r="AS41" s="35"/>
      <c r="AT41" s="291"/>
      <c r="AU41" s="291"/>
      <c r="AV41" s="291"/>
      <c r="AW41" s="291"/>
      <c r="AX41" s="291"/>
      <c r="AY41" s="291"/>
      <c r="AZ41" s="292"/>
      <c r="BA41" s="292"/>
      <c r="BB41" s="292"/>
      <c r="BC41" s="292"/>
      <c r="BD41" s="292"/>
      <c r="BE41" s="35"/>
      <c r="BF41" s="291"/>
      <c r="BG41" s="291"/>
      <c r="BH41" s="291"/>
      <c r="BI41" s="291"/>
      <c r="BJ41" s="291"/>
      <c r="BK41" s="291"/>
      <c r="BL41" s="292"/>
      <c r="BM41" s="292"/>
      <c r="BN41" s="292"/>
      <c r="BO41" s="292"/>
      <c r="BP41" s="292"/>
      <c r="BQ41" s="35"/>
      <c r="BR41" s="291"/>
      <c r="BS41" s="291"/>
      <c r="BT41" s="291"/>
      <c r="BU41" s="291"/>
      <c r="BV41" s="291"/>
      <c r="BW41" s="291"/>
      <c r="BX41" s="292"/>
      <c r="BY41" s="292"/>
      <c r="BZ41" s="292"/>
      <c r="CA41" s="292"/>
      <c r="CB41" s="292"/>
      <c r="CC41" s="35"/>
      <c r="CD41" s="291"/>
      <c r="CE41" s="291"/>
      <c r="CF41" s="291"/>
      <c r="CG41" s="291"/>
      <c r="CH41" s="291"/>
      <c r="CI41" s="291"/>
      <c r="CJ41" s="292"/>
      <c r="CK41" s="292"/>
      <c r="CL41" s="292"/>
      <c r="CM41" s="292"/>
      <c r="CN41" s="292"/>
      <c r="CO41" s="35"/>
      <c r="CP41" s="291"/>
      <c r="CQ41" s="291"/>
      <c r="CR41" s="291"/>
      <c r="CS41" s="291"/>
      <c r="CT41" s="291"/>
      <c r="CU41" s="291"/>
      <c r="CV41" s="292"/>
      <c r="CW41" s="292"/>
      <c r="CX41" s="292"/>
      <c r="CY41" s="292"/>
      <c r="CZ41" s="292"/>
      <c r="DA41" s="35"/>
      <c r="DB41" s="291"/>
      <c r="DC41" s="291"/>
      <c r="DD41" s="291"/>
      <c r="DE41" s="291"/>
      <c r="DF41" s="291"/>
      <c r="DG41" s="291"/>
      <c r="DH41" s="292"/>
      <c r="DI41" s="292"/>
      <c r="DJ41" s="292"/>
      <c r="DK41" s="292"/>
      <c r="DL41" s="292"/>
      <c r="DM41" s="35"/>
      <c r="DN41" s="291"/>
      <c r="DO41" s="291"/>
      <c r="DP41" s="291"/>
      <c r="DQ41" s="291"/>
      <c r="DR41" s="291"/>
      <c r="DS41" s="291"/>
      <c r="DT41" s="292"/>
      <c r="DU41" s="292"/>
      <c r="DV41" s="292"/>
      <c r="DW41" s="292"/>
      <c r="DX41" s="292"/>
      <c r="DY41" s="35"/>
      <c r="DZ41" s="291"/>
      <c r="EA41" s="291"/>
      <c r="EB41" s="291"/>
      <c r="EC41" s="291"/>
      <c r="ED41" s="291"/>
      <c r="EE41" s="291"/>
      <c r="EF41" s="292"/>
      <c r="EG41" s="292"/>
      <c r="EH41" s="292"/>
      <c r="EI41" s="292"/>
      <c r="EJ41" s="292"/>
      <c r="EK41" s="35"/>
      <c r="EL41" s="291"/>
      <c r="EM41" s="291"/>
      <c r="EN41" s="291"/>
      <c r="EO41" s="291"/>
      <c r="EP41" s="291"/>
      <c r="EQ41" s="291"/>
      <c r="ER41" s="292"/>
      <c r="ES41" s="292"/>
      <c r="ET41" s="292"/>
      <c r="EU41" s="292"/>
      <c r="EV41" s="292"/>
      <c r="EW41" s="35"/>
      <c r="EX41" s="291"/>
      <c r="EY41" s="291"/>
      <c r="EZ41" s="291"/>
      <c r="FA41" s="291"/>
      <c r="FB41" s="291"/>
      <c r="FC41" s="291"/>
      <c r="FD41" s="292"/>
      <c r="FE41" s="292"/>
      <c r="FF41" s="292"/>
      <c r="FG41" s="292"/>
      <c r="FH41" s="292"/>
      <c r="FI41" s="35"/>
      <c r="FJ41" s="291"/>
      <c r="FK41" s="291"/>
      <c r="FL41" s="291"/>
      <c r="FM41" s="291"/>
      <c r="FN41" s="291"/>
      <c r="FO41" s="291"/>
      <c r="FP41" s="292"/>
      <c r="FQ41" s="292"/>
      <c r="FR41" s="292"/>
      <c r="FS41" s="292"/>
      <c r="FT41" s="292"/>
      <c r="FU41" s="35"/>
      <c r="FV41" s="291"/>
      <c r="FW41" s="291"/>
      <c r="FX41" s="291"/>
      <c r="FY41" s="291"/>
      <c r="FZ41" s="291"/>
      <c r="GA41" s="291"/>
      <c r="GB41" s="292"/>
      <c r="GC41" s="292"/>
      <c r="GD41" s="292"/>
      <c r="GE41" s="292"/>
      <c r="GF41" s="292"/>
      <c r="GG41" s="35"/>
      <c r="GH41" s="291"/>
      <c r="GI41" s="291"/>
      <c r="GJ41" s="291"/>
      <c r="GK41" s="291"/>
      <c r="GL41" s="291"/>
      <c r="GM41" s="291"/>
      <c r="GN41" s="292"/>
      <c r="GO41" s="292"/>
      <c r="GP41" s="292"/>
      <c r="GQ41" s="292"/>
      <c r="GR41" s="292"/>
      <c r="GS41" s="35"/>
      <c r="GT41" s="291"/>
      <c r="GU41" s="291"/>
      <c r="GV41" s="291"/>
      <c r="GW41" s="291"/>
      <c r="GX41" s="291"/>
      <c r="GY41" s="291"/>
      <c r="GZ41" s="292"/>
      <c r="HA41" s="292"/>
      <c r="HB41" s="292"/>
      <c r="HC41" s="292"/>
      <c r="HD41" s="292"/>
      <c r="HE41" s="35"/>
      <c r="HF41" s="291"/>
      <c r="HG41" s="291"/>
      <c r="HH41" s="291"/>
      <c r="HI41" s="291"/>
      <c r="HJ41" s="291"/>
      <c r="HK41" s="291"/>
      <c r="HL41" s="292"/>
      <c r="HM41" s="292"/>
      <c r="HN41" s="292"/>
      <c r="HO41" s="292"/>
      <c r="HP41" s="292"/>
      <c r="HQ41" s="35"/>
      <c r="HR41" s="291"/>
      <c r="HS41" s="291"/>
      <c r="HT41" s="291"/>
      <c r="HU41" s="291"/>
      <c r="HV41" s="291"/>
      <c r="HW41" s="291"/>
      <c r="HX41" s="292"/>
      <c r="HY41" s="292"/>
      <c r="HZ41" s="292"/>
      <c r="IA41" s="292"/>
      <c r="IB41" s="292"/>
      <c r="IC41" s="35"/>
      <c r="ID41" s="291"/>
      <c r="IE41" s="291"/>
      <c r="IF41" s="291"/>
      <c r="IG41" s="291"/>
      <c r="IH41" s="291"/>
      <c r="II41" s="291"/>
      <c r="IJ41" s="292"/>
      <c r="IK41" s="292"/>
      <c r="IL41" s="292"/>
      <c r="IM41" s="292"/>
      <c r="IN41" s="292"/>
      <c r="IO41" s="35"/>
      <c r="IP41" s="291"/>
      <c r="IQ41" s="291"/>
      <c r="IR41" s="291"/>
    </row>
    <row r="42" spans="1:252" s="284" customFormat="1" ht="14.25">
      <c r="A42" s="44" t="s">
        <v>1020</v>
      </c>
      <c r="B42" s="399"/>
      <c r="C42" s="399"/>
      <c r="D42" s="399"/>
      <c r="E42" s="122"/>
      <c r="F42" s="122"/>
      <c r="G42" s="122"/>
      <c r="H42" s="122"/>
      <c r="I42" s="122"/>
      <c r="J42" s="122"/>
      <c r="K42" s="122"/>
    </row>
    <row r="43" spans="1:252" s="7" customFormat="1" ht="14.25">
      <c r="A43" s="44" t="s">
        <v>1019</v>
      </c>
      <c r="B43" s="393"/>
      <c r="C43" s="393"/>
      <c r="D43" s="393"/>
      <c r="E43" s="393"/>
      <c r="F43" s="393"/>
      <c r="G43" s="393"/>
      <c r="H43" s="393"/>
      <c r="I43" s="393"/>
      <c r="J43" s="393"/>
      <c r="K43" s="393"/>
    </row>
    <row r="44" spans="1:252" ht="14.25" customHeight="1">
      <c r="A44" s="395"/>
      <c r="B44" s="394"/>
      <c r="C44" s="394"/>
      <c r="D44" s="394"/>
      <c r="E44" s="394"/>
      <c r="F44" s="394"/>
      <c r="G44" s="394"/>
      <c r="H44" s="394"/>
      <c r="I44" s="394"/>
      <c r="J44" s="394"/>
      <c r="K44" s="394"/>
    </row>
    <row r="45" spans="1:252" ht="11.45" customHeight="1">
      <c r="A45" s="394"/>
      <c r="B45" s="394"/>
      <c r="C45" s="394"/>
      <c r="D45" s="394"/>
      <c r="E45" s="394"/>
      <c r="F45" s="394"/>
      <c r="G45" s="394"/>
      <c r="H45" s="394"/>
      <c r="I45" s="394"/>
      <c r="J45" s="394"/>
      <c r="K45" s="394"/>
    </row>
    <row r="46" spans="1:252" ht="11.45" customHeight="1">
      <c r="A46" s="44"/>
      <c r="B46" s="7"/>
      <c r="C46" s="7"/>
    </row>
    <row r="47" spans="1:252" ht="11.45" customHeight="1">
      <c r="A47" s="43"/>
      <c r="B47" s="6"/>
      <c r="C47" s="6"/>
    </row>
  </sheetData>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tabColor rgb="FF92D050"/>
    <pageSetUpPr fitToPage="1"/>
  </sheetPr>
  <dimension ref="A1:N23"/>
  <sheetViews>
    <sheetView workbookViewId="0"/>
  </sheetViews>
  <sheetFormatPr baseColWidth="10" defaultColWidth="11.5703125" defaultRowHeight="14.25"/>
  <cols>
    <col min="1" max="1" width="11.5703125" style="467"/>
    <col min="2" max="2" width="12.5703125" style="467" customWidth="1"/>
    <col min="3" max="6" width="7.28515625" style="467" hidden="1" customWidth="1"/>
    <col min="7" max="14" width="7.28515625" style="467" customWidth="1"/>
    <col min="15" max="16384" width="11.5703125" style="469"/>
  </cols>
  <sheetData>
    <row r="1" spans="1:14" s="399" customFormat="1">
      <c r="A1" s="161" t="s">
        <v>1012</v>
      </c>
      <c r="B1" s="154"/>
      <c r="C1" s="154"/>
      <c r="D1" s="154"/>
      <c r="E1" s="154"/>
      <c r="F1" s="154"/>
      <c r="G1" s="154"/>
      <c r="H1" s="154"/>
      <c r="I1" s="154"/>
      <c r="J1" s="154"/>
      <c r="K1" s="154"/>
      <c r="L1" s="154"/>
      <c r="M1" s="154"/>
      <c r="N1" s="154"/>
    </row>
    <row r="2" spans="1:14" s="121" customFormat="1">
      <c r="A2" s="154" t="s">
        <v>35</v>
      </c>
      <c r="B2" s="161"/>
      <c r="C2" s="154"/>
      <c r="D2" s="154"/>
      <c r="E2" s="154"/>
      <c r="F2" s="154"/>
      <c r="G2" s="154"/>
      <c r="H2" s="154"/>
      <c r="I2" s="154"/>
      <c r="J2" s="154"/>
      <c r="K2" s="154"/>
      <c r="L2" s="154"/>
      <c r="M2" s="154"/>
      <c r="N2" s="154"/>
    </row>
    <row r="3" spans="1:14" s="121" customFormat="1">
      <c r="A3" s="161"/>
      <c r="B3" s="161"/>
      <c r="C3" s="154"/>
      <c r="D3" s="154"/>
      <c r="E3" s="154"/>
      <c r="F3" s="154"/>
      <c r="G3" s="154"/>
      <c r="H3" s="154"/>
      <c r="I3" s="154"/>
      <c r="J3" s="154"/>
      <c r="K3" s="154"/>
      <c r="L3" s="154"/>
      <c r="M3" s="154"/>
      <c r="N3" s="154"/>
    </row>
    <row r="4" spans="1:14" s="124" customFormat="1" ht="28.5">
      <c r="A4" s="288"/>
      <c r="B4" s="288"/>
      <c r="C4" s="290">
        <v>2005</v>
      </c>
      <c r="D4" s="290">
        <v>2006</v>
      </c>
      <c r="E4" s="290">
        <v>2007</v>
      </c>
      <c r="F4" s="290">
        <v>2008</v>
      </c>
      <c r="G4" s="290">
        <v>2009</v>
      </c>
      <c r="H4" s="290">
        <v>2010</v>
      </c>
      <c r="I4" s="290">
        <v>2011</v>
      </c>
      <c r="J4" s="290" t="s">
        <v>610</v>
      </c>
      <c r="K4" s="290" t="s">
        <v>855</v>
      </c>
      <c r="L4" s="290" t="s">
        <v>829</v>
      </c>
      <c r="M4" s="290" t="s">
        <v>948</v>
      </c>
      <c r="N4" s="290" t="s">
        <v>1052</v>
      </c>
    </row>
    <row r="5" spans="1:14" ht="15.75">
      <c r="A5" s="467" t="s">
        <v>797</v>
      </c>
      <c r="C5" s="468">
        <f>SUM(C7:C10)</f>
        <v>6060</v>
      </c>
      <c r="D5" s="468">
        <f t="shared" ref="D5:N5" si="0">SUM(D7:D10)</f>
        <v>6439</v>
      </c>
      <c r="E5" s="468">
        <f t="shared" si="0"/>
        <v>6342</v>
      </c>
      <c r="F5" s="468">
        <f t="shared" si="0"/>
        <v>6677</v>
      </c>
      <c r="G5" s="468">
        <f t="shared" si="0"/>
        <v>7655</v>
      </c>
      <c r="H5" s="468">
        <f t="shared" si="0"/>
        <v>8206</v>
      </c>
      <c r="I5" s="468">
        <f t="shared" si="0"/>
        <v>8072</v>
      </c>
      <c r="J5" s="468">
        <f t="shared" si="0"/>
        <v>8746.8460000000032</v>
      </c>
      <c r="K5" s="468">
        <f t="shared" si="0"/>
        <v>8743.2429999999986</v>
      </c>
      <c r="L5" s="468">
        <f t="shared" si="0"/>
        <v>9332.6450000000059</v>
      </c>
      <c r="M5" s="468">
        <f t="shared" si="0"/>
        <v>9612.1069999999909</v>
      </c>
      <c r="N5" s="468">
        <f t="shared" si="0"/>
        <v>9978.7877929999995</v>
      </c>
    </row>
    <row r="6" spans="1:14" s="471" customFormat="1">
      <c r="A6" s="470" t="s">
        <v>799</v>
      </c>
      <c r="B6" s="470"/>
      <c r="C6" s="468"/>
      <c r="D6" s="468"/>
      <c r="E6" s="468"/>
      <c r="F6" s="468"/>
      <c r="G6" s="468"/>
      <c r="H6" s="468"/>
      <c r="I6" s="468"/>
      <c r="J6" s="468"/>
      <c r="K6" s="468"/>
      <c r="L6" s="468"/>
      <c r="M6" s="468"/>
      <c r="N6" s="468"/>
    </row>
    <row r="7" spans="1:14" s="471" customFormat="1">
      <c r="A7" s="470" t="s">
        <v>786</v>
      </c>
      <c r="B7" s="470"/>
      <c r="C7" s="468">
        <v>3401</v>
      </c>
      <c r="D7" s="468">
        <v>3465</v>
      </c>
      <c r="E7" s="468">
        <v>3493</v>
      </c>
      <c r="F7" s="468">
        <v>3611</v>
      </c>
      <c r="G7" s="468">
        <v>4453</v>
      </c>
      <c r="H7" s="468">
        <v>4888</v>
      </c>
      <c r="I7" s="468">
        <v>4762</v>
      </c>
      <c r="J7" s="468">
        <v>5259.0640000000021</v>
      </c>
      <c r="K7" s="468">
        <v>5464.2129999999997</v>
      </c>
      <c r="L7" s="468">
        <v>5639.9090000000069</v>
      </c>
      <c r="M7" s="468">
        <v>5902.8109999999906</v>
      </c>
      <c r="N7" s="468">
        <v>6174.6970000000001</v>
      </c>
    </row>
    <row r="8" spans="1:14" s="471" customFormat="1">
      <c r="A8" s="470" t="s">
        <v>787</v>
      </c>
      <c r="B8" s="470"/>
      <c r="C8" s="468">
        <v>332</v>
      </c>
      <c r="D8" s="468">
        <v>322</v>
      </c>
      <c r="E8" s="468">
        <v>381</v>
      </c>
      <c r="F8" s="468">
        <v>389</v>
      </c>
      <c r="G8" s="468">
        <v>358</v>
      </c>
      <c r="H8" s="468">
        <v>352</v>
      </c>
      <c r="I8" s="468">
        <v>335</v>
      </c>
      <c r="J8" s="468">
        <v>366.20399999999972</v>
      </c>
      <c r="K8" s="468">
        <v>352.14099999999996</v>
      </c>
      <c r="L8" s="468">
        <v>363.02500000000003</v>
      </c>
      <c r="M8" s="468">
        <v>348.14500000000004</v>
      </c>
      <c r="N8" s="468">
        <v>324.64694900000006</v>
      </c>
    </row>
    <row r="9" spans="1:14" s="471" customFormat="1">
      <c r="A9" s="470" t="s">
        <v>788</v>
      </c>
      <c r="B9" s="470"/>
      <c r="C9" s="468">
        <v>1137</v>
      </c>
      <c r="D9" s="468">
        <v>1256</v>
      </c>
      <c r="E9" s="468">
        <v>1258</v>
      </c>
      <c r="F9" s="468">
        <v>1352</v>
      </c>
      <c r="G9" s="468">
        <v>1408</v>
      </c>
      <c r="H9" s="468">
        <v>1445</v>
      </c>
      <c r="I9" s="468">
        <v>1453</v>
      </c>
      <c r="J9" s="468">
        <v>1544.644</v>
      </c>
      <c r="K9" s="468">
        <v>1571.175</v>
      </c>
      <c r="L9" s="468">
        <v>1580.8629999999996</v>
      </c>
      <c r="M9" s="468">
        <v>1642.5640000000001</v>
      </c>
      <c r="N9" s="468">
        <v>1678.7603439999998</v>
      </c>
    </row>
    <row r="10" spans="1:14" s="471" customFormat="1" ht="15.75">
      <c r="A10" s="470" t="s">
        <v>789</v>
      </c>
      <c r="B10" s="470"/>
      <c r="C10" s="468">
        <v>1190</v>
      </c>
      <c r="D10" s="468">
        <v>1396</v>
      </c>
      <c r="E10" s="468">
        <v>1210</v>
      </c>
      <c r="F10" s="468">
        <v>1325</v>
      </c>
      <c r="G10" s="468">
        <v>1436</v>
      </c>
      <c r="H10" s="468">
        <v>1521</v>
      </c>
      <c r="I10" s="468">
        <v>1522</v>
      </c>
      <c r="J10" s="468">
        <v>1576.9340000000007</v>
      </c>
      <c r="K10" s="468">
        <v>1355.7139999999999</v>
      </c>
      <c r="L10" s="468">
        <v>1748.8479999999993</v>
      </c>
      <c r="M10" s="468">
        <v>1718.587</v>
      </c>
      <c r="N10" s="468">
        <v>1800.6835000000001</v>
      </c>
    </row>
    <row r="11" spans="1:14">
      <c r="A11" s="467" t="s">
        <v>794</v>
      </c>
      <c r="C11" s="472">
        <f>SUM(C13:C16)</f>
        <v>822</v>
      </c>
      <c r="D11" s="472">
        <f t="shared" ref="D11:N11" si="1">SUM(D13:D16)</f>
        <v>857</v>
      </c>
      <c r="E11" s="472">
        <f t="shared" si="1"/>
        <v>932</v>
      </c>
      <c r="F11" s="472">
        <f t="shared" si="1"/>
        <v>952</v>
      </c>
      <c r="G11" s="472">
        <f t="shared" si="1"/>
        <v>996</v>
      </c>
      <c r="H11" s="472">
        <f t="shared" si="1"/>
        <v>990</v>
      </c>
      <c r="I11" s="472">
        <f t="shared" si="1"/>
        <v>998</v>
      </c>
      <c r="J11" s="472">
        <f t="shared" si="1"/>
        <v>1002.056</v>
      </c>
      <c r="K11" s="472">
        <f t="shared" si="1"/>
        <v>1001.478</v>
      </c>
      <c r="L11" s="472">
        <f t="shared" si="1"/>
        <v>1022.4350000000001</v>
      </c>
      <c r="M11" s="472">
        <f t="shared" si="1"/>
        <v>1018.672</v>
      </c>
      <c r="N11" s="472">
        <f t="shared" si="1"/>
        <v>993.24300000000005</v>
      </c>
    </row>
    <row r="12" spans="1:14">
      <c r="A12" s="470" t="s">
        <v>799</v>
      </c>
      <c r="C12" s="472"/>
      <c r="D12" s="472"/>
      <c r="E12" s="472"/>
      <c r="F12" s="472"/>
      <c r="G12" s="472"/>
      <c r="H12" s="472"/>
      <c r="I12" s="472"/>
      <c r="J12" s="472"/>
      <c r="K12" s="472"/>
      <c r="L12" s="472"/>
      <c r="M12" s="472"/>
      <c r="N12" s="472"/>
    </row>
    <row r="13" spans="1:14" s="471" customFormat="1">
      <c r="A13" s="470" t="s">
        <v>790</v>
      </c>
      <c r="B13" s="470"/>
      <c r="C13" s="468">
        <v>509</v>
      </c>
      <c r="D13" s="468">
        <v>538</v>
      </c>
      <c r="E13" s="468">
        <v>601</v>
      </c>
      <c r="F13" s="468">
        <v>623</v>
      </c>
      <c r="G13" s="468">
        <v>650</v>
      </c>
      <c r="H13" s="468">
        <v>656</v>
      </c>
      <c r="I13" s="468">
        <v>668</v>
      </c>
      <c r="J13" s="468">
        <v>677.03600000000006</v>
      </c>
      <c r="K13" s="468">
        <v>684.28099999999995</v>
      </c>
      <c r="L13" s="468">
        <v>705.79100000000005</v>
      </c>
      <c r="M13" s="468">
        <v>704.20600000000002</v>
      </c>
      <c r="N13" s="468">
        <v>690.16099999999994</v>
      </c>
    </row>
    <row r="14" spans="1:14" s="471" customFormat="1">
      <c r="A14" s="470" t="s">
        <v>791</v>
      </c>
      <c r="B14" s="470"/>
      <c r="C14" s="468">
        <v>8</v>
      </c>
      <c r="D14" s="468">
        <v>7</v>
      </c>
      <c r="E14" s="468">
        <v>8</v>
      </c>
      <c r="F14" s="468">
        <v>8</v>
      </c>
      <c r="G14" s="468">
        <v>9</v>
      </c>
      <c r="H14" s="468">
        <v>10</v>
      </c>
      <c r="I14" s="468">
        <v>9</v>
      </c>
      <c r="J14" s="468">
        <v>8.0510000000000002</v>
      </c>
      <c r="K14" s="468">
        <v>7.8360000000000003</v>
      </c>
      <c r="L14" s="468">
        <v>7.8769999999999998</v>
      </c>
      <c r="M14" s="468">
        <v>6.87</v>
      </c>
      <c r="N14" s="468">
        <v>6.883</v>
      </c>
    </row>
    <row r="15" spans="1:14" s="471" customFormat="1">
      <c r="A15" s="470" t="s">
        <v>792</v>
      </c>
      <c r="B15" s="470"/>
      <c r="C15" s="468">
        <v>237</v>
      </c>
      <c r="D15" s="468">
        <v>243</v>
      </c>
      <c r="E15" s="468">
        <v>256</v>
      </c>
      <c r="F15" s="468">
        <v>254</v>
      </c>
      <c r="G15" s="468">
        <v>262</v>
      </c>
      <c r="H15" s="468">
        <v>249</v>
      </c>
      <c r="I15" s="468">
        <v>255</v>
      </c>
      <c r="J15" s="468">
        <v>246.96799999999999</v>
      </c>
      <c r="K15" s="468">
        <v>242.91299999999998</v>
      </c>
      <c r="L15" s="468">
        <v>240.51400000000001</v>
      </c>
      <c r="M15" s="468">
        <v>242.55699999999999</v>
      </c>
      <c r="N15" s="468">
        <v>230.422</v>
      </c>
    </row>
    <row r="16" spans="1:14" s="471" customFormat="1">
      <c r="A16" s="470" t="s">
        <v>793</v>
      </c>
      <c r="B16" s="470"/>
      <c r="C16" s="468">
        <v>68</v>
      </c>
      <c r="D16" s="468">
        <v>69</v>
      </c>
      <c r="E16" s="468">
        <v>67</v>
      </c>
      <c r="F16" s="468">
        <v>67</v>
      </c>
      <c r="G16" s="468">
        <v>75</v>
      </c>
      <c r="H16" s="468">
        <v>75</v>
      </c>
      <c r="I16" s="468">
        <v>66</v>
      </c>
      <c r="J16" s="468">
        <v>70.000999999999991</v>
      </c>
      <c r="K16" s="468">
        <v>66.448000000000008</v>
      </c>
      <c r="L16" s="468">
        <v>68.253</v>
      </c>
      <c r="M16" s="468">
        <v>65.039000000000001</v>
      </c>
      <c r="N16" s="468">
        <v>65.777000000000001</v>
      </c>
    </row>
    <row r="17" spans="1:14">
      <c r="A17" s="467" t="s">
        <v>1031</v>
      </c>
      <c r="C17" s="472">
        <v>55</v>
      </c>
      <c r="D17" s="472">
        <v>58</v>
      </c>
      <c r="E17" s="472">
        <v>43</v>
      </c>
      <c r="F17" s="472">
        <v>41</v>
      </c>
      <c r="G17" s="472">
        <v>42</v>
      </c>
      <c r="H17" s="472">
        <v>42</v>
      </c>
      <c r="I17" s="472">
        <v>44</v>
      </c>
      <c r="J17" s="472">
        <v>46.408000000000001</v>
      </c>
      <c r="K17" s="472">
        <v>48.37</v>
      </c>
      <c r="L17" s="472">
        <v>47.686</v>
      </c>
      <c r="M17" s="472">
        <v>49.221000000000004</v>
      </c>
      <c r="N17" s="472">
        <v>46.834099999999999</v>
      </c>
    </row>
    <row r="18" spans="1:14" s="475" customFormat="1">
      <c r="A18" s="473" t="s">
        <v>737</v>
      </c>
      <c r="B18" s="473"/>
      <c r="C18" s="474">
        <f>C5+C11+C17</f>
        <v>6937</v>
      </c>
      <c r="D18" s="474">
        <f t="shared" ref="D18:M18" si="2">D5+D11+D17</f>
        <v>7354</v>
      </c>
      <c r="E18" s="474">
        <f t="shared" si="2"/>
        <v>7317</v>
      </c>
      <c r="F18" s="474">
        <f t="shared" si="2"/>
        <v>7670</v>
      </c>
      <c r="G18" s="474">
        <f t="shared" si="2"/>
        <v>8693</v>
      </c>
      <c r="H18" s="474">
        <f t="shared" si="2"/>
        <v>9238</v>
      </c>
      <c r="I18" s="474">
        <f t="shared" si="2"/>
        <v>9114</v>
      </c>
      <c r="J18" s="474">
        <f t="shared" si="2"/>
        <v>9795.3100000000031</v>
      </c>
      <c r="K18" s="474">
        <f t="shared" si="2"/>
        <v>9793.0909999999985</v>
      </c>
      <c r="L18" s="474">
        <f t="shared" si="2"/>
        <v>10402.766000000005</v>
      </c>
      <c r="M18" s="474">
        <f t="shared" si="2"/>
        <v>10679.999999999991</v>
      </c>
      <c r="N18" s="474">
        <f t="shared" ref="N18" si="3">N5+N11+N17</f>
        <v>11018.864893</v>
      </c>
    </row>
    <row r="19" spans="1:14" s="475" customFormat="1">
      <c r="A19" s="473" t="s">
        <v>34</v>
      </c>
      <c r="B19" s="473"/>
      <c r="C19" s="476">
        <v>2.8291190864600326E-2</v>
      </c>
      <c r="D19" s="476">
        <v>2.8393822393822394E-2</v>
      </c>
      <c r="E19" s="476">
        <v>2.5914929471511815E-2</v>
      </c>
      <c r="F19" s="476">
        <v>2.6273385711114702E-2</v>
      </c>
      <c r="G19" s="476">
        <v>3.0375095566417085E-2</v>
      </c>
      <c r="H19" s="476">
        <v>3.1399564729567085E-2</v>
      </c>
      <c r="I19" s="476">
        <v>2.9526200696525472E-2</v>
      </c>
      <c r="J19" s="476">
        <v>3.0879273270870602E-2</v>
      </c>
      <c r="K19" s="476">
        <v>3.0357268844549784E-2</v>
      </c>
      <c r="L19" s="476">
        <v>3.161973397852863E-2</v>
      </c>
      <c r="M19" s="476">
        <v>3.185302275641979E-2</v>
      </c>
      <c r="N19" s="476">
        <v>3.1935036207396246E-2</v>
      </c>
    </row>
    <row r="20" spans="1:14" s="475" customFormat="1">
      <c r="A20" s="477"/>
      <c r="B20" s="477"/>
      <c r="C20" s="478"/>
      <c r="D20" s="478"/>
      <c r="E20" s="478"/>
      <c r="F20" s="478"/>
      <c r="G20" s="478"/>
      <c r="H20" s="478"/>
      <c r="I20" s="478"/>
      <c r="J20" s="478"/>
      <c r="K20" s="478"/>
      <c r="L20" s="478"/>
      <c r="M20" s="478"/>
      <c r="N20" s="478"/>
    </row>
    <row r="21" spans="1:14">
      <c r="C21" s="479"/>
      <c r="D21" s="479"/>
      <c r="E21" s="479"/>
      <c r="F21" s="479"/>
      <c r="G21" s="479"/>
      <c r="H21" s="479"/>
      <c r="I21" s="479"/>
      <c r="J21" s="479"/>
      <c r="K21" s="479"/>
      <c r="L21" s="479"/>
      <c r="M21" s="479"/>
      <c r="N21" s="479"/>
    </row>
    <row r="22" spans="1:14">
      <c r="A22" s="480" t="s">
        <v>795</v>
      </c>
    </row>
    <row r="23" spans="1:14">
      <c r="A23" s="481" t="s">
        <v>796</v>
      </c>
    </row>
  </sheetData>
  <pageMargins left="0.7" right="0.7" top="0.78740157499999996" bottom="0.78740157499999996" header="0.3" footer="0.3"/>
  <pageSetup paperSize="9" scale="92" orientation="portrait" r:id="rId1"/>
  <ignoredErrors>
    <ignoredError sqref="J4:L4" numberStoredAsText="1"/>
    <ignoredError sqref="G11:N11"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29"/>
  <sheetViews>
    <sheetView zoomScale="123" zoomScaleNormal="123" workbookViewId="0"/>
  </sheetViews>
  <sheetFormatPr baseColWidth="10" defaultColWidth="11.5703125" defaultRowHeight="14.25"/>
  <cols>
    <col min="1" max="1" width="11.5703125" style="514"/>
    <col min="2" max="2" width="12.42578125" style="514" customWidth="1"/>
    <col min="3" max="8" width="7.28515625" style="514" customWidth="1"/>
    <col min="9" max="11" width="7.28515625" style="516" customWidth="1"/>
    <col min="12" max="16384" width="11.5703125" style="516"/>
  </cols>
  <sheetData>
    <row r="1" spans="1:11" s="399" customFormat="1" ht="15.75">
      <c r="A1" s="161" t="s">
        <v>1009</v>
      </c>
      <c r="B1" s="154"/>
      <c r="C1" s="154"/>
      <c r="D1" s="154"/>
      <c r="E1" s="154"/>
      <c r="F1" s="154"/>
      <c r="G1" s="154"/>
      <c r="H1" s="154"/>
      <c r="I1" s="130"/>
      <c r="J1" s="130"/>
      <c r="K1" s="130"/>
    </row>
    <row r="2" spans="1:11" s="121" customFormat="1" ht="15">
      <c r="A2" s="154" t="s">
        <v>35</v>
      </c>
      <c r="B2" s="161"/>
      <c r="C2" s="154"/>
      <c r="D2" s="154"/>
      <c r="E2" s="154"/>
      <c r="F2" s="154"/>
      <c r="G2" s="154"/>
      <c r="H2" s="154"/>
      <c r="I2" s="130"/>
      <c r="J2" s="130"/>
      <c r="K2" s="130"/>
    </row>
    <row r="3" spans="1:11" s="121" customFormat="1" ht="15">
      <c r="A3" s="161"/>
      <c r="B3" s="161"/>
      <c r="C3" s="154"/>
      <c r="D3" s="154"/>
      <c r="E3" s="154"/>
      <c r="F3" s="154"/>
      <c r="G3" s="154"/>
      <c r="H3" s="154"/>
      <c r="I3" s="130"/>
      <c r="J3" s="130"/>
      <c r="K3" s="130"/>
    </row>
    <row r="4" spans="1:11" s="124" customFormat="1" ht="37.5" customHeight="1">
      <c r="A4" s="288"/>
      <c r="B4" s="288"/>
      <c r="C4" s="290">
        <v>2008</v>
      </c>
      <c r="D4" s="290">
        <v>2009</v>
      </c>
      <c r="E4" s="290">
        <v>2010</v>
      </c>
      <c r="F4" s="290">
        <v>2011</v>
      </c>
      <c r="G4" s="290" t="s">
        <v>610</v>
      </c>
      <c r="H4" s="290" t="s">
        <v>855</v>
      </c>
      <c r="I4" s="290" t="s">
        <v>829</v>
      </c>
      <c r="J4" s="290" t="s">
        <v>948</v>
      </c>
      <c r="K4" s="290" t="s">
        <v>1054</v>
      </c>
    </row>
    <row r="5" spans="1:11" ht="19.5" customHeight="1">
      <c r="A5" s="514" t="s">
        <v>711</v>
      </c>
      <c r="G5" s="515"/>
      <c r="H5" s="515"/>
    </row>
    <row r="6" spans="1:11" ht="14.25" customHeight="1">
      <c r="A6" s="517" t="s">
        <v>800</v>
      </c>
      <c r="C6" s="518">
        <v>3153</v>
      </c>
      <c r="D6" s="518">
        <v>3266</v>
      </c>
      <c r="E6" s="518">
        <v>3371</v>
      </c>
      <c r="F6" s="518">
        <v>3459</v>
      </c>
      <c r="G6" s="518">
        <v>3875</v>
      </c>
      <c r="H6" s="518">
        <v>3773</v>
      </c>
      <c r="I6" s="518">
        <v>3906</v>
      </c>
      <c r="J6" s="518">
        <v>4114</v>
      </c>
      <c r="K6" s="518">
        <v>4141</v>
      </c>
    </row>
    <row r="7" spans="1:11">
      <c r="A7" s="517" t="s">
        <v>779</v>
      </c>
      <c r="C7" s="518">
        <v>1147</v>
      </c>
      <c r="D7" s="518">
        <v>1158</v>
      </c>
      <c r="E7" s="518">
        <v>1166</v>
      </c>
      <c r="F7" s="518">
        <v>1164</v>
      </c>
      <c r="G7" s="518">
        <v>1267</v>
      </c>
      <c r="H7" s="518">
        <v>1177</v>
      </c>
      <c r="I7" s="518">
        <v>1206</v>
      </c>
      <c r="J7" s="518">
        <v>1243</v>
      </c>
      <c r="K7" s="518">
        <v>1238</v>
      </c>
    </row>
    <row r="8" spans="1:11">
      <c r="A8" s="517" t="s">
        <v>780</v>
      </c>
      <c r="C8" s="518">
        <v>1935</v>
      </c>
      <c r="D8" s="518">
        <v>1999</v>
      </c>
      <c r="E8" s="518">
        <v>2041</v>
      </c>
      <c r="F8" s="518">
        <v>2040</v>
      </c>
      <c r="G8" s="518">
        <v>2185</v>
      </c>
      <c r="H8" s="518">
        <v>2072</v>
      </c>
      <c r="I8" s="518">
        <v>2066</v>
      </c>
      <c r="J8" s="518">
        <v>2082</v>
      </c>
      <c r="K8" s="518">
        <v>2077</v>
      </c>
    </row>
    <row r="9" spans="1:11">
      <c r="A9" s="517" t="s">
        <v>781</v>
      </c>
      <c r="C9" s="518">
        <v>986</v>
      </c>
      <c r="D9" s="518">
        <v>1049</v>
      </c>
      <c r="E9" s="518">
        <v>1118</v>
      </c>
      <c r="F9" s="518">
        <v>1181</v>
      </c>
      <c r="G9" s="518">
        <v>1367</v>
      </c>
      <c r="H9" s="518">
        <v>1383</v>
      </c>
      <c r="I9" s="518">
        <v>1608</v>
      </c>
      <c r="J9" s="518">
        <v>1636</v>
      </c>
      <c r="K9" s="518">
        <v>1699</v>
      </c>
    </row>
    <row r="10" spans="1:11">
      <c r="A10" s="519" t="s">
        <v>783</v>
      </c>
      <c r="B10" s="520"/>
      <c r="C10" s="521">
        <v>7221</v>
      </c>
      <c r="D10" s="521">
        <v>7472</v>
      </c>
      <c r="E10" s="521">
        <v>7696</v>
      </c>
      <c r="F10" s="521">
        <v>7844</v>
      </c>
      <c r="G10" s="521">
        <v>8694</v>
      </c>
      <c r="H10" s="521">
        <v>8405</v>
      </c>
      <c r="I10" s="521">
        <v>8786</v>
      </c>
      <c r="J10" s="521">
        <v>9075</v>
      </c>
      <c r="K10" s="521">
        <v>9155</v>
      </c>
    </row>
    <row r="11" spans="1:11">
      <c r="A11" s="520" t="s">
        <v>784</v>
      </c>
      <c r="B11" s="520"/>
      <c r="C11" s="482">
        <v>2.4735381769602303E-2</v>
      </c>
      <c r="D11" s="482">
        <v>2.6108711755908703E-2</v>
      </c>
      <c r="E11" s="482">
        <v>2.6121163369277084E-2</v>
      </c>
      <c r="F11" s="482">
        <v>2.5333462519781677E-2</v>
      </c>
      <c r="G11" s="482">
        <v>2.742102341542188E-2</v>
      </c>
      <c r="H11" s="482">
        <v>2.6031504159465806E-2</v>
      </c>
      <c r="I11" s="482">
        <v>2.6681162237014722E-2</v>
      </c>
      <c r="J11" s="482">
        <v>2.6919197911722828E-2</v>
      </c>
      <c r="K11" s="482">
        <v>2.6335471622126974E-2</v>
      </c>
    </row>
    <row r="12" spans="1:11" ht="19.5" customHeight="1">
      <c r="A12" s="514" t="s">
        <v>713</v>
      </c>
      <c r="C12" s="522"/>
      <c r="D12" s="522"/>
      <c r="E12" s="522"/>
      <c r="F12" s="522"/>
      <c r="G12" s="522"/>
      <c r="H12" s="522"/>
    </row>
    <row r="13" spans="1:11" ht="14.25" customHeight="1">
      <c r="A13" s="517" t="s">
        <v>800</v>
      </c>
      <c r="C13" s="518">
        <v>848</v>
      </c>
      <c r="D13" s="518">
        <v>940</v>
      </c>
      <c r="E13" s="518">
        <v>849</v>
      </c>
      <c r="F13" s="518">
        <v>820</v>
      </c>
      <c r="G13" s="518">
        <v>876</v>
      </c>
      <c r="H13" s="518">
        <v>1316</v>
      </c>
      <c r="I13" s="518">
        <v>1301</v>
      </c>
      <c r="J13" s="518">
        <v>1342</v>
      </c>
      <c r="K13" s="518">
        <v>1330</v>
      </c>
    </row>
    <row r="14" spans="1:11">
      <c r="A14" s="517" t="s">
        <v>779</v>
      </c>
      <c r="C14" s="518">
        <v>206</v>
      </c>
      <c r="D14" s="518">
        <v>211</v>
      </c>
      <c r="E14" s="518">
        <v>211</v>
      </c>
      <c r="F14" s="518">
        <v>242</v>
      </c>
      <c r="G14" s="518">
        <v>245</v>
      </c>
      <c r="H14" s="518">
        <v>242</v>
      </c>
      <c r="I14" s="518">
        <v>238</v>
      </c>
      <c r="J14" s="518">
        <v>239</v>
      </c>
      <c r="K14" s="518">
        <v>233</v>
      </c>
    </row>
    <row r="15" spans="1:11">
      <c r="A15" s="517" t="s">
        <v>780</v>
      </c>
      <c r="C15" s="518">
        <v>413</v>
      </c>
      <c r="D15" s="518">
        <v>400</v>
      </c>
      <c r="E15" s="518">
        <v>390</v>
      </c>
      <c r="F15" s="518">
        <v>381</v>
      </c>
      <c r="G15" s="518">
        <v>407</v>
      </c>
      <c r="H15" s="518">
        <v>380</v>
      </c>
      <c r="I15" s="518">
        <v>380</v>
      </c>
      <c r="J15" s="518">
        <v>358</v>
      </c>
      <c r="K15" s="518">
        <v>382</v>
      </c>
    </row>
    <row r="16" spans="1:11">
      <c r="A16" s="517" t="s">
        <v>781</v>
      </c>
      <c r="C16" s="518">
        <v>38</v>
      </c>
      <c r="D16" s="518">
        <v>40</v>
      </c>
      <c r="E16" s="518">
        <v>41</v>
      </c>
      <c r="F16" s="518">
        <v>43</v>
      </c>
      <c r="G16" s="518">
        <v>67</v>
      </c>
      <c r="H16" s="518">
        <v>292</v>
      </c>
      <c r="I16" s="518">
        <v>289</v>
      </c>
      <c r="J16" s="518">
        <v>315</v>
      </c>
      <c r="K16" s="518">
        <v>306</v>
      </c>
    </row>
    <row r="17" spans="1:11">
      <c r="A17" s="519" t="s">
        <v>783</v>
      </c>
      <c r="B17" s="520"/>
      <c r="C17" s="521">
        <v>1505</v>
      </c>
      <c r="D17" s="521">
        <v>1591</v>
      </c>
      <c r="E17" s="521">
        <v>1491</v>
      </c>
      <c r="F17" s="521">
        <v>1486</v>
      </c>
      <c r="G17" s="521">
        <v>1595</v>
      </c>
      <c r="H17" s="521">
        <v>2230</v>
      </c>
      <c r="I17" s="521">
        <v>2208</v>
      </c>
      <c r="J17" s="521">
        <v>2254</v>
      </c>
      <c r="K17" s="521">
        <v>2251</v>
      </c>
    </row>
    <row r="18" spans="1:11">
      <c r="A18" s="520" t="s">
        <v>784</v>
      </c>
      <c r="B18" s="520"/>
      <c r="C18" s="482">
        <v>5.155345459527969E-3</v>
      </c>
      <c r="D18" s="482">
        <v>5.5592827092680337E-3</v>
      </c>
      <c r="E18" s="482">
        <v>5.0606359905914933E-3</v>
      </c>
      <c r="F18" s="482">
        <v>4.8148268152804329E-3</v>
      </c>
      <c r="G18" s="482">
        <v>5.0306570448122728E-3</v>
      </c>
      <c r="H18" s="482">
        <v>6.9066334652717123E-3</v>
      </c>
      <c r="I18" s="482">
        <v>6.7052135464749042E-3</v>
      </c>
      <c r="J18" s="482">
        <v>6.6860465116279069E-3</v>
      </c>
      <c r="K18" s="482">
        <v>7.0000000000000001E-3</v>
      </c>
    </row>
    <row r="19" spans="1:11" ht="19.5" customHeight="1">
      <c r="A19" s="514" t="s">
        <v>777</v>
      </c>
      <c r="C19" s="523"/>
      <c r="D19" s="523"/>
      <c r="E19" s="523"/>
      <c r="F19" s="523"/>
      <c r="G19" s="523"/>
    </row>
    <row r="20" spans="1:11">
      <c r="A20" s="524" t="s">
        <v>782</v>
      </c>
      <c r="C20" s="525">
        <v>0.26984126984126983</v>
      </c>
      <c r="D20" s="525">
        <v>0.28746177370030579</v>
      </c>
      <c r="E20" s="525">
        <v>0.25222551928783382</v>
      </c>
      <c r="F20" s="525">
        <v>0.23699421965317918</v>
      </c>
      <c r="G20" s="525">
        <v>0.22606451612903225</v>
      </c>
      <c r="H20" s="525">
        <v>0.34879406307977734</v>
      </c>
      <c r="I20" s="525">
        <v>0.33307731694828469</v>
      </c>
      <c r="J20" s="525">
        <v>0.32620320855614976</v>
      </c>
      <c r="K20" s="525">
        <v>0.32117845930934558</v>
      </c>
    </row>
    <row r="21" spans="1:11">
      <c r="A21" s="517" t="s">
        <v>779</v>
      </c>
      <c r="C21" s="525">
        <v>0.18260869565217391</v>
      </c>
      <c r="D21" s="525">
        <v>0.18103448275862069</v>
      </c>
      <c r="E21" s="525">
        <v>0.17948717948717949</v>
      </c>
      <c r="F21" s="525">
        <v>0.20689655172413793</v>
      </c>
      <c r="G21" s="525">
        <v>0.19337016574585636</v>
      </c>
      <c r="H21" s="525">
        <v>0.20560747663551401</v>
      </c>
      <c r="I21" s="525">
        <v>0.19734660033167495</v>
      </c>
      <c r="J21" s="525">
        <v>0.19227674979887369</v>
      </c>
      <c r="K21" s="525">
        <v>0.18820678513731826</v>
      </c>
    </row>
    <row r="22" spans="1:11">
      <c r="A22" s="517" t="s">
        <v>780</v>
      </c>
      <c r="C22" s="525">
        <v>0.21243523316062177</v>
      </c>
      <c r="D22" s="525">
        <v>0.2</v>
      </c>
      <c r="E22" s="525">
        <v>0.19117647058823531</v>
      </c>
      <c r="F22" s="525">
        <v>0.18627450980392157</v>
      </c>
      <c r="G22" s="525">
        <v>0.18627002288329519</v>
      </c>
      <c r="H22" s="525">
        <v>0.18339768339768339</v>
      </c>
      <c r="I22" s="525">
        <v>0.18393030009680542</v>
      </c>
      <c r="J22" s="525">
        <v>0.17195004803073968</v>
      </c>
      <c r="K22" s="525">
        <v>0.18391911410688494</v>
      </c>
    </row>
    <row r="23" spans="1:11">
      <c r="A23" s="517" t="s">
        <v>781</v>
      </c>
      <c r="C23" s="525">
        <v>4.0404040404040407E-2</v>
      </c>
      <c r="D23" s="525">
        <v>3.8095238095238092E-2</v>
      </c>
      <c r="E23" s="525">
        <v>3.5714285714285712E-2</v>
      </c>
      <c r="F23" s="525">
        <v>3.3898305084745763E-2</v>
      </c>
      <c r="G23" s="525">
        <v>4.9012435991221653E-2</v>
      </c>
      <c r="H23" s="525">
        <v>0.21113521330441071</v>
      </c>
      <c r="I23" s="525">
        <v>0.17972636815920398</v>
      </c>
      <c r="J23" s="525">
        <v>0.19254278728606358</v>
      </c>
      <c r="K23" s="525">
        <v>0.18010594467333726</v>
      </c>
    </row>
    <row r="24" spans="1:11">
      <c r="A24" s="519" t="s">
        <v>783</v>
      </c>
      <c r="B24" s="520"/>
      <c r="C24" s="526">
        <v>0.20914127423822715</v>
      </c>
      <c r="D24" s="526">
        <v>0.21256684491978609</v>
      </c>
      <c r="E24" s="526">
        <v>0.19350649350649354</v>
      </c>
      <c r="F24" s="526">
        <v>0.18877551020408162</v>
      </c>
      <c r="G24" s="526">
        <v>0.18068181818181819</v>
      </c>
      <c r="H24" s="526">
        <v>0.27004716981132076</v>
      </c>
      <c r="I24" s="526">
        <v>0.27004716981132076</v>
      </c>
      <c r="J24" s="526">
        <v>0.27004716981132099</v>
      </c>
      <c r="K24" s="526">
        <v>0.27004716981132099</v>
      </c>
    </row>
    <row r="25" spans="1:11" s="530" customFormat="1">
      <c r="A25" s="527"/>
      <c r="B25" s="527"/>
      <c r="C25" s="528"/>
      <c r="D25" s="528"/>
      <c r="E25" s="528"/>
      <c r="F25" s="528"/>
      <c r="G25" s="528"/>
      <c r="H25" s="528"/>
      <c r="I25" s="529"/>
      <c r="J25" s="529"/>
      <c r="K25" s="529"/>
    </row>
    <row r="26" spans="1:11">
      <c r="C26" s="523"/>
      <c r="D26" s="523"/>
      <c r="E26" s="523"/>
      <c r="F26" s="523"/>
      <c r="G26" s="523"/>
      <c r="H26" s="523"/>
    </row>
    <row r="27" spans="1:11" ht="14.25" customHeight="1">
      <c r="A27" s="531" t="s">
        <v>801</v>
      </c>
    </row>
    <row r="28" spans="1:11" ht="14.25" customHeight="1">
      <c r="A28" s="531" t="s">
        <v>802</v>
      </c>
    </row>
    <row r="29" spans="1:11" ht="14.25" customHeight="1">
      <c r="A29" s="531" t="s">
        <v>798</v>
      </c>
    </row>
  </sheetData>
  <pageMargins left="0.7" right="0.7" top="0.51" bottom="0.28999999999999998" header="0.45" footer="0.24"/>
  <pageSetup paperSize="9" scale="92" orientation="portrait" r:id="rId1"/>
  <ignoredErrors>
    <ignoredError sqref="G4:I4"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tabColor rgb="FF92D050"/>
  </sheetPr>
  <dimension ref="A1:E24"/>
  <sheetViews>
    <sheetView zoomScale="90" workbookViewId="0"/>
  </sheetViews>
  <sheetFormatPr baseColWidth="10" defaultRowHeight="12.75"/>
  <cols>
    <col min="1" max="1" width="41.7109375" style="123" customWidth="1"/>
    <col min="2" max="5" width="10.5703125" style="399" customWidth="1"/>
    <col min="6" max="255" width="11.42578125" style="123"/>
    <col min="256" max="256" width="48.85546875" style="123" customWidth="1"/>
    <col min="257" max="257" width="8.28515625" style="123" customWidth="1"/>
    <col min="258" max="258" width="4.85546875" style="123" customWidth="1"/>
    <col min="259" max="259" width="27.5703125" style="123" bestFit="1" customWidth="1"/>
    <col min="260" max="511" width="11.42578125" style="123"/>
    <col min="512" max="512" width="48.85546875" style="123" customWidth="1"/>
    <col min="513" max="513" width="8.28515625" style="123" customWidth="1"/>
    <col min="514" max="514" width="4.85546875" style="123" customWidth="1"/>
    <col min="515" max="515" width="27.5703125" style="123" bestFit="1" customWidth="1"/>
    <col min="516" max="767" width="11.42578125" style="123"/>
    <col min="768" max="768" width="48.85546875" style="123" customWidth="1"/>
    <col min="769" max="769" width="8.28515625" style="123" customWidth="1"/>
    <col min="770" max="770" width="4.85546875" style="123" customWidth="1"/>
    <col min="771" max="771" width="27.5703125" style="123" bestFit="1" customWidth="1"/>
    <col min="772" max="1023" width="11.42578125" style="123"/>
    <col min="1024" max="1024" width="48.85546875" style="123" customWidth="1"/>
    <col min="1025" max="1025" width="8.28515625" style="123" customWidth="1"/>
    <col min="1026" max="1026" width="4.85546875" style="123" customWidth="1"/>
    <col min="1027" max="1027" width="27.5703125" style="123" bestFit="1" customWidth="1"/>
    <col min="1028" max="1279" width="11.42578125" style="123"/>
    <col min="1280" max="1280" width="48.85546875" style="123" customWidth="1"/>
    <col min="1281" max="1281" width="8.28515625" style="123" customWidth="1"/>
    <col min="1282" max="1282" width="4.85546875" style="123" customWidth="1"/>
    <col min="1283" max="1283" width="27.5703125" style="123" bestFit="1" customWidth="1"/>
    <col min="1284" max="1535" width="11.42578125" style="123"/>
    <col min="1536" max="1536" width="48.85546875" style="123" customWidth="1"/>
    <col min="1537" max="1537" width="8.28515625" style="123" customWidth="1"/>
    <col min="1538" max="1538" width="4.85546875" style="123" customWidth="1"/>
    <col min="1539" max="1539" width="27.5703125" style="123" bestFit="1" customWidth="1"/>
    <col min="1540" max="1791" width="11.42578125" style="123"/>
    <col min="1792" max="1792" width="48.85546875" style="123" customWidth="1"/>
    <col min="1793" max="1793" width="8.28515625" style="123" customWidth="1"/>
    <col min="1794" max="1794" width="4.85546875" style="123" customWidth="1"/>
    <col min="1795" max="1795" width="27.5703125" style="123" bestFit="1" customWidth="1"/>
    <col min="1796" max="2047" width="11.42578125" style="123"/>
    <col min="2048" max="2048" width="48.85546875" style="123" customWidth="1"/>
    <col min="2049" max="2049" width="8.28515625" style="123" customWidth="1"/>
    <col min="2050" max="2050" width="4.85546875" style="123" customWidth="1"/>
    <col min="2051" max="2051" width="27.5703125" style="123" bestFit="1" customWidth="1"/>
    <col min="2052" max="2303" width="11.42578125" style="123"/>
    <col min="2304" max="2304" width="48.85546875" style="123" customWidth="1"/>
    <col min="2305" max="2305" width="8.28515625" style="123" customWidth="1"/>
    <col min="2306" max="2306" width="4.85546875" style="123" customWidth="1"/>
    <col min="2307" max="2307" width="27.5703125" style="123" bestFit="1" customWidth="1"/>
    <col min="2308" max="2559" width="11.42578125" style="123"/>
    <col min="2560" max="2560" width="48.85546875" style="123" customWidth="1"/>
    <col min="2561" max="2561" width="8.28515625" style="123" customWidth="1"/>
    <col min="2562" max="2562" width="4.85546875" style="123" customWidth="1"/>
    <col min="2563" max="2563" width="27.5703125" style="123" bestFit="1" customWidth="1"/>
    <col min="2564" max="2815" width="11.42578125" style="123"/>
    <col min="2816" max="2816" width="48.85546875" style="123" customWidth="1"/>
    <col min="2817" max="2817" width="8.28515625" style="123" customWidth="1"/>
    <col min="2818" max="2818" width="4.85546875" style="123" customWidth="1"/>
    <col min="2819" max="2819" width="27.5703125" style="123" bestFit="1" customWidth="1"/>
    <col min="2820" max="3071" width="11.42578125" style="123"/>
    <col min="3072" max="3072" width="48.85546875" style="123" customWidth="1"/>
    <col min="3073" max="3073" width="8.28515625" style="123" customWidth="1"/>
    <col min="3074" max="3074" width="4.85546875" style="123" customWidth="1"/>
    <col min="3075" max="3075" width="27.5703125" style="123" bestFit="1" customWidth="1"/>
    <col min="3076" max="3327" width="11.42578125" style="123"/>
    <col min="3328" max="3328" width="48.85546875" style="123" customWidth="1"/>
    <col min="3329" max="3329" width="8.28515625" style="123" customWidth="1"/>
    <col min="3330" max="3330" width="4.85546875" style="123" customWidth="1"/>
    <col min="3331" max="3331" width="27.5703125" style="123" bestFit="1" customWidth="1"/>
    <col min="3332" max="3583" width="11.42578125" style="123"/>
    <col min="3584" max="3584" width="48.85546875" style="123" customWidth="1"/>
    <col min="3585" max="3585" width="8.28515625" style="123" customWidth="1"/>
    <col min="3586" max="3586" width="4.85546875" style="123" customWidth="1"/>
    <col min="3587" max="3587" width="27.5703125" style="123" bestFit="1" customWidth="1"/>
    <col min="3588" max="3839" width="11.42578125" style="123"/>
    <col min="3840" max="3840" width="48.85546875" style="123" customWidth="1"/>
    <col min="3841" max="3841" width="8.28515625" style="123" customWidth="1"/>
    <col min="3842" max="3842" width="4.85546875" style="123" customWidth="1"/>
    <col min="3843" max="3843" width="27.5703125" style="123" bestFit="1" customWidth="1"/>
    <col min="3844" max="4095" width="11.42578125" style="123"/>
    <col min="4096" max="4096" width="48.85546875" style="123" customWidth="1"/>
    <col min="4097" max="4097" width="8.28515625" style="123" customWidth="1"/>
    <col min="4098" max="4098" width="4.85546875" style="123" customWidth="1"/>
    <col min="4099" max="4099" width="27.5703125" style="123" bestFit="1" customWidth="1"/>
    <col min="4100" max="4351" width="11.42578125" style="123"/>
    <col min="4352" max="4352" width="48.85546875" style="123" customWidth="1"/>
    <col min="4353" max="4353" width="8.28515625" style="123" customWidth="1"/>
    <col min="4354" max="4354" width="4.85546875" style="123" customWidth="1"/>
    <col min="4355" max="4355" width="27.5703125" style="123" bestFit="1" customWidth="1"/>
    <col min="4356" max="4607" width="11.42578125" style="123"/>
    <col min="4608" max="4608" width="48.85546875" style="123" customWidth="1"/>
    <col min="4609" max="4609" width="8.28515625" style="123" customWidth="1"/>
    <col min="4610" max="4610" width="4.85546875" style="123" customWidth="1"/>
    <col min="4611" max="4611" width="27.5703125" style="123" bestFit="1" customWidth="1"/>
    <col min="4612" max="4863" width="11.42578125" style="123"/>
    <col min="4864" max="4864" width="48.85546875" style="123" customWidth="1"/>
    <col min="4865" max="4865" width="8.28515625" style="123" customWidth="1"/>
    <col min="4866" max="4866" width="4.85546875" style="123" customWidth="1"/>
    <col min="4867" max="4867" width="27.5703125" style="123" bestFit="1" customWidth="1"/>
    <col min="4868" max="5119" width="11.42578125" style="123"/>
    <col min="5120" max="5120" width="48.85546875" style="123" customWidth="1"/>
    <col min="5121" max="5121" width="8.28515625" style="123" customWidth="1"/>
    <col min="5122" max="5122" width="4.85546875" style="123" customWidth="1"/>
    <col min="5123" max="5123" width="27.5703125" style="123" bestFit="1" customWidth="1"/>
    <col min="5124" max="5375" width="11.42578125" style="123"/>
    <col min="5376" max="5376" width="48.85546875" style="123" customWidth="1"/>
    <col min="5377" max="5377" width="8.28515625" style="123" customWidth="1"/>
    <col min="5378" max="5378" width="4.85546875" style="123" customWidth="1"/>
    <col min="5379" max="5379" width="27.5703125" style="123" bestFit="1" customWidth="1"/>
    <col min="5380" max="5631" width="11.42578125" style="123"/>
    <col min="5632" max="5632" width="48.85546875" style="123" customWidth="1"/>
    <col min="5633" max="5633" width="8.28515625" style="123" customWidth="1"/>
    <col min="5634" max="5634" width="4.85546875" style="123" customWidth="1"/>
    <col min="5635" max="5635" width="27.5703125" style="123" bestFit="1" customWidth="1"/>
    <col min="5636" max="5887" width="11.42578125" style="123"/>
    <col min="5888" max="5888" width="48.85546875" style="123" customWidth="1"/>
    <col min="5889" max="5889" width="8.28515625" style="123" customWidth="1"/>
    <col min="5890" max="5890" width="4.85546875" style="123" customWidth="1"/>
    <col min="5891" max="5891" width="27.5703125" style="123" bestFit="1" customWidth="1"/>
    <col min="5892" max="6143" width="11.42578125" style="123"/>
    <col min="6144" max="6144" width="48.85546875" style="123" customWidth="1"/>
    <col min="6145" max="6145" width="8.28515625" style="123" customWidth="1"/>
    <col min="6146" max="6146" width="4.85546875" style="123" customWidth="1"/>
    <col min="6147" max="6147" width="27.5703125" style="123" bestFit="1" customWidth="1"/>
    <col min="6148" max="6399" width="11.42578125" style="123"/>
    <col min="6400" max="6400" width="48.85546875" style="123" customWidth="1"/>
    <col min="6401" max="6401" width="8.28515625" style="123" customWidth="1"/>
    <col min="6402" max="6402" width="4.85546875" style="123" customWidth="1"/>
    <col min="6403" max="6403" width="27.5703125" style="123" bestFit="1" customWidth="1"/>
    <col min="6404" max="6655" width="11.42578125" style="123"/>
    <col min="6656" max="6656" width="48.85546875" style="123" customWidth="1"/>
    <col min="6657" max="6657" width="8.28515625" style="123" customWidth="1"/>
    <col min="6658" max="6658" width="4.85546875" style="123" customWidth="1"/>
    <col min="6659" max="6659" width="27.5703125" style="123" bestFit="1" customWidth="1"/>
    <col min="6660" max="6911" width="11.42578125" style="123"/>
    <col min="6912" max="6912" width="48.85546875" style="123" customWidth="1"/>
    <col min="6913" max="6913" width="8.28515625" style="123" customWidth="1"/>
    <col min="6914" max="6914" width="4.85546875" style="123" customWidth="1"/>
    <col min="6915" max="6915" width="27.5703125" style="123" bestFit="1" customWidth="1"/>
    <col min="6916" max="7167" width="11.42578125" style="123"/>
    <col min="7168" max="7168" width="48.85546875" style="123" customWidth="1"/>
    <col min="7169" max="7169" width="8.28515625" style="123" customWidth="1"/>
    <col min="7170" max="7170" width="4.85546875" style="123" customWidth="1"/>
    <col min="7171" max="7171" width="27.5703125" style="123" bestFit="1" customWidth="1"/>
    <col min="7172" max="7423" width="11.42578125" style="123"/>
    <col min="7424" max="7424" width="48.85546875" style="123" customWidth="1"/>
    <col min="7425" max="7425" width="8.28515625" style="123" customWidth="1"/>
    <col min="7426" max="7426" width="4.85546875" style="123" customWidth="1"/>
    <col min="7427" max="7427" width="27.5703125" style="123" bestFit="1" customWidth="1"/>
    <col min="7428" max="7679" width="11.42578125" style="123"/>
    <col min="7680" max="7680" width="48.85546875" style="123" customWidth="1"/>
    <col min="7681" max="7681" width="8.28515625" style="123" customWidth="1"/>
    <col min="7682" max="7682" width="4.85546875" style="123" customWidth="1"/>
    <col min="7683" max="7683" width="27.5703125" style="123" bestFit="1" customWidth="1"/>
    <col min="7684" max="7935" width="11.42578125" style="123"/>
    <col min="7936" max="7936" width="48.85546875" style="123" customWidth="1"/>
    <col min="7937" max="7937" width="8.28515625" style="123" customWidth="1"/>
    <col min="7938" max="7938" width="4.85546875" style="123" customWidth="1"/>
    <col min="7939" max="7939" width="27.5703125" style="123" bestFit="1" customWidth="1"/>
    <col min="7940" max="8191" width="11.42578125" style="123"/>
    <col min="8192" max="8192" width="48.85546875" style="123" customWidth="1"/>
    <col min="8193" max="8193" width="8.28515625" style="123" customWidth="1"/>
    <col min="8194" max="8194" width="4.85546875" style="123" customWidth="1"/>
    <col min="8195" max="8195" width="27.5703125" style="123" bestFit="1" customWidth="1"/>
    <col min="8196" max="8447" width="11.42578125" style="123"/>
    <col min="8448" max="8448" width="48.85546875" style="123" customWidth="1"/>
    <col min="8449" max="8449" width="8.28515625" style="123" customWidth="1"/>
    <col min="8450" max="8450" width="4.85546875" style="123" customWidth="1"/>
    <col min="8451" max="8451" width="27.5703125" style="123" bestFit="1" customWidth="1"/>
    <col min="8452" max="8703" width="11.42578125" style="123"/>
    <col min="8704" max="8704" width="48.85546875" style="123" customWidth="1"/>
    <col min="8705" max="8705" width="8.28515625" style="123" customWidth="1"/>
    <col min="8706" max="8706" width="4.85546875" style="123" customWidth="1"/>
    <col min="8707" max="8707" width="27.5703125" style="123" bestFit="1" customWidth="1"/>
    <col min="8708" max="8959" width="11.42578125" style="123"/>
    <col min="8960" max="8960" width="48.85546875" style="123" customWidth="1"/>
    <col min="8961" max="8961" width="8.28515625" style="123" customWidth="1"/>
    <col min="8962" max="8962" width="4.85546875" style="123" customWidth="1"/>
    <col min="8963" max="8963" width="27.5703125" style="123" bestFit="1" customWidth="1"/>
    <col min="8964" max="9215" width="11.42578125" style="123"/>
    <col min="9216" max="9216" width="48.85546875" style="123" customWidth="1"/>
    <col min="9217" max="9217" width="8.28515625" style="123" customWidth="1"/>
    <col min="9218" max="9218" width="4.85546875" style="123" customWidth="1"/>
    <col min="9219" max="9219" width="27.5703125" style="123" bestFit="1" customWidth="1"/>
    <col min="9220" max="9471" width="11.42578125" style="123"/>
    <col min="9472" max="9472" width="48.85546875" style="123" customWidth="1"/>
    <col min="9473" max="9473" width="8.28515625" style="123" customWidth="1"/>
    <col min="9474" max="9474" width="4.85546875" style="123" customWidth="1"/>
    <col min="9475" max="9475" width="27.5703125" style="123" bestFit="1" customWidth="1"/>
    <col min="9476" max="9727" width="11.42578125" style="123"/>
    <col min="9728" max="9728" width="48.85546875" style="123" customWidth="1"/>
    <col min="9729" max="9729" width="8.28515625" style="123" customWidth="1"/>
    <col min="9730" max="9730" width="4.85546875" style="123" customWidth="1"/>
    <col min="9731" max="9731" width="27.5703125" style="123" bestFit="1" customWidth="1"/>
    <col min="9732" max="9983" width="11.42578125" style="123"/>
    <col min="9984" max="9984" width="48.85546875" style="123" customWidth="1"/>
    <col min="9985" max="9985" width="8.28515625" style="123" customWidth="1"/>
    <col min="9986" max="9986" width="4.85546875" style="123" customWidth="1"/>
    <col min="9987" max="9987" width="27.5703125" style="123" bestFit="1" customWidth="1"/>
    <col min="9988" max="10239" width="11.42578125" style="123"/>
    <col min="10240" max="10240" width="48.85546875" style="123" customWidth="1"/>
    <col min="10241" max="10241" width="8.28515625" style="123" customWidth="1"/>
    <col min="10242" max="10242" width="4.85546875" style="123" customWidth="1"/>
    <col min="10243" max="10243" width="27.5703125" style="123" bestFit="1" customWidth="1"/>
    <col min="10244" max="10495" width="11.42578125" style="123"/>
    <col min="10496" max="10496" width="48.85546875" style="123" customWidth="1"/>
    <col min="10497" max="10497" width="8.28515625" style="123" customWidth="1"/>
    <col min="10498" max="10498" width="4.85546875" style="123" customWidth="1"/>
    <col min="10499" max="10499" width="27.5703125" style="123" bestFit="1" customWidth="1"/>
    <col min="10500" max="10751" width="11.42578125" style="123"/>
    <col min="10752" max="10752" width="48.85546875" style="123" customWidth="1"/>
    <col min="10753" max="10753" width="8.28515625" style="123" customWidth="1"/>
    <col min="10754" max="10754" width="4.85546875" style="123" customWidth="1"/>
    <col min="10755" max="10755" width="27.5703125" style="123" bestFit="1" customWidth="1"/>
    <col min="10756" max="11007" width="11.42578125" style="123"/>
    <col min="11008" max="11008" width="48.85546875" style="123" customWidth="1"/>
    <col min="11009" max="11009" width="8.28515625" style="123" customWidth="1"/>
    <col min="11010" max="11010" width="4.85546875" style="123" customWidth="1"/>
    <col min="11011" max="11011" width="27.5703125" style="123" bestFit="1" customWidth="1"/>
    <col min="11012" max="11263" width="11.42578125" style="123"/>
    <col min="11264" max="11264" width="48.85546875" style="123" customWidth="1"/>
    <col min="11265" max="11265" width="8.28515625" style="123" customWidth="1"/>
    <col min="11266" max="11266" width="4.85546875" style="123" customWidth="1"/>
    <col min="11267" max="11267" width="27.5703125" style="123" bestFit="1" customWidth="1"/>
    <col min="11268" max="11519" width="11.42578125" style="123"/>
    <col min="11520" max="11520" width="48.85546875" style="123" customWidth="1"/>
    <col min="11521" max="11521" width="8.28515625" style="123" customWidth="1"/>
    <col min="11522" max="11522" width="4.85546875" style="123" customWidth="1"/>
    <col min="11523" max="11523" width="27.5703125" style="123" bestFit="1" customWidth="1"/>
    <col min="11524" max="11775" width="11.42578125" style="123"/>
    <col min="11776" max="11776" width="48.85546875" style="123" customWidth="1"/>
    <col min="11777" max="11777" width="8.28515625" style="123" customWidth="1"/>
    <col min="11778" max="11778" width="4.85546875" style="123" customWidth="1"/>
    <col min="11779" max="11779" width="27.5703125" style="123" bestFit="1" customWidth="1"/>
    <col min="11780" max="12031" width="11.42578125" style="123"/>
    <col min="12032" max="12032" width="48.85546875" style="123" customWidth="1"/>
    <col min="12033" max="12033" width="8.28515625" style="123" customWidth="1"/>
    <col min="12034" max="12034" width="4.85546875" style="123" customWidth="1"/>
    <col min="12035" max="12035" width="27.5703125" style="123" bestFit="1" customWidth="1"/>
    <col min="12036" max="12287" width="11.42578125" style="123"/>
    <col min="12288" max="12288" width="48.85546875" style="123" customWidth="1"/>
    <col min="12289" max="12289" width="8.28515625" style="123" customWidth="1"/>
    <col min="12290" max="12290" width="4.85546875" style="123" customWidth="1"/>
    <col min="12291" max="12291" width="27.5703125" style="123" bestFit="1" customWidth="1"/>
    <col min="12292" max="12543" width="11.42578125" style="123"/>
    <col min="12544" max="12544" width="48.85546875" style="123" customWidth="1"/>
    <col min="12545" max="12545" width="8.28515625" style="123" customWidth="1"/>
    <col min="12546" max="12546" width="4.85546875" style="123" customWidth="1"/>
    <col min="12547" max="12547" width="27.5703125" style="123" bestFit="1" customWidth="1"/>
    <col min="12548" max="12799" width="11.42578125" style="123"/>
    <col min="12800" max="12800" width="48.85546875" style="123" customWidth="1"/>
    <col min="12801" max="12801" width="8.28515625" style="123" customWidth="1"/>
    <col min="12802" max="12802" width="4.85546875" style="123" customWidth="1"/>
    <col min="12803" max="12803" width="27.5703125" style="123" bestFit="1" customWidth="1"/>
    <col min="12804" max="13055" width="11.42578125" style="123"/>
    <col min="13056" max="13056" width="48.85546875" style="123" customWidth="1"/>
    <col min="13057" max="13057" width="8.28515625" style="123" customWidth="1"/>
    <col min="13058" max="13058" width="4.85546875" style="123" customWidth="1"/>
    <col min="13059" max="13059" width="27.5703125" style="123" bestFit="1" customWidth="1"/>
    <col min="13060" max="13311" width="11.42578125" style="123"/>
    <col min="13312" max="13312" width="48.85546875" style="123" customWidth="1"/>
    <col min="13313" max="13313" width="8.28515625" style="123" customWidth="1"/>
    <col min="13314" max="13314" width="4.85546875" style="123" customWidth="1"/>
    <col min="13315" max="13315" width="27.5703125" style="123" bestFit="1" customWidth="1"/>
    <col min="13316" max="13567" width="11.42578125" style="123"/>
    <col min="13568" max="13568" width="48.85546875" style="123" customWidth="1"/>
    <col min="13569" max="13569" width="8.28515625" style="123" customWidth="1"/>
    <col min="13570" max="13570" width="4.85546875" style="123" customWidth="1"/>
    <col min="13571" max="13571" width="27.5703125" style="123" bestFit="1" customWidth="1"/>
    <col min="13572" max="13823" width="11.42578125" style="123"/>
    <col min="13824" max="13824" width="48.85546875" style="123" customWidth="1"/>
    <col min="13825" max="13825" width="8.28515625" style="123" customWidth="1"/>
    <col min="13826" max="13826" width="4.85546875" style="123" customWidth="1"/>
    <col min="13827" max="13827" width="27.5703125" style="123" bestFit="1" customWidth="1"/>
    <col min="13828" max="14079" width="11.42578125" style="123"/>
    <col min="14080" max="14080" width="48.85546875" style="123" customWidth="1"/>
    <col min="14081" max="14081" width="8.28515625" style="123" customWidth="1"/>
    <col min="14082" max="14082" width="4.85546875" style="123" customWidth="1"/>
    <col min="14083" max="14083" width="27.5703125" style="123" bestFit="1" customWidth="1"/>
    <col min="14084" max="14335" width="11.42578125" style="123"/>
    <col min="14336" max="14336" width="48.85546875" style="123" customWidth="1"/>
    <col min="14337" max="14337" width="8.28515625" style="123" customWidth="1"/>
    <col min="14338" max="14338" width="4.85546875" style="123" customWidth="1"/>
    <col min="14339" max="14339" width="27.5703125" style="123" bestFit="1" customWidth="1"/>
    <col min="14340" max="14591" width="11.42578125" style="123"/>
    <col min="14592" max="14592" width="48.85546875" style="123" customWidth="1"/>
    <col min="14593" max="14593" width="8.28515625" style="123" customWidth="1"/>
    <col min="14594" max="14594" width="4.85546875" style="123" customWidth="1"/>
    <col min="14595" max="14595" width="27.5703125" style="123" bestFit="1" customWidth="1"/>
    <col min="14596" max="14847" width="11.42578125" style="123"/>
    <col min="14848" max="14848" width="48.85546875" style="123" customWidth="1"/>
    <col min="14849" max="14849" width="8.28515625" style="123" customWidth="1"/>
    <col min="14850" max="14850" width="4.85546875" style="123" customWidth="1"/>
    <col min="14851" max="14851" width="27.5703125" style="123" bestFit="1" customWidth="1"/>
    <col min="14852" max="15103" width="11.42578125" style="123"/>
    <col min="15104" max="15104" width="48.85546875" style="123" customWidth="1"/>
    <col min="15105" max="15105" width="8.28515625" style="123" customWidth="1"/>
    <col min="15106" max="15106" width="4.85546875" style="123" customWidth="1"/>
    <col min="15107" max="15107" width="27.5703125" style="123" bestFit="1" customWidth="1"/>
    <col min="15108" max="15359" width="11.42578125" style="123"/>
    <col min="15360" max="15360" width="48.85546875" style="123" customWidth="1"/>
    <col min="15361" max="15361" width="8.28515625" style="123" customWidth="1"/>
    <col min="15362" max="15362" width="4.85546875" style="123" customWidth="1"/>
    <col min="15363" max="15363" width="27.5703125" style="123" bestFit="1" customWidth="1"/>
    <col min="15364" max="15615" width="11.42578125" style="123"/>
    <col min="15616" max="15616" width="48.85546875" style="123" customWidth="1"/>
    <col min="15617" max="15617" width="8.28515625" style="123" customWidth="1"/>
    <col min="15618" max="15618" width="4.85546875" style="123" customWidth="1"/>
    <col min="15619" max="15619" width="27.5703125" style="123" bestFit="1" customWidth="1"/>
    <col min="15620" max="15871" width="11.42578125" style="123"/>
    <col min="15872" max="15872" width="48.85546875" style="123" customWidth="1"/>
    <col min="15873" max="15873" width="8.28515625" style="123" customWidth="1"/>
    <col min="15874" max="15874" width="4.85546875" style="123" customWidth="1"/>
    <col min="15875" max="15875" width="27.5703125" style="123" bestFit="1" customWidth="1"/>
    <col min="15876" max="16127" width="11.42578125" style="123"/>
    <col min="16128" max="16128" width="48.85546875" style="123" customWidth="1"/>
    <col min="16129" max="16129" width="8.28515625" style="123" customWidth="1"/>
    <col min="16130" max="16130" width="4.85546875" style="123" customWidth="1"/>
    <col min="16131" max="16131" width="27.5703125" style="123" bestFit="1" customWidth="1"/>
    <col min="16132" max="16384" width="11.42578125" style="123"/>
  </cols>
  <sheetData>
    <row r="1" spans="1:5" ht="15.75">
      <c r="A1" s="161" t="s">
        <v>1013</v>
      </c>
      <c r="B1" s="353"/>
      <c r="C1" s="353"/>
      <c r="D1" s="353"/>
      <c r="E1" s="353"/>
    </row>
    <row r="2" spans="1:5" s="121" customFormat="1" ht="14.25">
      <c r="A2" s="154" t="s">
        <v>35</v>
      </c>
      <c r="B2" s="154"/>
      <c r="C2" s="154"/>
      <c r="D2" s="154"/>
      <c r="E2" s="154"/>
    </row>
    <row r="3" spans="1:5" s="121" customFormat="1" ht="14.25">
      <c r="A3" s="161"/>
      <c r="B3" s="154"/>
      <c r="C3" s="154"/>
      <c r="D3" s="154"/>
      <c r="E3" s="154"/>
    </row>
    <row r="4" spans="1:5" s="358" customFormat="1" ht="31.5" customHeight="1">
      <c r="A4" s="359"/>
      <c r="B4" s="454">
        <v>2013</v>
      </c>
      <c r="C4" s="454">
        <v>2014</v>
      </c>
      <c r="D4" s="454" t="s">
        <v>939</v>
      </c>
      <c r="E4" s="454" t="s">
        <v>1057</v>
      </c>
    </row>
    <row r="5" spans="1:5" ht="22.5" customHeight="1">
      <c r="A5" s="161" t="s">
        <v>699</v>
      </c>
      <c r="B5" s="157"/>
      <c r="C5" s="157"/>
      <c r="D5" s="157"/>
      <c r="E5" s="157"/>
    </row>
    <row r="6" spans="1:5" ht="14.25">
      <c r="A6" s="154" t="s">
        <v>700</v>
      </c>
      <c r="B6" s="157">
        <v>0.90900000000000003</v>
      </c>
      <c r="C6" s="157">
        <v>5.0000000000000001E-3</v>
      </c>
      <c r="D6" s="157">
        <v>2.5000000000000001E-2</v>
      </c>
      <c r="E6" s="157">
        <v>8.9999999999999993E-3</v>
      </c>
    </row>
    <row r="7" spans="1:5" ht="14.25">
      <c r="A7" s="154" t="s">
        <v>701</v>
      </c>
      <c r="B7" s="157">
        <v>67.370999999999995</v>
      </c>
      <c r="C7" s="157">
        <v>86.728999999999999</v>
      </c>
      <c r="D7" s="157">
        <v>63.664999999999999</v>
      </c>
      <c r="E7" s="157">
        <v>56.622999999999998</v>
      </c>
    </row>
    <row r="8" spans="1:5" ht="14.25">
      <c r="A8" s="154" t="s">
        <v>702</v>
      </c>
      <c r="B8" s="157">
        <v>248.61199999999999</v>
      </c>
      <c r="C8" s="157">
        <v>265.14499999999998</v>
      </c>
      <c r="D8" s="157">
        <v>85.049000000000007</v>
      </c>
      <c r="E8" s="157">
        <v>90.298000000000002</v>
      </c>
    </row>
    <row r="9" spans="1:5" ht="14.25">
      <c r="A9" s="154" t="s">
        <v>703</v>
      </c>
      <c r="B9" s="157">
        <v>128.886</v>
      </c>
      <c r="C9" s="157">
        <v>98.453000000000003</v>
      </c>
      <c r="D9" s="157">
        <v>84.977000000000004</v>
      </c>
      <c r="E9" s="157">
        <v>128.27500000000001</v>
      </c>
    </row>
    <row r="10" spans="1:5" ht="14.25">
      <c r="A10" s="154" t="s">
        <v>704</v>
      </c>
      <c r="B10" s="157">
        <v>1.45</v>
      </c>
      <c r="C10" s="157">
        <v>1.67</v>
      </c>
      <c r="D10" s="157">
        <v>1.5089999999999999</v>
      </c>
      <c r="E10" s="157">
        <v>1.157</v>
      </c>
    </row>
    <row r="11" spans="1:5" ht="14.25">
      <c r="A11" s="154" t="s">
        <v>578</v>
      </c>
      <c r="B11" s="157">
        <v>89.087000000000003</v>
      </c>
      <c r="C11" s="157">
        <v>61.277000000000001</v>
      </c>
      <c r="D11" s="157">
        <v>57.573999999999998</v>
      </c>
      <c r="E11" s="157">
        <v>78.905000000000001</v>
      </c>
    </row>
    <row r="12" spans="1:5" ht="14.25">
      <c r="A12" s="154" t="s">
        <v>705</v>
      </c>
      <c r="B12" s="157">
        <v>42.427999999999997</v>
      </c>
      <c r="C12" s="157">
        <v>38.600999999999999</v>
      </c>
      <c r="D12" s="157">
        <v>55.186999999999998</v>
      </c>
      <c r="E12" s="157">
        <v>48.994</v>
      </c>
    </row>
    <row r="13" spans="1:5" ht="14.25">
      <c r="A13" s="154" t="s">
        <v>706</v>
      </c>
      <c r="B13" s="157">
        <v>0.17899999999999999</v>
      </c>
      <c r="C13" s="157">
        <v>0.27600000000000002</v>
      </c>
      <c r="D13" s="157">
        <v>0.23200000000000001</v>
      </c>
      <c r="E13" s="157">
        <v>0.36</v>
      </c>
    </row>
    <row r="14" spans="1:5" ht="14.25">
      <c r="A14" s="154" t="s">
        <v>584</v>
      </c>
      <c r="B14" s="157">
        <v>327.733</v>
      </c>
      <c r="C14" s="157">
        <v>251.53299999999999</v>
      </c>
      <c r="D14" s="157">
        <v>255.96100000000001</v>
      </c>
      <c r="E14" s="157">
        <v>268.72699999999998</v>
      </c>
    </row>
    <row r="15" spans="1:5" s="125" customFormat="1" ht="22.5" customHeight="1">
      <c r="A15" s="243" t="s">
        <v>149</v>
      </c>
      <c r="B15" s="244">
        <f>SUM(B6:B14)</f>
        <v>906.65499999999997</v>
      </c>
      <c r="C15" s="244">
        <f>SUM(C6:C14)</f>
        <v>803.68899999999996</v>
      </c>
      <c r="D15" s="244">
        <f>SUM(D6:D14)</f>
        <v>604.17900000000009</v>
      </c>
      <c r="E15" s="244">
        <f>SUM(E6:E14)</f>
        <v>673.34800000000007</v>
      </c>
    </row>
    <row r="16" spans="1:5" ht="22.5" customHeight="1">
      <c r="A16" s="355" t="s">
        <v>707</v>
      </c>
      <c r="B16" s="360"/>
      <c r="C16" s="360"/>
      <c r="D16" s="360"/>
      <c r="E16" s="360"/>
    </row>
    <row r="17" spans="1:5" ht="14.25">
      <c r="A17" s="154" t="s">
        <v>466</v>
      </c>
      <c r="B17" s="458">
        <v>721</v>
      </c>
      <c r="C17" s="458">
        <v>507</v>
      </c>
      <c r="D17" s="458">
        <v>596</v>
      </c>
      <c r="E17" s="458">
        <v>725</v>
      </c>
    </row>
    <row r="18" spans="1:5" ht="14.25">
      <c r="A18" s="154" t="s">
        <v>150</v>
      </c>
      <c r="B18" s="157">
        <v>1684</v>
      </c>
      <c r="C18" s="157">
        <v>1600</v>
      </c>
      <c r="D18" s="157">
        <v>1600</v>
      </c>
      <c r="E18" s="157">
        <v>2000</v>
      </c>
    </row>
    <row r="19" spans="1:5" ht="14.25">
      <c r="A19" s="227" t="s">
        <v>153</v>
      </c>
      <c r="B19" s="228">
        <v>704</v>
      </c>
      <c r="C19" s="228">
        <v>900</v>
      </c>
      <c r="D19" s="228">
        <v>1000</v>
      </c>
      <c r="E19" s="228">
        <v>1100</v>
      </c>
    </row>
    <row r="20" spans="1:5" s="125" customFormat="1" ht="22.5" customHeight="1">
      <c r="A20" s="356" t="s">
        <v>708</v>
      </c>
      <c r="B20" s="246">
        <f t="shared" ref="B20:E20" si="0">SUM(B17:B19)</f>
        <v>3109</v>
      </c>
      <c r="C20" s="246">
        <f t="shared" si="0"/>
        <v>3007</v>
      </c>
      <c r="D20" s="246">
        <f t="shared" si="0"/>
        <v>3196</v>
      </c>
      <c r="E20" s="246">
        <f t="shared" si="0"/>
        <v>3825</v>
      </c>
    </row>
    <row r="21" spans="1:5" s="125" customFormat="1" ht="22.5" customHeight="1">
      <c r="A21" s="384" t="s">
        <v>152</v>
      </c>
      <c r="B21" s="383">
        <f t="shared" ref="B21:E21" si="1">B15+B20</f>
        <v>4015.6549999999997</v>
      </c>
      <c r="C21" s="383">
        <f t="shared" si="1"/>
        <v>3810.6889999999999</v>
      </c>
      <c r="D21" s="383">
        <f t="shared" si="1"/>
        <v>3800.1790000000001</v>
      </c>
      <c r="E21" s="383">
        <f t="shared" si="1"/>
        <v>4498.348</v>
      </c>
    </row>
    <row r="22" spans="1:5" s="125" customFormat="1" ht="22.5" customHeight="1">
      <c r="A22" s="221" t="s">
        <v>34</v>
      </c>
      <c r="B22" s="385">
        <v>1.2437066012549632E-2</v>
      </c>
      <c r="C22" s="385">
        <v>1.1572229847917982E-2</v>
      </c>
      <c r="D22" s="385">
        <v>1.1272481608922639E-2</v>
      </c>
      <c r="E22" s="385">
        <v>1.2940045450622788E-2</v>
      </c>
    </row>
    <row r="23" spans="1:5" ht="15">
      <c r="A23" s="130"/>
      <c r="B23" s="326"/>
      <c r="C23" s="326"/>
      <c r="D23" s="326"/>
      <c r="E23" s="326"/>
    </row>
    <row r="24" spans="1:5" ht="28.5" customHeight="1">
      <c r="A24" s="582" t="s">
        <v>989</v>
      </c>
      <c r="B24" s="582"/>
      <c r="C24" s="582"/>
      <c r="D24" s="582"/>
      <c r="E24" s="264"/>
    </row>
  </sheetData>
  <mergeCells count="1">
    <mergeCell ref="A24:D24"/>
  </mergeCells>
  <printOptions horizontalCentered="1"/>
  <pageMargins left="0.19685039370078741" right="0.19685039370078741" top="0.47244094488188981" bottom="0.19685039370078741" header="0.15748031496062992" footer="0.15748031496062992"/>
  <pageSetup paperSize="9" scale="11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38"/>
  <sheetViews>
    <sheetView zoomScale="110" zoomScaleNormal="110" workbookViewId="0"/>
  </sheetViews>
  <sheetFormatPr baseColWidth="10" defaultColWidth="11.42578125" defaultRowHeight="15"/>
  <cols>
    <col min="1" max="1" width="6.140625" style="532" customWidth="1"/>
    <col min="2" max="2" width="44.7109375" style="532" customWidth="1"/>
    <col min="3" max="3" width="11.7109375" style="532" bestFit="1" customWidth="1"/>
    <col min="4" max="6" width="11.42578125" style="532"/>
    <col min="7" max="7" width="10.5703125" style="532" customWidth="1"/>
    <col min="8" max="12" width="11.42578125" style="532"/>
    <col min="13" max="13" width="19.28515625" style="532" bestFit="1" customWidth="1"/>
    <col min="14" max="16384" width="11.42578125" style="532"/>
  </cols>
  <sheetData>
    <row r="1" spans="1:13" ht="15.75">
      <c r="A1" s="155" t="s">
        <v>1014</v>
      </c>
      <c r="B1" s="155"/>
      <c r="C1" s="140"/>
      <c r="D1" s="140"/>
      <c r="E1" s="140"/>
      <c r="F1" s="140"/>
      <c r="G1" s="140"/>
      <c r="H1" s="140"/>
      <c r="I1" s="140"/>
      <c r="J1" s="140"/>
      <c r="K1" s="140"/>
      <c r="L1" s="140"/>
      <c r="M1" s="140"/>
    </row>
    <row r="2" spans="1:13" ht="15.75">
      <c r="A2" s="152" t="s">
        <v>35</v>
      </c>
      <c r="B2" s="152"/>
      <c r="C2" s="251"/>
      <c r="D2" s="251"/>
      <c r="E2" s="251"/>
      <c r="F2" s="251"/>
      <c r="G2" s="251"/>
      <c r="H2" s="251"/>
      <c r="I2" s="150"/>
      <c r="J2" s="150"/>
      <c r="K2" s="150"/>
      <c r="L2" s="150"/>
      <c r="M2" s="150"/>
    </row>
    <row r="3" spans="1:13" ht="15.75">
      <c r="A3" s="253"/>
      <c r="B3" s="253"/>
      <c r="C3" s="253"/>
      <c r="D3" s="253"/>
      <c r="E3" s="253"/>
      <c r="F3" s="253"/>
      <c r="G3" s="253"/>
      <c r="H3" s="253"/>
      <c r="I3" s="254"/>
      <c r="J3" s="254"/>
      <c r="K3" s="254"/>
      <c r="L3" s="135"/>
      <c r="M3" s="135"/>
    </row>
    <row r="4" spans="1:13">
      <c r="A4" s="256"/>
      <c r="B4" s="256"/>
      <c r="C4" s="257">
        <v>2009</v>
      </c>
      <c r="D4" s="257">
        <v>2010</v>
      </c>
      <c r="E4" s="257">
        <v>2011</v>
      </c>
      <c r="F4" s="257" t="s">
        <v>809</v>
      </c>
      <c r="G4" s="257">
        <v>2013</v>
      </c>
      <c r="H4" s="257">
        <v>2014</v>
      </c>
    </row>
    <row r="5" spans="1:13" ht="15.75">
      <c r="A5" s="150"/>
      <c r="B5" s="150"/>
      <c r="C5" s="151"/>
      <c r="D5" s="151"/>
      <c r="E5" s="151"/>
      <c r="F5" s="151"/>
      <c r="G5" s="151"/>
      <c r="H5" s="151"/>
    </row>
    <row r="6" spans="1:13" ht="15.75">
      <c r="A6" s="533" t="s">
        <v>954</v>
      </c>
      <c r="B6" s="533"/>
      <c r="C6" s="534">
        <f>C7+C8</f>
        <v>69665.421864999997</v>
      </c>
      <c r="D6" s="535">
        <f>D7+D8</f>
        <v>68393.510207320011</v>
      </c>
      <c r="E6" s="535">
        <f t="shared" ref="E6:G6" si="0">E7+E8</f>
        <v>69692.499740500003</v>
      </c>
      <c r="F6" s="535">
        <f t="shared" si="0"/>
        <v>62419.285475999997</v>
      </c>
      <c r="G6" s="535">
        <f t="shared" si="0"/>
        <v>56511.991524850004</v>
      </c>
      <c r="H6" s="535">
        <f>H7+H8</f>
        <v>52631.311159999997</v>
      </c>
    </row>
    <row r="7" spans="1:13" ht="15.75">
      <c r="A7" s="261" t="s">
        <v>955</v>
      </c>
      <c r="B7" s="267"/>
      <c r="C7" s="286">
        <v>40649.649318999996</v>
      </c>
      <c r="D7" s="262">
        <v>38508.184007000003</v>
      </c>
      <c r="E7" s="262">
        <v>37057.744380999997</v>
      </c>
      <c r="F7" s="286">
        <v>34852.137327999997</v>
      </c>
      <c r="G7" s="262">
        <v>31363.409444749999</v>
      </c>
      <c r="H7" s="262">
        <v>28467.220702999999</v>
      </c>
    </row>
    <row r="8" spans="1:13" ht="15.75">
      <c r="A8" s="261" t="s">
        <v>956</v>
      </c>
      <c r="B8" s="261"/>
      <c r="C8" s="286">
        <v>29015.772546</v>
      </c>
      <c r="D8" s="262">
        <v>29885.32620032</v>
      </c>
      <c r="E8" s="262">
        <v>32634.755359499999</v>
      </c>
      <c r="F8" s="286">
        <v>27567.148148</v>
      </c>
      <c r="G8" s="262">
        <v>25148.582080100001</v>
      </c>
      <c r="H8" s="262">
        <v>24164.090456999998</v>
      </c>
    </row>
    <row r="9" spans="1:13" ht="15.75">
      <c r="A9" s="533" t="s">
        <v>957</v>
      </c>
      <c r="B9" s="261"/>
      <c r="C9" s="535">
        <f>C10+C11+C14</f>
        <v>19611.743194660019</v>
      </c>
      <c r="D9" s="535">
        <f t="shared" ref="D9:G9" si="1">D10+D11+D14</f>
        <v>22555.763938124801</v>
      </c>
      <c r="E9" s="535">
        <f t="shared" si="1"/>
        <v>24160.239795000001</v>
      </c>
      <c r="F9" s="534">
        <f t="shared" si="1"/>
        <v>25019.255304999999</v>
      </c>
      <c r="G9" s="535">
        <f t="shared" si="1"/>
        <v>26028.897097000001</v>
      </c>
      <c r="H9" s="535">
        <f>H10+H11+H14</f>
        <v>26193.018167380003</v>
      </c>
    </row>
    <row r="10" spans="1:13" ht="15.75">
      <c r="A10" s="261" t="s">
        <v>153</v>
      </c>
      <c r="B10" s="261"/>
      <c r="C10" s="286">
        <v>8688.1217899999992</v>
      </c>
      <c r="D10" s="262">
        <v>9332.2143739999992</v>
      </c>
      <c r="E10" s="262">
        <v>9378.3236120000001</v>
      </c>
      <c r="F10" s="286">
        <v>9365.2449070000002</v>
      </c>
      <c r="G10" s="262">
        <v>9289.7390529999993</v>
      </c>
      <c r="H10" s="262">
        <v>9029.6513560000003</v>
      </c>
    </row>
    <row r="11" spans="1:13" ht="15.75">
      <c r="A11" s="261" t="s">
        <v>958</v>
      </c>
      <c r="B11" s="261"/>
      <c r="C11" s="262">
        <f>C12+C13</f>
        <v>9745.8714046600198</v>
      </c>
      <c r="D11" s="262">
        <f>D12+D13</f>
        <v>12045.9870641248</v>
      </c>
      <c r="E11" s="262">
        <f t="shared" ref="E11:G11" si="2">E12+E13</f>
        <v>13604.541182999999</v>
      </c>
      <c r="F11" s="286">
        <f t="shared" si="2"/>
        <v>15650.822897999999</v>
      </c>
      <c r="G11" s="262">
        <f t="shared" si="2"/>
        <v>16736.158044</v>
      </c>
      <c r="H11" s="262">
        <f>H12+H13</f>
        <v>17160.554311380001</v>
      </c>
    </row>
    <row r="12" spans="1:13" ht="15.75" hidden="1">
      <c r="A12" s="261"/>
      <c r="B12" s="261" t="s">
        <v>959</v>
      </c>
      <c r="C12" s="286">
        <v>7724.2093286600202</v>
      </c>
      <c r="D12" s="286">
        <v>9615.5577751248002</v>
      </c>
      <c r="E12" s="286">
        <v>10927.765487999999</v>
      </c>
      <c r="F12" s="286">
        <v>13320.724528999999</v>
      </c>
      <c r="G12" s="262">
        <v>14365</v>
      </c>
      <c r="H12" s="262">
        <v>15215</v>
      </c>
    </row>
    <row r="13" spans="1:13" ht="15.75" hidden="1">
      <c r="A13" s="261"/>
      <c r="B13" s="261" t="s">
        <v>960</v>
      </c>
      <c r="C13" s="262">
        <v>2021.6620760000001</v>
      </c>
      <c r="D13" s="262">
        <v>2430.4292890000002</v>
      </c>
      <c r="E13" s="262">
        <v>2676.7756949999998</v>
      </c>
      <c r="F13" s="286">
        <v>2330.0983689999998</v>
      </c>
      <c r="G13" s="262">
        <v>2371.1580439999998</v>
      </c>
      <c r="H13" s="262">
        <v>1945.5543113799999</v>
      </c>
    </row>
    <row r="14" spans="1:13" ht="15.75">
      <c r="A14" s="261" t="s">
        <v>961</v>
      </c>
      <c r="B14" s="261"/>
      <c r="C14" s="286">
        <v>1177.75</v>
      </c>
      <c r="D14" s="286">
        <f>1174+3.5625</f>
        <v>1177.5625</v>
      </c>
      <c r="E14" s="286">
        <f>1174+3.375</f>
        <v>1177.375</v>
      </c>
      <c r="F14" s="286">
        <v>3.1875</v>
      </c>
      <c r="G14" s="262">
        <v>3</v>
      </c>
      <c r="H14" s="262">
        <v>2.8125</v>
      </c>
    </row>
    <row r="15" spans="1:13" ht="15.75">
      <c r="A15" s="533" t="s">
        <v>962</v>
      </c>
      <c r="B15" s="261"/>
      <c r="C15" s="535">
        <f t="shared" ref="C15:G15" si="3">C16+C17+C18</f>
        <v>29325.473887</v>
      </c>
      <c r="D15" s="535">
        <f t="shared" si="3"/>
        <v>28662.137649100001</v>
      </c>
      <c r="E15" s="535">
        <f t="shared" si="3"/>
        <v>18277.4486364</v>
      </c>
      <c r="F15" s="534">
        <f t="shared" si="3"/>
        <v>13026.48139451</v>
      </c>
      <c r="G15" s="535">
        <f t="shared" si="3"/>
        <v>7776.9574709600001</v>
      </c>
      <c r="H15" s="535">
        <f>H16+H17+H18</f>
        <v>4726.5209459999996</v>
      </c>
    </row>
    <row r="16" spans="1:13" ht="15.75">
      <c r="A16" s="261" t="s">
        <v>963</v>
      </c>
      <c r="B16" s="261"/>
      <c r="C16" s="286">
        <v>24420.256995</v>
      </c>
      <c r="D16" s="262">
        <v>25245.058118000001</v>
      </c>
      <c r="E16" s="262">
        <v>14448.950798</v>
      </c>
      <c r="F16" s="286">
        <v>7410.5908410000002</v>
      </c>
      <c r="G16" s="262">
        <v>3093.7868990000002</v>
      </c>
      <c r="H16" s="262">
        <v>0</v>
      </c>
    </row>
    <row r="17" spans="1:10" ht="15.75">
      <c r="A17" s="261" t="s">
        <v>154</v>
      </c>
      <c r="B17" s="261"/>
      <c r="C17" s="262">
        <v>1700</v>
      </c>
      <c r="D17" s="262">
        <v>1200</v>
      </c>
      <c r="E17" s="262">
        <v>2100.7154679999999</v>
      </c>
      <c r="F17" s="286">
        <v>3947.614955</v>
      </c>
      <c r="G17" s="262">
        <v>3198.5884890000002</v>
      </c>
      <c r="H17" s="262">
        <v>3445.1984109999999</v>
      </c>
    </row>
    <row r="18" spans="1:10" ht="15.75">
      <c r="A18" s="261" t="s">
        <v>964</v>
      </c>
      <c r="B18" s="261"/>
      <c r="C18" s="262">
        <v>3205.2168919999999</v>
      </c>
      <c r="D18" s="262">
        <v>2217.0795311000002</v>
      </c>
      <c r="E18" s="262">
        <v>1727.7823704</v>
      </c>
      <c r="F18" s="286">
        <v>1668.27559851</v>
      </c>
      <c r="G18" s="262">
        <v>1484.58208296</v>
      </c>
      <c r="H18" s="262">
        <v>1281.322535</v>
      </c>
    </row>
    <row r="19" spans="1:10" ht="15.75">
      <c r="A19" s="533" t="s">
        <v>965</v>
      </c>
      <c r="B19" s="261"/>
      <c r="C19" s="535">
        <v>0</v>
      </c>
      <c r="D19" s="535">
        <v>0</v>
      </c>
      <c r="E19" s="535">
        <v>699.81919289999996</v>
      </c>
      <c r="F19" s="534">
        <v>7277.0991750000003</v>
      </c>
      <c r="G19" s="535">
        <v>8627.8118350000004</v>
      </c>
      <c r="H19" s="535">
        <v>9148.9658149999996</v>
      </c>
    </row>
    <row r="20" spans="1:10" s="536" customFormat="1" ht="15.75">
      <c r="A20" s="533" t="s">
        <v>966</v>
      </c>
      <c r="B20" s="533"/>
      <c r="C20" s="535">
        <f t="shared" ref="C20:G20" si="4">C21+C22+C23+C24</f>
        <v>1537.41974</v>
      </c>
      <c r="D20" s="535">
        <f t="shared" si="4"/>
        <v>2583.2920569799999</v>
      </c>
      <c r="E20" s="535">
        <f t="shared" si="4"/>
        <v>2447.3582010999999</v>
      </c>
      <c r="F20" s="534">
        <f t="shared" si="4"/>
        <v>2189.2760019699999</v>
      </c>
      <c r="G20" s="535">
        <f t="shared" si="4"/>
        <v>1597.26829305</v>
      </c>
      <c r="H20" s="535">
        <f>H21+H22+H23+H24</f>
        <v>1249.2096120000001</v>
      </c>
    </row>
    <row r="21" spans="1:10" ht="15.75">
      <c r="A21" s="261" t="s">
        <v>967</v>
      </c>
      <c r="B21" s="261"/>
      <c r="C21" s="262">
        <v>1108.339876</v>
      </c>
      <c r="D21" s="286">
        <v>1005.8999417799999</v>
      </c>
      <c r="E21" s="286">
        <v>958.96344718</v>
      </c>
      <c r="F21" s="286">
        <v>947.69438766999997</v>
      </c>
      <c r="G21" s="262">
        <v>921.67154104999997</v>
      </c>
      <c r="H21" s="262">
        <v>848.64287300000001</v>
      </c>
    </row>
    <row r="22" spans="1:10" ht="15.75">
      <c r="A22" s="261" t="s">
        <v>968</v>
      </c>
      <c r="B22" s="261"/>
      <c r="C22" s="262">
        <v>152.19939500000001</v>
      </c>
      <c r="D22" s="286">
        <v>159.44247920000001</v>
      </c>
      <c r="E22" s="286">
        <v>161.83820291999999</v>
      </c>
      <c r="F22" s="286">
        <v>160.22526529999999</v>
      </c>
      <c r="G22" s="262">
        <v>188.00783999999999</v>
      </c>
      <c r="H22" s="262">
        <v>237.169218</v>
      </c>
    </row>
    <row r="23" spans="1:10" ht="15.75">
      <c r="A23" s="261" t="s">
        <v>969</v>
      </c>
      <c r="B23" s="261"/>
      <c r="C23" s="262">
        <v>130.24546900000001</v>
      </c>
      <c r="D23" s="286">
        <v>115.100245</v>
      </c>
      <c r="E23" s="286">
        <v>113.794569</v>
      </c>
      <c r="F23" s="286">
        <v>106.297113</v>
      </c>
      <c r="G23" s="262">
        <v>95.300623000000002</v>
      </c>
      <c r="H23" s="262">
        <v>88.610286000000002</v>
      </c>
    </row>
    <row r="24" spans="1:10" ht="15.75">
      <c r="A24" s="261" t="s">
        <v>155</v>
      </c>
      <c r="B24" s="261"/>
      <c r="C24" s="286">
        <v>146.63499999999999</v>
      </c>
      <c r="D24" s="262">
        <v>1302.849391</v>
      </c>
      <c r="E24" s="262">
        <v>1212.761982</v>
      </c>
      <c r="F24" s="286">
        <v>975.05923600000006</v>
      </c>
      <c r="G24" s="262">
        <v>392.28828900000002</v>
      </c>
      <c r="H24" s="262">
        <v>74.787234999999995</v>
      </c>
    </row>
    <row r="25" spans="1:10" ht="15.75">
      <c r="A25" s="533" t="s">
        <v>970</v>
      </c>
      <c r="B25" s="533"/>
      <c r="C25" s="535">
        <f>C26+C27+C28+C29+C30+C31+C32</f>
        <v>746.63959553999985</v>
      </c>
      <c r="D25" s="535">
        <f t="shared" ref="D25:E25" si="5">D26+D27+D28+D29+D30+D31+D32</f>
        <v>1473.8267564299999</v>
      </c>
      <c r="E25" s="535">
        <f t="shared" si="5"/>
        <v>1301.00362885</v>
      </c>
      <c r="F25" s="534">
        <f>F26+F27+F28+F29+F30+F31</f>
        <v>559.74177675999999</v>
      </c>
      <c r="G25" s="535">
        <f>G26+G27+G28+G29+G30+G31</f>
        <v>1224.4558599500001</v>
      </c>
      <c r="H25" s="535">
        <f>H26+H27+H28+H29+H30+H31</f>
        <v>1351.306857</v>
      </c>
    </row>
    <row r="26" spans="1:10" ht="15.75">
      <c r="A26" s="261" t="s">
        <v>971</v>
      </c>
      <c r="B26" s="261"/>
      <c r="C26" s="262">
        <v>370.6533713</v>
      </c>
      <c r="D26" s="286">
        <v>1074.11033266</v>
      </c>
      <c r="E26" s="286">
        <v>883.13051043999997</v>
      </c>
      <c r="F26" s="286">
        <v>155.36321000000001</v>
      </c>
      <c r="G26" s="262">
        <v>897.85568372</v>
      </c>
      <c r="H26" s="262">
        <v>1032.105161</v>
      </c>
    </row>
    <row r="27" spans="1:10" ht="15.75">
      <c r="A27" s="261" t="s">
        <v>972</v>
      </c>
      <c r="B27" s="261"/>
      <c r="C27" s="286">
        <v>186.61857868999999</v>
      </c>
      <c r="D27" s="286">
        <v>209.53934699999999</v>
      </c>
      <c r="E27" s="286">
        <v>229.96544915999999</v>
      </c>
      <c r="F27" s="286">
        <v>216.32206758999999</v>
      </c>
      <c r="G27" s="262">
        <v>134.40860215000001</v>
      </c>
      <c r="H27" s="262">
        <v>137.225548</v>
      </c>
    </row>
    <row r="28" spans="1:10" ht="15.75">
      <c r="A28" s="261" t="s">
        <v>973</v>
      </c>
      <c r="B28" s="261"/>
      <c r="C28" s="262">
        <v>121.8</v>
      </c>
      <c r="D28" s="286">
        <v>121.8</v>
      </c>
      <c r="E28" s="286">
        <v>121.8</v>
      </c>
      <c r="F28" s="286">
        <v>121.8</v>
      </c>
      <c r="G28" s="262">
        <v>121.8</v>
      </c>
      <c r="H28" s="262">
        <v>121.8</v>
      </c>
    </row>
    <row r="29" spans="1:10" ht="15.75">
      <c r="A29" s="261" t="s">
        <v>974</v>
      </c>
      <c r="B29" s="261"/>
      <c r="C29" s="262">
        <v>44.840847740000001</v>
      </c>
      <c r="D29" s="286">
        <v>54.81598357</v>
      </c>
      <c r="E29" s="286">
        <v>61.267732770000002</v>
      </c>
      <c r="F29" s="286">
        <v>66.098753169999995</v>
      </c>
      <c r="G29" s="262">
        <v>70.242250080000005</v>
      </c>
      <c r="H29" s="262">
        <v>60.037252000000002</v>
      </c>
    </row>
    <row r="30" spans="1:10" ht="15.75">
      <c r="A30" s="261" t="s">
        <v>975</v>
      </c>
      <c r="B30" s="261"/>
      <c r="C30" s="262">
        <v>0.16328450999999999</v>
      </c>
      <c r="D30" s="262">
        <v>0.16096479</v>
      </c>
      <c r="E30" s="262">
        <v>0.15815235</v>
      </c>
      <c r="F30" s="286">
        <v>0.15351200000000001</v>
      </c>
      <c r="G30" s="262">
        <v>0.14788899999999999</v>
      </c>
      <c r="H30" s="262">
        <v>0.138296</v>
      </c>
    </row>
    <row r="31" spans="1:10" ht="15.75">
      <c r="A31" s="261" t="s">
        <v>976</v>
      </c>
      <c r="B31" s="261"/>
      <c r="C31" s="262">
        <v>5.0589500000000003E-2</v>
      </c>
      <c r="D31" s="262">
        <v>2.4693280000000001E-2</v>
      </c>
      <c r="E31" s="262">
        <v>8.9208299999999994E-3</v>
      </c>
      <c r="F31" s="286">
        <v>4.2339999999999999E-3</v>
      </c>
      <c r="G31" s="262">
        <v>1.4350000000000001E-3</v>
      </c>
      <c r="H31" s="262">
        <v>5.9999999999999995E-4</v>
      </c>
      <c r="J31" s="537"/>
    </row>
    <row r="32" spans="1:10" ht="15.75">
      <c r="A32" s="261" t="s">
        <v>977</v>
      </c>
      <c r="B32" s="261"/>
      <c r="C32" s="262">
        <v>22.512923799999999</v>
      </c>
      <c r="D32" s="262">
        <v>13.37543513</v>
      </c>
      <c r="E32" s="262">
        <v>4.6728633000000004</v>
      </c>
      <c r="F32" s="286">
        <v>0</v>
      </c>
      <c r="G32" s="262">
        <v>0</v>
      </c>
      <c r="H32" s="262">
        <v>0</v>
      </c>
    </row>
    <row r="33" spans="1:17">
      <c r="A33" s="265" t="s">
        <v>978</v>
      </c>
      <c r="B33" s="265"/>
      <c r="C33" s="266">
        <f t="shared" ref="C33:H33" si="6">C25+C20+C19+C15+C9+C6</f>
        <v>120886.69828220001</v>
      </c>
      <c r="D33" s="266">
        <f t="shared" si="6"/>
        <v>123668.53060795482</v>
      </c>
      <c r="E33" s="266">
        <f t="shared" si="6"/>
        <v>116578.36919475</v>
      </c>
      <c r="F33" s="266">
        <f t="shared" si="6"/>
        <v>110491.13912924001</v>
      </c>
      <c r="G33" s="266">
        <f t="shared" si="6"/>
        <v>101767.38208081</v>
      </c>
      <c r="H33" s="266">
        <f t="shared" si="6"/>
        <v>95300.332557379996</v>
      </c>
    </row>
    <row r="34" spans="1:17">
      <c r="C34" s="538"/>
      <c r="D34" s="538"/>
      <c r="E34" s="538"/>
      <c r="F34" s="538"/>
      <c r="G34" s="538"/>
      <c r="H34" s="538"/>
    </row>
    <row r="35" spans="1:17" ht="30.75" customHeight="1">
      <c r="A35" s="583" t="s">
        <v>772</v>
      </c>
      <c r="B35" s="583"/>
      <c r="C35" s="583"/>
      <c r="D35" s="583"/>
      <c r="E35" s="583"/>
      <c r="F35" s="583"/>
      <c r="G35" s="583"/>
      <c r="H35" s="583"/>
      <c r="I35" s="564"/>
      <c r="J35" s="564"/>
      <c r="K35" s="564"/>
      <c r="L35" s="564"/>
      <c r="M35" s="564"/>
      <c r="N35" s="564"/>
      <c r="O35" s="564"/>
    </row>
    <row r="36" spans="1:17" ht="15.75">
      <c r="A36" s="566" t="s">
        <v>1032</v>
      </c>
      <c r="B36" s="567"/>
      <c r="C36" s="567"/>
      <c r="D36" s="567"/>
      <c r="E36" s="567"/>
      <c r="F36" s="567"/>
      <c r="G36" s="567"/>
      <c r="H36" s="568"/>
    </row>
    <row r="37" spans="1:17" ht="39" customHeight="1">
      <c r="A37" s="583" t="s">
        <v>1033</v>
      </c>
      <c r="B37" s="583"/>
      <c r="C37" s="583"/>
      <c r="D37" s="583"/>
      <c r="E37" s="583"/>
      <c r="F37" s="583"/>
      <c r="G37" s="583"/>
      <c r="H37" s="583"/>
      <c r="I37" s="565"/>
      <c r="J37" s="565"/>
      <c r="K37" s="565"/>
      <c r="L37" s="565"/>
      <c r="M37" s="565"/>
      <c r="N37" s="565"/>
      <c r="O37" s="565"/>
      <c r="P37" s="565"/>
      <c r="Q37" s="565"/>
    </row>
    <row r="38" spans="1:17">
      <c r="A38" s="569" t="s">
        <v>979</v>
      </c>
      <c r="B38" s="569"/>
      <c r="C38" s="569"/>
      <c r="D38" s="569"/>
      <c r="E38" s="569"/>
      <c r="F38" s="569"/>
      <c r="G38" s="569"/>
      <c r="H38" s="569"/>
      <c r="I38" s="565"/>
      <c r="J38" s="565"/>
      <c r="K38" s="565"/>
      <c r="L38" s="565"/>
      <c r="M38" s="565"/>
      <c r="N38" s="565"/>
      <c r="O38" s="565"/>
      <c r="P38" s="565"/>
      <c r="Q38" s="565"/>
    </row>
  </sheetData>
  <mergeCells count="2">
    <mergeCell ref="A35:H35"/>
    <mergeCell ref="A37:H37"/>
  </mergeCells>
  <pageMargins left="0.25" right="0.25" top="0.75" bottom="0.75" header="0.3" footer="0.3"/>
  <pageSetup paperSize="9" scale="89" fitToWidth="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tabColor rgb="FF92D050"/>
  </sheetPr>
  <dimension ref="A1:W29"/>
  <sheetViews>
    <sheetView zoomScaleNormal="100" workbookViewId="0">
      <selection sqref="A1:L1"/>
    </sheetView>
  </sheetViews>
  <sheetFormatPr baseColWidth="10" defaultColWidth="11.42578125" defaultRowHeight="12.75"/>
  <cols>
    <col min="1" max="1" width="32.5703125" style="12" customWidth="1"/>
    <col min="2" max="4" width="6.5703125" style="12" customWidth="1"/>
    <col min="5" max="5" width="1.42578125" style="12" customWidth="1"/>
    <col min="6" max="7" width="6.5703125" style="12" customWidth="1"/>
    <col min="8" max="8" width="1.42578125" style="12" customWidth="1"/>
    <col min="9" max="11" width="6.5703125" style="12" customWidth="1"/>
    <col min="12" max="12" width="1.5703125" style="12" bestFit="1" customWidth="1"/>
    <col min="13" max="16384" width="11.42578125" style="12"/>
  </cols>
  <sheetData>
    <row r="1" spans="1:23" s="1" customFormat="1" ht="30" customHeight="1">
      <c r="A1" s="585" t="s">
        <v>1015</v>
      </c>
      <c r="B1" s="585"/>
      <c r="C1" s="585"/>
      <c r="D1" s="585"/>
      <c r="E1" s="585"/>
      <c r="F1" s="585"/>
      <c r="G1" s="585"/>
      <c r="H1" s="585"/>
      <c r="I1" s="585"/>
      <c r="J1" s="585"/>
      <c r="K1" s="585"/>
      <c r="L1" s="585"/>
      <c r="M1" s="92"/>
      <c r="N1" s="26"/>
      <c r="O1" s="26"/>
      <c r="P1" s="27"/>
      <c r="Q1" s="27"/>
      <c r="R1" s="27"/>
    </row>
    <row r="2" spans="1:23" s="6" customFormat="1" ht="15">
      <c r="A2" s="61"/>
      <c r="B2" s="61"/>
      <c r="C2" s="61"/>
      <c r="D2" s="61"/>
      <c r="E2" s="29"/>
      <c r="F2" s="29"/>
      <c r="G2" s="29"/>
      <c r="H2" s="28"/>
      <c r="I2" s="28"/>
      <c r="J2" s="28"/>
      <c r="K2" s="28"/>
      <c r="L2" s="28"/>
      <c r="M2" s="29"/>
      <c r="N2" s="29"/>
      <c r="O2" s="29"/>
      <c r="P2" s="30"/>
      <c r="Q2" s="30"/>
      <c r="R2" s="30"/>
    </row>
    <row r="3" spans="1:23" s="3" customFormat="1" ht="34.5" customHeight="1">
      <c r="A3" s="148" t="s">
        <v>623</v>
      </c>
      <c r="B3" s="149">
        <v>2005</v>
      </c>
      <c r="C3" s="149">
        <v>2006</v>
      </c>
      <c r="D3" s="149">
        <v>2007</v>
      </c>
      <c r="E3" s="149"/>
      <c r="F3" s="149">
        <v>2008</v>
      </c>
      <c r="G3" s="149">
        <v>2009</v>
      </c>
      <c r="H3" s="149"/>
      <c r="I3" s="149">
        <v>2010</v>
      </c>
      <c r="J3" s="149">
        <v>2011</v>
      </c>
      <c r="K3" s="149">
        <v>2012</v>
      </c>
      <c r="L3" s="149"/>
      <c r="M3" s="164"/>
      <c r="N3" s="40"/>
      <c r="O3" s="41"/>
      <c r="P3" s="41"/>
      <c r="Q3" s="41"/>
      <c r="R3" s="40"/>
    </row>
    <row r="4" spans="1:23" s="169" customFormat="1" ht="15">
      <c r="A4" s="361"/>
      <c r="B4" s="361"/>
      <c r="C4" s="361"/>
      <c r="D4" s="361"/>
      <c r="E4" s="361"/>
      <c r="F4" s="361"/>
      <c r="G4" s="361"/>
      <c r="H4" s="361"/>
      <c r="I4" s="361"/>
      <c r="J4" s="361"/>
      <c r="K4" s="361"/>
      <c r="L4" s="361"/>
    </row>
    <row r="5" spans="1:23" s="45" customFormat="1" ht="15">
      <c r="A5" s="362" t="s">
        <v>613</v>
      </c>
      <c r="B5" s="363">
        <v>48798</v>
      </c>
      <c r="C5" s="363">
        <v>47545</v>
      </c>
      <c r="D5" s="363">
        <v>48030</v>
      </c>
      <c r="E5" s="363"/>
      <c r="F5" s="363">
        <v>47814</v>
      </c>
      <c r="G5" s="363">
        <v>47654</v>
      </c>
      <c r="H5" s="363"/>
      <c r="I5" s="363">
        <v>47236</v>
      </c>
      <c r="J5" s="363">
        <v>46682</v>
      </c>
      <c r="K5" s="363">
        <v>47835</v>
      </c>
      <c r="L5" s="363"/>
      <c r="N5" s="55"/>
      <c r="O5" s="55"/>
      <c r="P5" s="55"/>
      <c r="Q5" s="55"/>
      <c r="R5" s="55"/>
      <c r="S5" s="55"/>
      <c r="T5" s="55"/>
      <c r="U5" s="55"/>
      <c r="V5" s="55"/>
      <c r="W5" s="55"/>
    </row>
    <row r="6" spans="1:23" s="45" customFormat="1" ht="15">
      <c r="A6" s="362" t="s">
        <v>614</v>
      </c>
      <c r="B6" s="363">
        <v>1965</v>
      </c>
      <c r="C6" s="363">
        <v>1965</v>
      </c>
      <c r="D6" s="363">
        <v>1917</v>
      </c>
      <c r="E6" s="363"/>
      <c r="F6" s="363">
        <v>1942</v>
      </c>
      <c r="G6" s="363">
        <v>1942</v>
      </c>
      <c r="H6" s="363"/>
      <c r="I6" s="363">
        <v>2011</v>
      </c>
      <c r="J6" s="363">
        <v>2070</v>
      </c>
      <c r="K6" s="363">
        <v>2065</v>
      </c>
      <c r="L6" s="363"/>
      <c r="N6" s="55"/>
      <c r="O6" s="55"/>
      <c r="P6" s="55"/>
      <c r="Q6" s="55"/>
      <c r="R6" s="55"/>
      <c r="S6" s="55"/>
      <c r="T6" s="55"/>
      <c r="U6" s="55"/>
      <c r="V6" s="55"/>
      <c r="W6" s="55"/>
    </row>
    <row r="7" spans="1:23" s="45" customFormat="1" ht="15">
      <c r="A7" s="362" t="s">
        <v>762</v>
      </c>
      <c r="B7" s="363">
        <v>219</v>
      </c>
      <c r="C7" s="363">
        <v>219</v>
      </c>
      <c r="D7" s="363">
        <v>286</v>
      </c>
      <c r="E7" s="363"/>
      <c r="F7" s="363">
        <v>343</v>
      </c>
      <c r="G7" s="363">
        <v>343</v>
      </c>
      <c r="H7" s="363"/>
      <c r="I7" s="363">
        <v>370</v>
      </c>
      <c r="J7" s="363">
        <v>379</v>
      </c>
      <c r="K7" s="363">
        <v>386</v>
      </c>
      <c r="L7" s="363"/>
      <c r="N7" s="55"/>
      <c r="O7" s="55"/>
      <c r="P7" s="55"/>
      <c r="Q7" s="55"/>
      <c r="R7" s="55"/>
      <c r="S7" s="55"/>
      <c r="T7" s="55"/>
      <c r="U7" s="55"/>
      <c r="V7" s="55"/>
      <c r="W7" s="55"/>
    </row>
    <row r="8" spans="1:23" s="45" customFormat="1" ht="15">
      <c r="A8" s="362" t="s">
        <v>761</v>
      </c>
      <c r="B8" s="363">
        <v>34243</v>
      </c>
      <c r="C8" s="363">
        <v>34229</v>
      </c>
      <c r="D8" s="363">
        <v>37728</v>
      </c>
      <c r="E8" s="363"/>
      <c r="F8" s="363">
        <v>37877</v>
      </c>
      <c r="G8" s="363">
        <v>38660</v>
      </c>
      <c r="H8" s="363"/>
      <c r="I8" s="363">
        <v>38651</v>
      </c>
      <c r="J8" s="363">
        <v>38398</v>
      </c>
      <c r="K8" s="363">
        <v>38132</v>
      </c>
      <c r="L8" s="363"/>
      <c r="N8" s="55"/>
      <c r="O8" s="55"/>
      <c r="P8" s="55"/>
      <c r="Q8" s="55"/>
      <c r="R8" s="55"/>
      <c r="S8" s="55"/>
      <c r="T8" s="55"/>
      <c r="U8" s="55"/>
      <c r="V8" s="55"/>
      <c r="W8" s="55"/>
    </row>
    <row r="9" spans="1:23" s="45" customFormat="1" ht="15">
      <c r="A9" s="362" t="s">
        <v>624</v>
      </c>
      <c r="B9" s="363">
        <v>341</v>
      </c>
      <c r="C9" s="363">
        <v>341</v>
      </c>
      <c r="D9" s="363">
        <v>341</v>
      </c>
      <c r="E9" s="363"/>
      <c r="F9" s="363">
        <v>341</v>
      </c>
      <c r="G9" s="363">
        <v>342</v>
      </c>
      <c r="H9" s="363"/>
      <c r="I9" s="363">
        <v>335</v>
      </c>
      <c r="J9" s="363">
        <v>331</v>
      </c>
      <c r="K9" s="363">
        <v>325</v>
      </c>
      <c r="L9" s="363"/>
      <c r="N9" s="55"/>
      <c r="O9" s="55"/>
      <c r="P9" s="55"/>
      <c r="Q9" s="55"/>
      <c r="R9" s="55"/>
      <c r="S9" s="55"/>
      <c r="T9" s="55"/>
      <c r="U9" s="55"/>
      <c r="V9" s="55"/>
      <c r="W9" s="55"/>
    </row>
    <row r="10" spans="1:23" s="45" customFormat="1" ht="15">
      <c r="A10" s="362" t="s">
        <v>617</v>
      </c>
      <c r="B10" s="363">
        <v>30551</v>
      </c>
      <c r="C10" s="363">
        <v>29446</v>
      </c>
      <c r="D10" s="363">
        <v>30049</v>
      </c>
      <c r="E10" s="363"/>
      <c r="F10" s="363">
        <v>29623</v>
      </c>
      <c r="G10" s="363">
        <v>29787</v>
      </c>
      <c r="H10" s="363"/>
      <c r="I10" s="363">
        <v>29941</v>
      </c>
      <c r="J10" s="363">
        <v>30166</v>
      </c>
      <c r="K10" s="363">
        <v>30370</v>
      </c>
      <c r="L10" s="363"/>
      <c r="N10" s="55"/>
      <c r="O10" s="55"/>
      <c r="P10" s="55"/>
      <c r="Q10" s="55"/>
      <c r="R10" s="55"/>
      <c r="S10" s="55"/>
      <c r="T10" s="55"/>
      <c r="U10" s="55"/>
      <c r="V10" s="55"/>
      <c r="W10" s="55"/>
    </row>
    <row r="11" spans="1:23" s="45" customFormat="1" ht="15">
      <c r="A11" s="362" t="s">
        <v>618</v>
      </c>
      <c r="B11" s="363"/>
      <c r="C11" s="363"/>
      <c r="D11" s="363"/>
      <c r="E11" s="363"/>
      <c r="F11" s="363"/>
      <c r="G11" s="363"/>
      <c r="H11" s="363"/>
      <c r="I11" s="363"/>
      <c r="J11" s="363"/>
      <c r="K11" s="363"/>
      <c r="L11" s="363"/>
      <c r="N11" s="55"/>
      <c r="O11" s="55"/>
      <c r="P11" s="55"/>
      <c r="Q11" s="55"/>
      <c r="R11" s="55"/>
      <c r="S11" s="55"/>
      <c r="T11" s="55"/>
      <c r="U11" s="55"/>
      <c r="V11" s="55"/>
      <c r="W11" s="55"/>
    </row>
    <row r="12" spans="1:23" s="45" customFormat="1" ht="15">
      <c r="A12" s="362" t="s">
        <v>625</v>
      </c>
      <c r="B12" s="363">
        <v>16947</v>
      </c>
      <c r="C12" s="363">
        <v>16538</v>
      </c>
      <c r="D12" s="363">
        <v>17852</v>
      </c>
      <c r="E12" s="363"/>
      <c r="F12" s="363">
        <v>17746</v>
      </c>
      <c r="G12" s="363">
        <v>17586</v>
      </c>
      <c r="H12" s="363"/>
      <c r="I12" s="363">
        <v>17513</v>
      </c>
      <c r="J12" s="363">
        <v>17286</v>
      </c>
      <c r="K12" s="363">
        <v>15416</v>
      </c>
      <c r="L12" s="548" t="s">
        <v>157</v>
      </c>
      <c r="N12" s="55"/>
      <c r="O12" s="55"/>
      <c r="P12" s="55"/>
      <c r="Q12" s="55"/>
      <c r="R12" s="55"/>
      <c r="S12" s="55"/>
      <c r="T12" s="55"/>
      <c r="U12" s="55"/>
      <c r="V12" s="55"/>
      <c r="W12" s="55"/>
    </row>
    <row r="13" spans="1:23" s="45" customFormat="1" ht="15">
      <c r="A13" s="362" t="s">
        <v>626</v>
      </c>
      <c r="B13" s="363">
        <v>186</v>
      </c>
      <c r="C13" s="363">
        <v>181</v>
      </c>
      <c r="D13" s="363">
        <v>180</v>
      </c>
      <c r="E13" s="363"/>
      <c r="F13" s="363">
        <v>179</v>
      </c>
      <c r="G13" s="363">
        <v>179</v>
      </c>
      <c r="H13" s="363"/>
      <c r="I13" s="363">
        <v>176</v>
      </c>
      <c r="J13" s="363">
        <v>58</v>
      </c>
      <c r="K13" s="363">
        <v>51</v>
      </c>
      <c r="L13" s="363"/>
      <c r="N13" s="55"/>
      <c r="O13" s="55"/>
      <c r="P13" s="55"/>
      <c r="Q13" s="55"/>
      <c r="R13" s="55"/>
      <c r="S13" s="55"/>
      <c r="T13" s="55"/>
      <c r="U13" s="55"/>
      <c r="V13" s="55"/>
      <c r="W13" s="55"/>
    </row>
    <row r="14" spans="1:23" s="45" customFormat="1" ht="15">
      <c r="A14" s="362" t="s">
        <v>620</v>
      </c>
      <c r="B14" s="363">
        <v>216</v>
      </c>
      <c r="C14" s="363">
        <v>208</v>
      </c>
      <c r="D14" s="363">
        <v>209</v>
      </c>
      <c r="E14" s="363"/>
      <c r="F14" s="363">
        <v>209</v>
      </c>
      <c r="G14" s="363">
        <v>209</v>
      </c>
      <c r="H14" s="363"/>
      <c r="I14" s="363">
        <v>213</v>
      </c>
      <c r="J14" s="363">
        <v>225</v>
      </c>
      <c r="K14" s="363">
        <v>227</v>
      </c>
      <c r="L14" s="363"/>
      <c r="N14" s="55"/>
      <c r="O14" s="55"/>
      <c r="P14" s="55"/>
      <c r="Q14" s="55"/>
      <c r="R14" s="55"/>
      <c r="S14" s="55"/>
      <c r="T14" s="55"/>
      <c r="U14" s="55"/>
      <c r="V14" s="55"/>
      <c r="W14" s="55"/>
    </row>
    <row r="15" spans="1:23" s="45" customFormat="1" ht="15">
      <c r="A15" s="365" t="s">
        <v>156</v>
      </c>
      <c r="B15" s="366">
        <f>SUM(B5:B14)</f>
        <v>133466</v>
      </c>
      <c r="C15" s="366">
        <f>SUM(C5:C14)</f>
        <v>130672</v>
      </c>
      <c r="D15" s="366">
        <f>SUM(D5:D14)</f>
        <v>136592</v>
      </c>
      <c r="E15" s="364" t="s">
        <v>165</v>
      </c>
      <c r="F15" s="366">
        <f>SUM(F5:F14)</f>
        <v>136074</v>
      </c>
      <c r="G15" s="366">
        <f>SUM(G5:G14)</f>
        <v>136702</v>
      </c>
      <c r="H15" s="364" t="s">
        <v>162</v>
      </c>
      <c r="I15" s="366">
        <f>SUM(I5:I14)</f>
        <v>136446</v>
      </c>
      <c r="J15" s="366">
        <f>SUM(J5:J14)</f>
        <v>135595</v>
      </c>
      <c r="K15" s="366">
        <f>SUM(K5:K14)</f>
        <v>134807</v>
      </c>
      <c r="L15" s="366"/>
      <c r="N15" s="55"/>
      <c r="O15" s="55"/>
      <c r="P15" s="55"/>
      <c r="Q15" s="55"/>
      <c r="R15" s="55"/>
      <c r="S15" s="55"/>
      <c r="T15" s="55"/>
      <c r="U15" s="55"/>
      <c r="V15" s="55"/>
      <c r="W15" s="55"/>
    </row>
    <row r="16" spans="1:23" s="45" customFormat="1" ht="15">
      <c r="A16" s="365" t="s">
        <v>726</v>
      </c>
      <c r="B16" s="363">
        <v>37584</v>
      </c>
      <c r="C16" s="363">
        <v>36572</v>
      </c>
      <c r="D16" s="363">
        <v>35598</v>
      </c>
      <c r="E16" s="363"/>
      <c r="F16" s="363">
        <v>34571</v>
      </c>
      <c r="G16" s="363">
        <v>33227</v>
      </c>
      <c r="H16" s="363"/>
      <c r="I16" s="363">
        <v>32420</v>
      </c>
      <c r="J16" s="363">
        <v>30716</v>
      </c>
      <c r="K16" s="363">
        <v>29152</v>
      </c>
      <c r="L16" s="363"/>
      <c r="N16" s="55"/>
      <c r="O16" s="55"/>
      <c r="P16" s="55"/>
      <c r="Q16" s="55"/>
      <c r="R16" s="55"/>
      <c r="S16" s="55"/>
      <c r="T16" s="55"/>
      <c r="U16" s="55"/>
      <c r="V16" s="55"/>
      <c r="W16" s="55"/>
    </row>
    <row r="17" spans="1:23" s="45" customFormat="1" ht="15">
      <c r="A17" s="365" t="s">
        <v>727</v>
      </c>
      <c r="B17" s="363">
        <v>91</v>
      </c>
      <c r="C17" s="363">
        <v>90</v>
      </c>
      <c r="D17" s="367" t="s">
        <v>73</v>
      </c>
      <c r="E17" s="363"/>
      <c r="F17" s="367" t="s">
        <v>73</v>
      </c>
      <c r="G17" s="367" t="s">
        <v>73</v>
      </c>
      <c r="H17" s="367"/>
      <c r="I17" s="367" t="s">
        <v>73</v>
      </c>
      <c r="J17" s="367" t="s">
        <v>73</v>
      </c>
      <c r="K17" s="367" t="s">
        <v>73</v>
      </c>
      <c r="L17" s="367"/>
      <c r="N17" s="55"/>
      <c r="O17" s="55"/>
      <c r="P17" s="55"/>
      <c r="Q17" s="55"/>
      <c r="R17" s="55"/>
      <c r="S17" s="55"/>
      <c r="T17" s="55"/>
      <c r="U17" s="55"/>
      <c r="V17" s="55"/>
      <c r="W17" s="55"/>
    </row>
    <row r="18" spans="1:23" s="45" customFormat="1" ht="15">
      <c r="A18" s="365" t="s">
        <v>627</v>
      </c>
      <c r="B18" s="366">
        <f>SUM(B15:B17)</f>
        <v>171141</v>
      </c>
      <c r="C18" s="366">
        <f>C15+C16+C17</f>
        <v>167334</v>
      </c>
      <c r="D18" s="366">
        <f>D16+D15</f>
        <v>172190</v>
      </c>
      <c r="E18" s="366"/>
      <c r="F18" s="366">
        <f>F16+F15</f>
        <v>170645</v>
      </c>
      <c r="G18" s="366">
        <f t="shared" ref="G18:K18" si="0">G16+G15</f>
        <v>169929</v>
      </c>
      <c r="H18" s="366"/>
      <c r="I18" s="366">
        <f t="shared" si="0"/>
        <v>168866</v>
      </c>
      <c r="J18" s="366">
        <f t="shared" si="0"/>
        <v>166311</v>
      </c>
      <c r="K18" s="366">
        <f t="shared" si="0"/>
        <v>163959</v>
      </c>
      <c r="L18" s="366"/>
      <c r="N18" s="55"/>
      <c r="O18" s="55"/>
      <c r="P18" s="55"/>
      <c r="Q18" s="55"/>
      <c r="R18" s="55"/>
      <c r="S18" s="55"/>
      <c r="T18" s="55"/>
      <c r="U18" s="55"/>
      <c r="V18" s="55"/>
      <c r="W18" s="55"/>
    </row>
    <row r="19" spans="1:23" s="45" customFormat="1" ht="15">
      <c r="A19" s="368"/>
      <c r="B19" s="369"/>
      <c r="C19" s="369"/>
      <c r="D19" s="369"/>
      <c r="E19" s="369"/>
      <c r="F19" s="369"/>
      <c r="G19" s="369"/>
      <c r="H19" s="369"/>
      <c r="I19" s="369"/>
      <c r="J19" s="369"/>
      <c r="K19" s="369"/>
      <c r="L19" s="369"/>
    </row>
    <row r="20" spans="1:23" s="45" customFormat="1" ht="15">
      <c r="B20" s="46"/>
      <c r="C20" s="46"/>
      <c r="D20" s="46"/>
      <c r="E20" s="46"/>
      <c r="F20" s="46"/>
      <c r="G20" s="46"/>
      <c r="H20" s="46"/>
      <c r="I20" s="46"/>
      <c r="J20" s="46"/>
      <c r="K20" s="46"/>
    </row>
    <row r="21" spans="1:23" s="179" customFormat="1" ht="19.5" customHeight="1">
      <c r="A21" s="305" t="s">
        <v>981</v>
      </c>
      <c r="B21" s="177"/>
      <c r="C21" s="177"/>
      <c r="D21" s="177"/>
      <c r="E21" s="177"/>
      <c r="F21" s="177"/>
      <c r="G21" s="177"/>
      <c r="H21" s="177"/>
      <c r="I21" s="177"/>
      <c r="J21" s="177"/>
      <c r="K21" s="177"/>
      <c r="L21" s="177"/>
    </row>
    <row r="22" spans="1:23" s="178" customFormat="1" ht="15" customHeight="1">
      <c r="A22" s="586" t="s">
        <v>200</v>
      </c>
      <c r="B22" s="586"/>
      <c r="C22" s="586"/>
      <c r="D22" s="586"/>
      <c r="E22" s="586"/>
      <c r="F22" s="586"/>
      <c r="G22" s="586"/>
      <c r="H22" s="586"/>
      <c r="I22" s="586"/>
      <c r="J22" s="586"/>
      <c r="K22" s="586"/>
    </row>
    <row r="23" spans="1:23" s="45" customFormat="1" ht="23.25" customHeight="1">
      <c r="A23" s="584" t="s">
        <v>770</v>
      </c>
      <c r="B23" s="584"/>
      <c r="C23" s="584"/>
      <c r="D23" s="584"/>
      <c r="E23" s="584"/>
      <c r="F23" s="584"/>
      <c r="G23" s="584"/>
      <c r="H23" s="584"/>
      <c r="I23" s="584"/>
      <c r="J23" s="584"/>
      <c r="K23" s="584"/>
      <c r="L23" s="584"/>
    </row>
    <row r="24" spans="1:23" s="45" customFormat="1" ht="23.25" customHeight="1">
      <c r="A24" s="584" t="s">
        <v>771</v>
      </c>
      <c r="B24" s="584"/>
      <c r="C24" s="584"/>
      <c r="D24" s="584"/>
      <c r="E24" s="584"/>
      <c r="F24" s="584"/>
      <c r="G24" s="584"/>
      <c r="H24" s="584"/>
      <c r="I24" s="584"/>
      <c r="J24" s="584"/>
      <c r="K24" s="584"/>
      <c r="L24" s="584"/>
    </row>
    <row r="25" spans="1:23" s="45" customFormat="1" ht="13.5" customHeight="1">
      <c r="A25" s="168" t="s">
        <v>628</v>
      </c>
    </row>
    <row r="26" spans="1:23" s="45" customFormat="1" ht="23.25" customHeight="1">
      <c r="A26" s="584" t="s">
        <v>739</v>
      </c>
      <c r="B26" s="584"/>
      <c r="C26" s="584"/>
      <c r="D26" s="584"/>
      <c r="E26" s="584"/>
      <c r="F26" s="584"/>
      <c r="G26" s="584"/>
      <c r="H26" s="584"/>
      <c r="I26" s="584"/>
      <c r="J26" s="584"/>
      <c r="K26" s="584"/>
      <c r="L26" s="584"/>
    </row>
    <row r="27" spans="1:23" s="45" customFormat="1" ht="15"/>
    <row r="28" spans="1:23" s="45" customFormat="1" ht="15"/>
    <row r="29" spans="1:23" s="45" customFormat="1" ht="15"/>
  </sheetData>
  <mergeCells count="5">
    <mergeCell ref="A26:L26"/>
    <mergeCell ref="A1:L1"/>
    <mergeCell ref="A22:K22"/>
    <mergeCell ref="A23:L23"/>
    <mergeCell ref="A24:L24"/>
  </mergeCells>
  <pageMargins left="0.23622047244094491" right="0.23622047244094491" top="0.74803149606299213" bottom="0.74803149606299213" header="0.31496062992125984" footer="0.31496062992125984"/>
  <pageSetup paperSize="9"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tabColor rgb="FF92D050"/>
  </sheetPr>
  <dimension ref="A1:I26"/>
  <sheetViews>
    <sheetView zoomScaleNormal="100" workbookViewId="0">
      <selection sqref="A1:F1"/>
    </sheetView>
  </sheetViews>
  <sheetFormatPr baseColWidth="10" defaultColWidth="11.42578125" defaultRowHeight="12.75"/>
  <cols>
    <col min="1" max="1" width="46.7109375" style="12" customWidth="1"/>
    <col min="2" max="2" width="13.28515625" style="12" customWidth="1"/>
    <col min="3" max="3" width="1.5703125" style="12" customWidth="1"/>
    <col min="4" max="4" width="13.28515625" style="12" customWidth="1"/>
    <col min="5" max="5" width="1.5703125" style="12" customWidth="1"/>
    <col min="6" max="6" width="13.28515625" style="12" customWidth="1"/>
    <col min="7" max="7" width="11.42578125" style="12"/>
    <col min="8" max="8" width="1.5703125" style="12" customWidth="1"/>
    <col min="9" max="16384" width="11.42578125" style="12"/>
  </cols>
  <sheetData>
    <row r="1" spans="1:9" s="1" customFormat="1" ht="30" customHeight="1">
      <c r="A1" s="585" t="s">
        <v>1016</v>
      </c>
      <c r="B1" s="585"/>
      <c r="C1" s="585"/>
      <c r="D1" s="585"/>
      <c r="E1" s="585"/>
      <c r="F1" s="585"/>
      <c r="G1" s="371"/>
      <c r="H1" s="92"/>
      <c r="I1" s="92"/>
    </row>
    <row r="2" spans="1:9" s="6" customFormat="1" ht="14.25">
      <c r="A2" s="61"/>
      <c r="B2" s="61"/>
      <c r="C2" s="61"/>
      <c r="D2" s="61"/>
      <c r="E2" s="61"/>
      <c r="F2" s="61"/>
      <c r="G2" s="61"/>
      <c r="H2" s="61"/>
      <c r="I2" s="29"/>
    </row>
    <row r="3" spans="1:9" s="3" customFormat="1" ht="34.5" customHeight="1">
      <c r="A3" s="42" t="s">
        <v>612</v>
      </c>
      <c r="B3" s="32">
        <v>2013</v>
      </c>
      <c r="C3" s="32"/>
      <c r="D3" s="32">
        <v>2014</v>
      </c>
      <c r="E3" s="32"/>
      <c r="F3" s="32">
        <v>2015</v>
      </c>
      <c r="G3" s="32">
        <v>2016</v>
      </c>
      <c r="H3" s="32"/>
      <c r="I3" s="40"/>
    </row>
    <row r="4" spans="1:9" s="169" customFormat="1" ht="15">
      <c r="A4" s="304"/>
      <c r="B4" s="304"/>
      <c r="C4" s="304"/>
      <c r="D4" s="304"/>
      <c r="E4" s="304"/>
      <c r="F4" s="304"/>
      <c r="G4" s="304"/>
      <c r="H4" s="304"/>
    </row>
    <row r="5" spans="1:9" s="45" customFormat="1" ht="15">
      <c r="A5" s="171" t="s">
        <v>613</v>
      </c>
      <c r="B5" s="172">
        <v>48151</v>
      </c>
      <c r="C5" s="172"/>
      <c r="D5" s="172">
        <v>47465</v>
      </c>
      <c r="E5" s="172"/>
      <c r="F5" s="172">
        <v>47248</v>
      </c>
      <c r="G5" s="172">
        <v>47749</v>
      </c>
      <c r="H5" s="172"/>
      <c r="I5" s="46"/>
    </row>
    <row r="6" spans="1:9" s="45" customFormat="1" ht="15.75">
      <c r="A6" s="171" t="s">
        <v>614</v>
      </c>
      <c r="B6" s="172">
        <v>2102</v>
      </c>
      <c r="C6" s="172"/>
      <c r="D6" s="172">
        <v>2474</v>
      </c>
      <c r="E6" s="453" t="s">
        <v>157</v>
      </c>
      <c r="F6" s="172">
        <v>2474</v>
      </c>
      <c r="G6" s="172">
        <v>2479</v>
      </c>
      <c r="H6" s="453"/>
    </row>
    <row r="7" spans="1:9" s="45" customFormat="1" ht="15">
      <c r="A7" s="171" t="s">
        <v>762</v>
      </c>
      <c r="B7" s="172">
        <v>490</v>
      </c>
      <c r="C7" s="172"/>
      <c r="D7" s="172">
        <v>493</v>
      </c>
      <c r="E7" s="172"/>
      <c r="F7" s="172">
        <v>481</v>
      </c>
      <c r="G7" s="172">
        <v>488</v>
      </c>
      <c r="H7" s="172"/>
    </row>
    <row r="8" spans="1:9" s="45" customFormat="1" ht="15">
      <c r="A8" s="171" t="s">
        <v>615</v>
      </c>
      <c r="B8" s="172">
        <v>37904</v>
      </c>
      <c r="C8" s="172"/>
      <c r="D8" s="172">
        <v>37823</v>
      </c>
      <c r="E8" s="172"/>
      <c r="F8" s="172">
        <v>37797</v>
      </c>
      <c r="G8" s="172">
        <v>37796</v>
      </c>
      <c r="H8" s="172"/>
    </row>
    <row r="9" spans="1:9" s="45" customFormat="1" ht="15.75">
      <c r="A9" s="171" t="s">
        <v>841</v>
      </c>
      <c r="B9" s="172"/>
      <c r="C9" s="172"/>
      <c r="D9" s="172">
        <v>1089</v>
      </c>
      <c r="E9" s="172"/>
      <c r="F9" s="172">
        <v>1089</v>
      </c>
      <c r="G9" s="172">
        <v>1089</v>
      </c>
      <c r="H9" s="172"/>
    </row>
    <row r="10" spans="1:9" s="45" customFormat="1" ht="15">
      <c r="A10" s="171" t="s">
        <v>616</v>
      </c>
      <c r="B10" s="172">
        <v>310</v>
      </c>
      <c r="C10" s="172"/>
      <c r="D10" s="172">
        <v>310</v>
      </c>
      <c r="E10" s="172"/>
      <c r="F10" s="172">
        <v>335</v>
      </c>
      <c r="G10" s="172">
        <v>333</v>
      </c>
      <c r="H10" s="172"/>
    </row>
    <row r="11" spans="1:9" s="45" customFormat="1" ht="15.75">
      <c r="A11" s="171" t="s">
        <v>617</v>
      </c>
      <c r="B11" s="172">
        <v>29844</v>
      </c>
      <c r="C11" s="453" t="s">
        <v>165</v>
      </c>
      <c r="D11" s="172">
        <v>29915</v>
      </c>
      <c r="E11" s="172"/>
      <c r="F11" s="172">
        <v>30104</v>
      </c>
      <c r="G11" s="172">
        <v>30192</v>
      </c>
      <c r="H11" s="172"/>
    </row>
    <row r="12" spans="1:9" s="45" customFormat="1" ht="15">
      <c r="A12" s="171" t="s">
        <v>618</v>
      </c>
      <c r="B12" s="172">
        <v>13918</v>
      </c>
      <c r="C12" s="172"/>
      <c r="D12" s="172">
        <v>13599</v>
      </c>
      <c r="E12" s="172"/>
      <c r="F12" s="172">
        <v>13498</v>
      </c>
      <c r="G12" s="172">
        <v>13436</v>
      </c>
      <c r="H12" s="172"/>
    </row>
    <row r="13" spans="1:9" s="45" customFormat="1" ht="15">
      <c r="A13" s="171" t="s">
        <v>619</v>
      </c>
      <c r="B13" s="172">
        <v>50</v>
      </c>
      <c r="C13" s="172"/>
      <c r="D13" s="172">
        <v>52</v>
      </c>
      <c r="E13" s="172"/>
      <c r="F13" s="172">
        <v>50</v>
      </c>
      <c r="G13" s="172">
        <v>48</v>
      </c>
      <c r="H13" s="172"/>
    </row>
    <row r="14" spans="1:9" s="45" customFormat="1" ht="15">
      <c r="A14" s="171" t="s">
        <v>620</v>
      </c>
      <c r="B14" s="172">
        <v>737</v>
      </c>
      <c r="C14" s="172"/>
      <c r="D14" s="172">
        <v>738</v>
      </c>
      <c r="E14" s="172"/>
      <c r="F14" s="172">
        <v>696</v>
      </c>
      <c r="G14" s="172">
        <v>697</v>
      </c>
      <c r="H14" s="172"/>
    </row>
    <row r="15" spans="1:9" s="45" customFormat="1" ht="15.75">
      <c r="A15" s="173" t="s">
        <v>621</v>
      </c>
      <c r="B15" s="174">
        <f>SUM(B5:B14)</f>
        <v>133506</v>
      </c>
      <c r="C15" s="174"/>
      <c r="D15" s="174">
        <f>SUM(D5:D14)</f>
        <v>133958</v>
      </c>
      <c r="E15" s="174"/>
      <c r="F15" s="174">
        <f>SUM(F5:F14)</f>
        <v>133772</v>
      </c>
      <c r="G15" s="174">
        <f>SUM(G5:G14)</f>
        <v>134307</v>
      </c>
      <c r="H15" s="453" t="s">
        <v>161</v>
      </c>
    </row>
    <row r="16" spans="1:9" s="45" customFormat="1" ht="15.75">
      <c r="A16" s="173" t="s">
        <v>622</v>
      </c>
      <c r="B16" s="172">
        <v>27035</v>
      </c>
      <c r="C16" s="172"/>
      <c r="D16" s="172">
        <v>24967</v>
      </c>
      <c r="E16" s="172"/>
      <c r="F16" s="172">
        <v>24447</v>
      </c>
      <c r="G16" s="172">
        <v>23516</v>
      </c>
      <c r="H16" s="172"/>
    </row>
    <row r="17" spans="1:9" s="45" customFormat="1" ht="15">
      <c r="A17" s="173" t="s">
        <v>158</v>
      </c>
      <c r="B17" s="174">
        <f t="shared" ref="B17:D17" si="0">B16+B15</f>
        <v>160541</v>
      </c>
      <c r="C17" s="174"/>
      <c r="D17" s="174">
        <f t="shared" si="0"/>
        <v>158925</v>
      </c>
      <c r="E17" s="174"/>
      <c r="F17" s="174">
        <f t="shared" ref="F17:G17" si="1">F16+F15</f>
        <v>158219</v>
      </c>
      <c r="G17" s="174">
        <f t="shared" si="1"/>
        <v>157823</v>
      </c>
      <c r="H17" s="174"/>
    </row>
    <row r="18" spans="1:9" s="45" customFormat="1" ht="15">
      <c r="A18" s="175"/>
      <c r="B18" s="176"/>
      <c r="C18" s="176"/>
      <c r="D18" s="176"/>
      <c r="E18" s="176"/>
      <c r="F18" s="176"/>
      <c r="G18" s="176"/>
      <c r="H18" s="176"/>
    </row>
    <row r="19" spans="1:9" s="45" customFormat="1" ht="15">
      <c r="B19" s="46"/>
      <c r="C19" s="46"/>
      <c r="D19" s="46"/>
      <c r="E19" s="46"/>
      <c r="F19" s="46"/>
      <c r="H19" s="46"/>
    </row>
    <row r="20" spans="1:9" s="179" customFormat="1" ht="19.5" customHeight="1">
      <c r="A20" s="305" t="s">
        <v>982</v>
      </c>
      <c r="B20" s="306"/>
      <c r="C20" s="306"/>
      <c r="D20" s="306"/>
      <c r="E20" s="306"/>
      <c r="F20" s="306"/>
      <c r="G20" s="306"/>
      <c r="H20" s="306"/>
    </row>
    <row r="21" spans="1:9" s="178" customFormat="1" ht="24" customHeight="1">
      <c r="A21" s="588" t="s">
        <v>740</v>
      </c>
      <c r="B21" s="588"/>
      <c r="C21" s="588"/>
      <c r="D21" s="588"/>
      <c r="E21" s="588"/>
      <c r="F21" s="588"/>
      <c r="G21" s="370"/>
      <c r="H21" s="370"/>
      <c r="I21" s="370"/>
    </row>
    <row r="22" spans="1:9" s="178" customFormat="1" ht="24" customHeight="1">
      <c r="A22" s="588" t="s">
        <v>728</v>
      </c>
      <c r="B22" s="588"/>
      <c r="C22" s="588"/>
      <c r="D22" s="588"/>
      <c r="E22" s="588"/>
      <c r="F22" s="588"/>
      <c r="G22" s="370"/>
      <c r="H22" s="370"/>
      <c r="I22" s="370"/>
    </row>
    <row r="23" spans="1:9" s="178" customFormat="1" ht="24" customHeight="1">
      <c r="A23" s="588" t="s">
        <v>842</v>
      </c>
      <c r="B23" s="588"/>
      <c r="C23" s="588"/>
      <c r="D23" s="588"/>
      <c r="E23" s="588"/>
      <c r="F23" s="588"/>
      <c r="G23" s="370"/>
      <c r="H23" s="370"/>
      <c r="I23" s="370"/>
    </row>
    <row r="24" spans="1:9" s="178" customFormat="1" ht="13.15" customHeight="1">
      <c r="A24" s="587" t="s">
        <v>843</v>
      </c>
      <c r="B24" s="588"/>
      <c r="C24" s="588"/>
      <c r="D24" s="588"/>
      <c r="E24" s="588"/>
      <c r="F24" s="588"/>
      <c r="G24" s="370"/>
      <c r="H24" s="370"/>
      <c r="I24" s="370"/>
    </row>
    <row r="25" spans="1:9" s="178" customFormat="1" ht="22.9" customHeight="1">
      <c r="A25" s="587" t="s">
        <v>983</v>
      </c>
      <c r="B25" s="588"/>
      <c r="C25" s="588"/>
      <c r="D25" s="588"/>
      <c r="E25" s="588"/>
      <c r="F25" s="588"/>
      <c r="G25" s="370"/>
      <c r="H25" s="370"/>
      <c r="I25" s="370"/>
    </row>
    <row r="26" spans="1:9" ht="20.45" customHeight="1">
      <c r="A26" s="587" t="s">
        <v>984</v>
      </c>
      <c r="B26" s="588"/>
      <c r="C26" s="588"/>
      <c r="D26" s="588"/>
      <c r="E26" s="588"/>
      <c r="F26" s="588"/>
    </row>
  </sheetData>
  <mergeCells count="7">
    <mergeCell ref="A26:F26"/>
    <mergeCell ref="A25:F25"/>
    <mergeCell ref="A1:F1"/>
    <mergeCell ref="A21:F21"/>
    <mergeCell ref="A22:F22"/>
    <mergeCell ref="A23:F23"/>
    <mergeCell ref="A24:F24"/>
  </mergeCells>
  <pageMargins left="0.23622047244094491" right="0.23622047244094491" top="0.74803149606299213" bottom="0.74803149606299213" header="0.31496062992125984" footer="0.31496062992125984"/>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3">
    <tabColor rgb="FF92D050"/>
  </sheetPr>
  <dimension ref="A1:IB26"/>
  <sheetViews>
    <sheetView zoomScaleNormal="130" zoomScaleSheetLayoutView="130" workbookViewId="0"/>
  </sheetViews>
  <sheetFormatPr baseColWidth="10" defaultColWidth="11.42578125" defaultRowHeight="12.95" customHeight="1"/>
  <cols>
    <col min="1" max="1" width="25.7109375" style="128" customWidth="1"/>
    <col min="2" max="2" width="9.140625" style="128" customWidth="1"/>
    <col min="3" max="8" width="9.140625" style="129" customWidth="1"/>
    <col min="9" max="75" width="11.42578125" style="129"/>
    <col min="76" max="16384" width="11.42578125" style="128"/>
  </cols>
  <sheetData>
    <row r="1" spans="1:236" s="459" customFormat="1" ht="16.5">
      <c r="A1" s="60" t="s">
        <v>1017</v>
      </c>
      <c r="B1" s="60"/>
      <c r="C1" s="60"/>
      <c r="D1" s="60"/>
      <c r="E1" s="60"/>
      <c r="F1" s="60"/>
      <c r="G1" s="60"/>
      <c r="H1" s="26"/>
      <c r="I1" s="26"/>
      <c r="J1" s="26"/>
      <c r="K1" s="26"/>
      <c r="L1" s="26"/>
      <c r="M1" s="26"/>
      <c r="N1" s="27"/>
      <c r="O1" s="27"/>
      <c r="P1" s="27"/>
      <c r="Q1" s="26"/>
      <c r="R1" s="26"/>
      <c r="S1" s="26"/>
      <c r="T1" s="26"/>
      <c r="U1" s="26"/>
      <c r="V1" s="26"/>
      <c r="W1" s="26"/>
      <c r="X1" s="26"/>
      <c r="Y1" s="26"/>
      <c r="Z1" s="27"/>
      <c r="AA1" s="27"/>
      <c r="AB1" s="27"/>
      <c r="AC1" s="26"/>
      <c r="AD1" s="26"/>
      <c r="AE1" s="26"/>
      <c r="AF1" s="26"/>
      <c r="AG1" s="26"/>
      <c r="AH1" s="26"/>
      <c r="AI1" s="26"/>
      <c r="AJ1" s="26"/>
      <c r="AK1" s="26"/>
      <c r="AL1" s="27"/>
      <c r="AM1" s="27"/>
      <c r="AN1" s="27"/>
      <c r="AO1" s="26"/>
      <c r="AP1" s="26"/>
      <c r="AQ1" s="26"/>
      <c r="AR1" s="26"/>
      <c r="AS1" s="26"/>
      <c r="AT1" s="26"/>
      <c r="AU1" s="26"/>
      <c r="AV1" s="26"/>
      <c r="AW1" s="26"/>
      <c r="AX1" s="27"/>
      <c r="AY1" s="27"/>
      <c r="AZ1" s="27"/>
      <c r="BA1" s="26"/>
      <c r="BB1" s="26"/>
      <c r="BC1" s="26"/>
      <c r="BD1" s="26"/>
      <c r="BE1" s="26"/>
      <c r="BF1" s="26"/>
      <c r="BG1" s="26"/>
      <c r="BH1" s="26"/>
      <c r="BI1" s="26"/>
      <c r="BJ1" s="27"/>
      <c r="BK1" s="27"/>
      <c r="BL1" s="27"/>
      <c r="BM1" s="26"/>
      <c r="BN1" s="26"/>
      <c r="BO1" s="26"/>
      <c r="BP1" s="26"/>
      <c r="BQ1" s="26"/>
      <c r="BR1" s="26"/>
      <c r="BS1" s="26"/>
      <c r="BT1" s="26"/>
      <c r="BU1" s="26"/>
      <c r="BV1" s="27"/>
      <c r="BW1" s="27"/>
      <c r="BX1" s="27"/>
      <c r="BY1" s="26"/>
      <c r="BZ1" s="26"/>
      <c r="CA1" s="26"/>
      <c r="CB1" s="26"/>
      <c r="CC1" s="26"/>
      <c r="CD1" s="26"/>
      <c r="CE1" s="26"/>
      <c r="CF1" s="26"/>
      <c r="CG1" s="26"/>
      <c r="CH1" s="27"/>
      <c r="CI1" s="27"/>
      <c r="CJ1" s="27"/>
      <c r="CK1" s="26"/>
      <c r="CL1" s="26"/>
      <c r="CM1" s="26"/>
      <c r="CN1" s="26"/>
      <c r="CO1" s="26"/>
      <c r="CP1" s="26"/>
      <c r="CQ1" s="26"/>
      <c r="CR1" s="26"/>
      <c r="CS1" s="26"/>
      <c r="CT1" s="27"/>
      <c r="CU1" s="27"/>
      <c r="CV1" s="27"/>
      <c r="CW1" s="26"/>
      <c r="CX1" s="26"/>
      <c r="CY1" s="26"/>
      <c r="CZ1" s="26"/>
      <c r="DA1" s="26"/>
      <c r="DB1" s="26"/>
      <c r="DC1" s="26"/>
      <c r="DD1" s="26"/>
      <c r="DE1" s="26"/>
      <c r="DF1" s="27"/>
      <c r="DG1" s="27"/>
      <c r="DH1" s="27"/>
      <c r="DI1" s="26"/>
      <c r="DJ1" s="26"/>
      <c r="DK1" s="26"/>
      <c r="DL1" s="26"/>
      <c r="DM1" s="26"/>
      <c r="DN1" s="26"/>
      <c r="DO1" s="26"/>
      <c r="DP1" s="26"/>
      <c r="DQ1" s="26"/>
      <c r="DR1" s="27"/>
      <c r="DS1" s="27"/>
      <c r="DT1" s="27"/>
      <c r="DU1" s="26"/>
      <c r="DV1" s="26"/>
      <c r="DW1" s="26"/>
      <c r="DX1" s="26"/>
      <c r="DY1" s="26"/>
      <c r="DZ1" s="26"/>
      <c r="EA1" s="26"/>
      <c r="EB1" s="26"/>
      <c r="EC1" s="26"/>
      <c r="ED1" s="27"/>
      <c r="EE1" s="27"/>
      <c r="EF1" s="27"/>
      <c r="EG1" s="26"/>
      <c r="EH1" s="26"/>
      <c r="EI1" s="26"/>
      <c r="EJ1" s="26"/>
      <c r="EK1" s="26"/>
      <c r="EL1" s="26"/>
      <c r="EM1" s="26"/>
      <c r="EN1" s="26"/>
      <c r="EO1" s="26"/>
      <c r="EP1" s="27"/>
      <c r="EQ1" s="27"/>
      <c r="ER1" s="27"/>
      <c r="ES1" s="26"/>
      <c r="ET1" s="26"/>
      <c r="EU1" s="26"/>
      <c r="EV1" s="26"/>
      <c r="EW1" s="26"/>
      <c r="EX1" s="26"/>
      <c r="EY1" s="26"/>
      <c r="EZ1" s="26"/>
      <c r="FA1" s="26"/>
      <c r="FB1" s="27"/>
      <c r="FC1" s="27"/>
      <c r="FD1" s="27"/>
      <c r="FE1" s="26"/>
      <c r="FF1" s="26"/>
      <c r="FG1" s="26"/>
      <c r="FH1" s="26"/>
      <c r="FI1" s="26"/>
      <c r="FJ1" s="26"/>
      <c r="FK1" s="26"/>
      <c r="FL1" s="26"/>
      <c r="FM1" s="26"/>
      <c r="FN1" s="27"/>
      <c r="FO1" s="27"/>
      <c r="FP1" s="27"/>
      <c r="FQ1" s="26"/>
      <c r="FR1" s="26"/>
      <c r="FS1" s="26"/>
      <c r="FT1" s="26"/>
      <c r="FU1" s="26"/>
      <c r="FV1" s="26"/>
      <c r="FW1" s="26"/>
      <c r="FX1" s="26"/>
      <c r="FY1" s="26"/>
      <c r="FZ1" s="27"/>
      <c r="GA1" s="27"/>
      <c r="GB1" s="27"/>
      <c r="GC1" s="26"/>
      <c r="GD1" s="26"/>
      <c r="GE1" s="26"/>
      <c r="GF1" s="26"/>
      <c r="GG1" s="26"/>
      <c r="GH1" s="26"/>
      <c r="GI1" s="26"/>
      <c r="GJ1" s="26"/>
      <c r="GK1" s="26"/>
      <c r="GL1" s="27"/>
      <c r="GM1" s="27"/>
      <c r="GN1" s="27"/>
      <c r="GO1" s="26"/>
      <c r="GP1" s="26"/>
      <c r="GQ1" s="26"/>
      <c r="GR1" s="26"/>
      <c r="GS1" s="26"/>
      <c r="GT1" s="26"/>
      <c r="GU1" s="26"/>
      <c r="GV1" s="26"/>
      <c r="GW1" s="26"/>
      <c r="GX1" s="27"/>
      <c r="GY1" s="27"/>
      <c r="GZ1" s="27"/>
      <c r="HA1" s="26"/>
      <c r="HB1" s="26"/>
      <c r="HC1" s="26"/>
      <c r="HD1" s="26"/>
      <c r="HE1" s="26"/>
      <c r="HF1" s="26"/>
      <c r="HG1" s="26"/>
      <c r="HH1" s="26"/>
      <c r="HI1" s="26"/>
      <c r="HJ1" s="27"/>
      <c r="HK1" s="27"/>
      <c r="HL1" s="27"/>
      <c r="HM1" s="26"/>
      <c r="HN1" s="26"/>
      <c r="HO1" s="26"/>
      <c r="HP1" s="26"/>
      <c r="HQ1" s="26"/>
      <c r="HR1" s="26"/>
      <c r="HS1" s="26"/>
      <c r="HT1" s="26"/>
      <c r="HU1" s="26"/>
      <c r="HV1" s="27"/>
      <c r="HW1" s="27"/>
      <c r="HX1" s="27"/>
      <c r="HY1" s="26"/>
      <c r="HZ1" s="26"/>
      <c r="IA1" s="26"/>
      <c r="IB1" s="26"/>
    </row>
    <row r="2" spans="1:236" s="460" customFormat="1" ht="15">
      <c r="A2" s="61"/>
      <c r="B2" s="61"/>
      <c r="C2" s="61"/>
      <c r="D2" s="61"/>
      <c r="E2" s="61"/>
      <c r="F2" s="61"/>
      <c r="G2" s="61"/>
      <c r="H2" s="28"/>
      <c r="I2" s="28"/>
      <c r="J2" s="28"/>
      <c r="K2" s="29"/>
      <c r="L2" s="29"/>
      <c r="M2" s="29"/>
      <c r="N2" s="30"/>
      <c r="O2" s="30"/>
      <c r="P2" s="30"/>
      <c r="Q2" s="28"/>
      <c r="R2" s="28"/>
      <c r="S2" s="28"/>
      <c r="T2" s="28"/>
      <c r="U2" s="28"/>
      <c r="V2" s="28"/>
      <c r="W2" s="29"/>
      <c r="X2" s="29"/>
      <c r="Y2" s="29"/>
      <c r="Z2" s="30"/>
      <c r="AA2" s="30"/>
      <c r="AB2" s="30"/>
      <c r="AC2" s="28"/>
      <c r="AD2" s="28"/>
      <c r="AE2" s="28"/>
      <c r="AF2" s="28"/>
      <c r="AG2" s="28"/>
      <c r="AH2" s="28"/>
      <c r="AI2" s="29"/>
      <c r="AJ2" s="29"/>
      <c r="AK2" s="29"/>
      <c r="AL2" s="30"/>
      <c r="AM2" s="30"/>
      <c r="AN2" s="30"/>
      <c r="AO2" s="28"/>
      <c r="AP2" s="28"/>
      <c r="AQ2" s="28"/>
      <c r="AR2" s="28"/>
      <c r="AS2" s="28"/>
      <c r="AT2" s="28"/>
      <c r="AU2" s="29"/>
      <c r="AV2" s="29"/>
      <c r="AW2" s="29"/>
      <c r="AX2" s="30"/>
      <c r="AY2" s="30"/>
      <c r="AZ2" s="30"/>
      <c r="BA2" s="28"/>
      <c r="BB2" s="28"/>
      <c r="BC2" s="28"/>
      <c r="BD2" s="28"/>
      <c r="BE2" s="28"/>
      <c r="BF2" s="28"/>
      <c r="BG2" s="29"/>
      <c r="BH2" s="29"/>
      <c r="BI2" s="29"/>
      <c r="BJ2" s="30"/>
      <c r="BK2" s="30"/>
      <c r="BL2" s="30"/>
      <c r="BM2" s="28"/>
      <c r="BN2" s="28"/>
      <c r="BO2" s="28"/>
      <c r="BP2" s="28"/>
      <c r="BQ2" s="28"/>
      <c r="BR2" s="28"/>
      <c r="BS2" s="29"/>
      <c r="BT2" s="29"/>
      <c r="BU2" s="29"/>
      <c r="BV2" s="30"/>
      <c r="BW2" s="30"/>
      <c r="BX2" s="30"/>
      <c r="BY2" s="28"/>
      <c r="BZ2" s="28"/>
      <c r="CA2" s="28"/>
      <c r="CB2" s="28"/>
      <c r="CC2" s="28"/>
      <c r="CD2" s="28"/>
      <c r="CE2" s="29"/>
      <c r="CF2" s="29"/>
      <c r="CG2" s="29"/>
      <c r="CH2" s="30"/>
      <c r="CI2" s="30"/>
      <c r="CJ2" s="30"/>
      <c r="CK2" s="28"/>
      <c r="CL2" s="28"/>
      <c r="CM2" s="28"/>
      <c r="CN2" s="28"/>
      <c r="CO2" s="28"/>
      <c r="CP2" s="28"/>
      <c r="CQ2" s="29"/>
      <c r="CR2" s="29"/>
      <c r="CS2" s="29"/>
      <c r="CT2" s="30"/>
      <c r="CU2" s="30"/>
      <c r="CV2" s="30"/>
      <c r="CW2" s="28"/>
      <c r="CX2" s="28"/>
      <c r="CY2" s="28"/>
      <c r="CZ2" s="28"/>
      <c r="DA2" s="28"/>
      <c r="DB2" s="28"/>
      <c r="DC2" s="29"/>
      <c r="DD2" s="29"/>
      <c r="DE2" s="29"/>
      <c r="DF2" s="30"/>
      <c r="DG2" s="30"/>
      <c r="DH2" s="30"/>
      <c r="DI2" s="28"/>
      <c r="DJ2" s="28"/>
      <c r="DK2" s="28"/>
      <c r="DL2" s="28"/>
      <c r="DM2" s="28"/>
      <c r="DN2" s="28"/>
      <c r="DO2" s="29"/>
      <c r="DP2" s="29"/>
      <c r="DQ2" s="29"/>
      <c r="DR2" s="30"/>
      <c r="DS2" s="30"/>
      <c r="DT2" s="30"/>
      <c r="DU2" s="28"/>
      <c r="DV2" s="28"/>
      <c r="DW2" s="28"/>
      <c r="DX2" s="28"/>
      <c r="DY2" s="28"/>
      <c r="DZ2" s="28"/>
      <c r="EA2" s="29"/>
      <c r="EB2" s="29"/>
      <c r="EC2" s="29"/>
      <c r="ED2" s="30"/>
      <c r="EE2" s="30"/>
      <c r="EF2" s="30"/>
      <c r="EG2" s="28"/>
      <c r="EH2" s="28"/>
      <c r="EI2" s="28"/>
      <c r="EJ2" s="28"/>
      <c r="EK2" s="28"/>
      <c r="EL2" s="28"/>
      <c r="EM2" s="29"/>
      <c r="EN2" s="29"/>
      <c r="EO2" s="29"/>
      <c r="EP2" s="30"/>
      <c r="EQ2" s="30"/>
      <c r="ER2" s="30"/>
      <c r="ES2" s="28"/>
      <c r="ET2" s="28"/>
      <c r="EU2" s="28"/>
      <c r="EV2" s="28"/>
      <c r="EW2" s="28"/>
      <c r="EX2" s="28"/>
      <c r="EY2" s="29"/>
      <c r="EZ2" s="29"/>
      <c r="FA2" s="29"/>
      <c r="FB2" s="30"/>
      <c r="FC2" s="30"/>
      <c r="FD2" s="30"/>
      <c r="FE2" s="28"/>
      <c r="FF2" s="28"/>
      <c r="FG2" s="28"/>
      <c r="FH2" s="28"/>
      <c r="FI2" s="28"/>
      <c r="FJ2" s="28"/>
      <c r="FK2" s="29"/>
      <c r="FL2" s="29"/>
      <c r="FM2" s="29"/>
      <c r="FN2" s="30"/>
      <c r="FO2" s="30"/>
      <c r="FP2" s="30"/>
      <c r="FQ2" s="28"/>
      <c r="FR2" s="28"/>
      <c r="FS2" s="28"/>
      <c r="FT2" s="28"/>
      <c r="FU2" s="28"/>
      <c r="FV2" s="28"/>
      <c r="FW2" s="29"/>
      <c r="FX2" s="29"/>
      <c r="FY2" s="29"/>
      <c r="FZ2" s="30"/>
      <c r="GA2" s="30"/>
      <c r="GB2" s="30"/>
      <c r="GC2" s="28"/>
      <c r="GD2" s="28"/>
      <c r="GE2" s="28"/>
      <c r="GF2" s="28"/>
      <c r="GG2" s="28"/>
      <c r="GH2" s="28"/>
      <c r="GI2" s="29"/>
      <c r="GJ2" s="29"/>
      <c r="GK2" s="29"/>
      <c r="GL2" s="30"/>
      <c r="GM2" s="30"/>
      <c r="GN2" s="30"/>
      <c r="GO2" s="28"/>
      <c r="GP2" s="28"/>
      <c r="GQ2" s="28"/>
      <c r="GR2" s="28"/>
      <c r="GS2" s="28"/>
      <c r="GT2" s="28"/>
      <c r="GU2" s="29"/>
      <c r="GV2" s="29"/>
      <c r="GW2" s="29"/>
      <c r="GX2" s="30"/>
      <c r="GY2" s="30"/>
      <c r="GZ2" s="30"/>
      <c r="HA2" s="28"/>
      <c r="HB2" s="28"/>
      <c r="HC2" s="28"/>
      <c r="HD2" s="28"/>
      <c r="HE2" s="28"/>
      <c r="HF2" s="28"/>
      <c r="HG2" s="29"/>
      <c r="HH2" s="29"/>
      <c r="HI2" s="29"/>
      <c r="HJ2" s="30"/>
      <c r="HK2" s="30"/>
      <c r="HL2" s="30"/>
      <c r="HM2" s="28"/>
      <c r="HN2" s="28"/>
      <c r="HO2" s="28"/>
      <c r="HP2" s="28"/>
      <c r="HQ2" s="28"/>
      <c r="HR2" s="28"/>
      <c r="HS2" s="29"/>
      <c r="HT2" s="29"/>
      <c r="HU2" s="29"/>
      <c r="HV2" s="30"/>
      <c r="HW2" s="30"/>
      <c r="HX2" s="30"/>
      <c r="HY2" s="28"/>
      <c r="HZ2" s="28"/>
      <c r="IA2" s="28"/>
      <c r="IB2" s="28"/>
    </row>
    <row r="3" spans="1:236" s="464" customFormat="1" ht="34.5" customHeight="1">
      <c r="A3" s="461"/>
      <c r="B3" s="462">
        <v>2010</v>
      </c>
      <c r="C3" s="311">
        <v>2011</v>
      </c>
      <c r="D3" s="311">
        <v>2012</v>
      </c>
      <c r="E3" s="311">
        <v>2013</v>
      </c>
      <c r="F3" s="311">
        <v>2014</v>
      </c>
      <c r="G3" s="311">
        <v>2015</v>
      </c>
      <c r="H3" s="311" t="s">
        <v>935</v>
      </c>
      <c r="I3" s="323"/>
      <c r="J3" s="323"/>
      <c r="K3" s="335"/>
      <c r="L3" s="335"/>
      <c r="M3" s="323"/>
      <c r="N3" s="323"/>
      <c r="O3" s="323"/>
      <c r="P3" s="335"/>
      <c r="Q3" s="463"/>
      <c r="R3" s="335"/>
      <c r="S3" s="335"/>
      <c r="T3" s="323"/>
      <c r="U3" s="323"/>
      <c r="V3" s="323"/>
      <c r="W3" s="335"/>
      <c r="X3" s="335"/>
      <c r="Y3" s="323"/>
      <c r="Z3" s="323"/>
      <c r="AA3" s="323"/>
      <c r="AB3" s="335"/>
      <c r="AC3" s="463"/>
      <c r="AD3" s="335"/>
      <c r="AE3" s="335"/>
      <c r="AF3" s="323"/>
      <c r="AG3" s="323"/>
      <c r="AH3" s="323"/>
      <c r="AI3" s="335"/>
      <c r="AJ3" s="335"/>
      <c r="AK3" s="323"/>
      <c r="AL3" s="323"/>
      <c r="AM3" s="323"/>
      <c r="AN3" s="335"/>
      <c r="AO3" s="463"/>
      <c r="AP3" s="335"/>
      <c r="AQ3" s="335"/>
      <c r="AR3" s="323"/>
      <c r="AS3" s="323"/>
      <c r="AT3" s="323"/>
      <c r="AU3" s="335"/>
      <c r="AV3" s="335"/>
      <c r="AW3" s="323"/>
      <c r="AX3" s="323"/>
      <c r="AY3" s="323"/>
      <c r="AZ3" s="335"/>
      <c r="BA3" s="463"/>
      <c r="BB3" s="335"/>
      <c r="BC3" s="335"/>
      <c r="BD3" s="323"/>
      <c r="BE3" s="323"/>
      <c r="BF3" s="323"/>
      <c r="BG3" s="335"/>
      <c r="BH3" s="335"/>
      <c r="BI3" s="323"/>
      <c r="BJ3" s="323"/>
      <c r="BK3" s="323"/>
      <c r="BL3" s="335"/>
      <c r="BM3" s="463"/>
      <c r="BN3" s="335"/>
      <c r="BO3" s="335"/>
      <c r="BP3" s="323"/>
      <c r="BQ3" s="323"/>
      <c r="BR3" s="323"/>
      <c r="BS3" s="335"/>
      <c r="BT3" s="335"/>
      <c r="BU3" s="323"/>
      <c r="BV3" s="323"/>
      <c r="BW3" s="323"/>
      <c r="BX3" s="335"/>
      <c r="BY3" s="463"/>
      <c r="BZ3" s="335"/>
      <c r="CA3" s="335"/>
      <c r="CB3" s="323"/>
      <c r="CC3" s="323"/>
      <c r="CD3" s="323"/>
      <c r="CE3" s="335"/>
      <c r="CF3" s="335"/>
      <c r="CG3" s="323"/>
      <c r="CH3" s="323"/>
      <c r="CI3" s="323"/>
      <c r="CJ3" s="335"/>
      <c r="CK3" s="463"/>
      <c r="CL3" s="335"/>
      <c r="CM3" s="335"/>
      <c r="CN3" s="323"/>
      <c r="CO3" s="323"/>
      <c r="CP3" s="323"/>
      <c r="CQ3" s="335"/>
      <c r="CR3" s="335"/>
      <c r="CS3" s="323"/>
      <c r="CT3" s="323"/>
      <c r="CU3" s="323"/>
      <c r="CV3" s="335"/>
      <c r="CW3" s="463"/>
      <c r="CX3" s="335"/>
      <c r="CY3" s="335"/>
      <c r="CZ3" s="323"/>
      <c r="DA3" s="323"/>
      <c r="DB3" s="323"/>
      <c r="DC3" s="335"/>
      <c r="DD3" s="335"/>
      <c r="DE3" s="323"/>
      <c r="DF3" s="323"/>
      <c r="DG3" s="323"/>
      <c r="DH3" s="335"/>
      <c r="DI3" s="463"/>
      <c r="DJ3" s="335"/>
      <c r="DK3" s="335"/>
      <c r="DL3" s="323"/>
      <c r="DM3" s="323"/>
      <c r="DN3" s="323"/>
      <c r="DO3" s="335"/>
      <c r="DP3" s="335"/>
      <c r="DQ3" s="323"/>
      <c r="DR3" s="323"/>
      <c r="DS3" s="323"/>
      <c r="DT3" s="335"/>
      <c r="DU3" s="463"/>
      <c r="DV3" s="335"/>
      <c r="DW3" s="335"/>
      <c r="DX3" s="323"/>
      <c r="DY3" s="323"/>
      <c r="DZ3" s="323"/>
      <c r="EA3" s="335"/>
      <c r="EB3" s="335"/>
      <c r="EC3" s="323"/>
      <c r="ED3" s="323"/>
      <c r="EE3" s="323"/>
      <c r="EF3" s="335"/>
      <c r="EG3" s="463"/>
      <c r="EH3" s="335"/>
      <c r="EI3" s="335"/>
      <c r="EJ3" s="323"/>
      <c r="EK3" s="323"/>
      <c r="EL3" s="323"/>
      <c r="EM3" s="335"/>
      <c r="EN3" s="335"/>
      <c r="EO3" s="323"/>
      <c r="EP3" s="323"/>
      <c r="EQ3" s="323"/>
      <c r="ER3" s="335"/>
      <c r="ES3" s="463"/>
      <c r="ET3" s="335"/>
      <c r="EU3" s="335"/>
      <c r="EV3" s="323"/>
      <c r="EW3" s="323"/>
      <c r="EX3" s="323"/>
      <c r="EY3" s="335"/>
      <c r="EZ3" s="335"/>
      <c r="FA3" s="323"/>
      <c r="FB3" s="323"/>
      <c r="FC3" s="323"/>
      <c r="FD3" s="335"/>
      <c r="FE3" s="463"/>
      <c r="FF3" s="335"/>
      <c r="FG3" s="335"/>
      <c r="FH3" s="323"/>
      <c r="FI3" s="323"/>
      <c r="FJ3" s="323"/>
      <c r="FK3" s="335"/>
      <c r="FL3" s="335"/>
      <c r="FM3" s="323"/>
      <c r="FN3" s="323"/>
      <c r="FO3" s="323"/>
      <c r="FP3" s="335"/>
      <c r="FQ3" s="463"/>
      <c r="FR3" s="335"/>
      <c r="FS3" s="335"/>
      <c r="FT3" s="323"/>
      <c r="FU3" s="323"/>
      <c r="FV3" s="323"/>
      <c r="FW3" s="335"/>
      <c r="FX3" s="335"/>
      <c r="FY3" s="323"/>
      <c r="FZ3" s="323"/>
      <c r="GA3" s="323"/>
      <c r="GB3" s="335"/>
      <c r="GC3" s="463"/>
      <c r="GD3" s="335"/>
      <c r="GE3" s="335"/>
      <c r="GF3" s="323"/>
      <c r="GG3" s="323"/>
      <c r="GH3" s="323"/>
      <c r="GI3" s="335"/>
      <c r="GJ3" s="335"/>
      <c r="GK3" s="323"/>
      <c r="GL3" s="323"/>
      <c r="GM3" s="323"/>
      <c r="GN3" s="335"/>
      <c r="GO3" s="463"/>
      <c r="GP3" s="335"/>
      <c r="GQ3" s="335"/>
      <c r="GR3" s="323"/>
      <c r="GS3" s="323"/>
      <c r="GT3" s="323"/>
      <c r="GU3" s="335"/>
      <c r="GV3" s="335"/>
      <c r="GW3" s="323"/>
      <c r="GX3" s="323"/>
      <c r="GY3" s="323"/>
      <c r="GZ3" s="335"/>
      <c r="HA3" s="463"/>
      <c r="HB3" s="335"/>
      <c r="HC3" s="335"/>
      <c r="HD3" s="323"/>
      <c r="HE3" s="323"/>
      <c r="HF3" s="323"/>
      <c r="HG3" s="335"/>
      <c r="HH3" s="335"/>
      <c r="HI3" s="323"/>
      <c r="HJ3" s="323"/>
      <c r="HK3" s="323"/>
      <c r="HL3" s="335"/>
      <c r="HM3" s="463"/>
      <c r="HN3" s="335"/>
      <c r="HO3" s="335"/>
      <c r="HP3" s="323"/>
      <c r="HQ3" s="323"/>
      <c r="HR3" s="323"/>
      <c r="HS3" s="335"/>
      <c r="HT3" s="335"/>
      <c r="HU3" s="323"/>
      <c r="HV3" s="323"/>
      <c r="HW3" s="323"/>
      <c r="HX3" s="335"/>
      <c r="HY3" s="463"/>
      <c r="HZ3" s="335"/>
      <c r="IA3" s="335"/>
      <c r="IB3" s="323"/>
    </row>
    <row r="4" spans="1:236" ht="22.5" customHeight="1">
      <c r="A4" s="188" t="s">
        <v>159</v>
      </c>
      <c r="B4" s="350"/>
      <c r="C4" s="188"/>
      <c r="D4" s="188"/>
      <c r="E4" s="188"/>
      <c r="F4" s="188"/>
      <c r="G4" s="188"/>
      <c r="H4" s="188"/>
    </row>
    <row r="5" spans="1:236" ht="14.25">
      <c r="A5" s="135" t="s">
        <v>742</v>
      </c>
      <c r="B5" s="350">
        <v>169866</v>
      </c>
      <c r="C5" s="350">
        <v>166311</v>
      </c>
      <c r="D5" s="350">
        <v>163959</v>
      </c>
      <c r="E5" s="350">
        <v>160541</v>
      </c>
      <c r="F5" s="350">
        <v>158925</v>
      </c>
      <c r="G5" s="350">
        <v>158219</v>
      </c>
      <c r="H5" s="350">
        <v>157823</v>
      </c>
    </row>
    <row r="6" spans="1:236" ht="14.25">
      <c r="A6" s="135" t="s">
        <v>160</v>
      </c>
      <c r="B6" s="350">
        <v>93218</v>
      </c>
      <c r="C6" s="350">
        <v>94192</v>
      </c>
      <c r="D6" s="350">
        <v>95304</v>
      </c>
      <c r="E6" s="350">
        <v>96910</v>
      </c>
      <c r="F6" s="350">
        <v>96390</v>
      </c>
      <c r="G6" s="350">
        <v>99775</v>
      </c>
      <c r="H6" s="350">
        <v>96176</v>
      </c>
    </row>
    <row r="7" spans="1:236" s="129" customFormat="1" ht="14.25">
      <c r="A7" s="372" t="s">
        <v>163</v>
      </c>
      <c r="B7" s="348">
        <f t="shared" ref="B7:E7" si="0">SUM(B5:B6)</f>
        <v>263084</v>
      </c>
      <c r="C7" s="348">
        <f t="shared" si="0"/>
        <v>260503</v>
      </c>
      <c r="D7" s="348">
        <f t="shared" si="0"/>
        <v>259263</v>
      </c>
      <c r="E7" s="348">
        <f t="shared" si="0"/>
        <v>257451</v>
      </c>
      <c r="F7" s="348">
        <f t="shared" ref="F7:H7" si="1">SUM(F5:F6)</f>
        <v>255315</v>
      </c>
      <c r="G7" s="348">
        <f t="shared" si="1"/>
        <v>257994</v>
      </c>
      <c r="H7" s="348">
        <f t="shared" si="1"/>
        <v>253999</v>
      </c>
    </row>
    <row r="8" spans="1:236" s="129" customFormat="1" ht="22.5" customHeight="1">
      <c r="A8" s="138" t="s">
        <v>825</v>
      </c>
      <c r="B8" s="135"/>
      <c r="C8" s="135"/>
      <c r="D8" s="138"/>
      <c r="E8" s="373"/>
      <c r="F8" s="373"/>
      <c r="G8" s="373"/>
      <c r="H8" s="373"/>
      <c r="I8" s="309"/>
      <c r="J8" s="309"/>
      <c r="K8" s="309"/>
      <c r="L8" s="309"/>
      <c r="M8" s="309"/>
      <c r="N8" s="309"/>
      <c r="O8" s="309"/>
    </row>
    <row r="9" spans="1:236" ht="14.25">
      <c r="A9" s="135" t="s">
        <v>821</v>
      </c>
      <c r="B9" s="350">
        <v>7308.6959999999999</v>
      </c>
      <c r="C9" s="350">
        <v>7382.4269999999997</v>
      </c>
      <c r="D9" s="350">
        <v>7854.2579999999998</v>
      </c>
      <c r="E9" s="350">
        <v>8219.0290000000005</v>
      </c>
      <c r="F9" s="350">
        <v>8369.4030000000002</v>
      </c>
      <c r="G9" s="350">
        <v>8516.3770000000004</v>
      </c>
      <c r="H9" s="350">
        <v>8760.8389999999999</v>
      </c>
      <c r="I9" s="309"/>
      <c r="J9" s="309"/>
      <c r="K9" s="309"/>
      <c r="L9" s="309"/>
      <c r="M9" s="309"/>
      <c r="N9" s="309"/>
    </row>
    <row r="10" spans="1:236" ht="14.25">
      <c r="A10" s="135" t="s">
        <v>822</v>
      </c>
      <c r="B10" s="374">
        <v>3370.6709999999998</v>
      </c>
      <c r="C10" s="374">
        <v>3459.1120000000001</v>
      </c>
      <c r="D10" s="374">
        <v>3874.1179999999999</v>
      </c>
      <c r="E10" s="374">
        <v>3665.3310000000001</v>
      </c>
      <c r="F10" s="374">
        <v>3752.982</v>
      </c>
      <c r="G10" s="374">
        <v>3970.788</v>
      </c>
      <c r="H10" s="374">
        <v>4140.7870000000003</v>
      </c>
    </row>
    <row r="11" spans="1:236" ht="12.95" customHeight="1">
      <c r="A11" s="372" t="s">
        <v>163</v>
      </c>
      <c r="B11" s="348">
        <f t="shared" ref="B11:D11" si="2">SUM(B9:B10)</f>
        <v>10679.367</v>
      </c>
      <c r="C11" s="348">
        <f t="shared" si="2"/>
        <v>10841.539000000001</v>
      </c>
      <c r="D11" s="348">
        <f t="shared" si="2"/>
        <v>11728.376</v>
      </c>
      <c r="E11" s="348">
        <f>SUM(E9:E10)</f>
        <v>11884.36</v>
      </c>
      <c r="F11" s="348">
        <f t="shared" ref="F11:H11" si="3">SUM(F9:F10)</f>
        <v>12122.385</v>
      </c>
      <c r="G11" s="348">
        <f t="shared" si="3"/>
        <v>12487.165000000001</v>
      </c>
      <c r="H11" s="348">
        <f t="shared" si="3"/>
        <v>12901.626</v>
      </c>
    </row>
    <row r="12" spans="1:236" ht="12.95" customHeight="1">
      <c r="A12" s="372"/>
      <c r="B12" s="348"/>
      <c r="C12" s="348"/>
      <c r="D12" s="348"/>
      <c r="E12" s="348"/>
      <c r="F12" s="348"/>
      <c r="G12" s="348"/>
      <c r="H12" s="348"/>
    </row>
    <row r="13" spans="1:236" ht="12.95" customHeight="1">
      <c r="A13" s="138" t="s">
        <v>826</v>
      </c>
      <c r="B13" s="348"/>
      <c r="C13" s="348"/>
      <c r="D13" s="348"/>
      <c r="E13" s="348"/>
      <c r="F13" s="348"/>
      <c r="G13" s="348"/>
      <c r="H13" s="348"/>
    </row>
    <row r="14" spans="1:236" ht="14.25">
      <c r="A14" s="135" t="s">
        <v>823</v>
      </c>
      <c r="B14" s="350"/>
      <c r="C14" s="350"/>
      <c r="D14" s="350"/>
      <c r="E14" s="350">
        <v>8512.2890000000007</v>
      </c>
      <c r="F14" s="350">
        <v>8458.1769999999997</v>
      </c>
      <c r="G14" s="350">
        <v>8732.9310000000005</v>
      </c>
      <c r="H14" s="350">
        <v>8949.8860000000004</v>
      </c>
      <c r="I14" s="309"/>
      <c r="J14" s="309"/>
      <c r="K14" s="309"/>
      <c r="L14" s="309"/>
      <c r="M14" s="309"/>
      <c r="N14" s="309"/>
    </row>
    <row r="15" spans="1:236" ht="14.25">
      <c r="A15" s="135" t="s">
        <v>824</v>
      </c>
      <c r="B15" s="374"/>
      <c r="C15" s="374"/>
      <c r="D15" s="374"/>
      <c r="E15" s="374">
        <v>3632.5889999999999</v>
      </c>
      <c r="F15" s="374">
        <v>3750.1149999999998</v>
      </c>
      <c r="G15" s="374">
        <v>3959.3629999999998</v>
      </c>
      <c r="H15" s="374">
        <v>4135.8829999999998</v>
      </c>
    </row>
    <row r="16" spans="1:236" ht="12.95" customHeight="1">
      <c r="A16" s="372" t="s">
        <v>163</v>
      </c>
      <c r="B16" s="348"/>
      <c r="C16" s="348"/>
      <c r="D16" s="348"/>
      <c r="E16" s="348">
        <f>SUM(E14:E15)</f>
        <v>12144.878000000001</v>
      </c>
      <c r="F16" s="348">
        <f t="shared" ref="F16:H16" si="4">SUM(F14:F15)</f>
        <v>12208.291999999999</v>
      </c>
      <c r="G16" s="348">
        <f t="shared" si="4"/>
        <v>12692.294</v>
      </c>
      <c r="H16" s="348">
        <f t="shared" si="4"/>
        <v>13085.769</v>
      </c>
    </row>
    <row r="17" spans="1:8" ht="22.5" customHeight="1">
      <c r="A17" s="188" t="s">
        <v>827</v>
      </c>
      <c r="B17" s="188"/>
      <c r="C17" s="188"/>
      <c r="D17" s="188"/>
      <c r="E17" s="188"/>
      <c r="F17" s="188"/>
      <c r="G17" s="188"/>
      <c r="H17" s="188"/>
    </row>
    <row r="18" spans="1:8" ht="12.95" customHeight="1">
      <c r="A18" s="188" t="s">
        <v>34</v>
      </c>
      <c r="B18" s="375">
        <v>3.6247075115315296E-2</v>
      </c>
      <c r="C18" s="375">
        <v>3.5127949324433791E-2</v>
      </c>
      <c r="D18" s="375">
        <v>3.6991496770286639E-2</v>
      </c>
      <c r="E18" s="375">
        <v>3.6807586766518623E-2</v>
      </c>
      <c r="F18" s="375">
        <v>3.681303447354356E-2</v>
      </c>
      <c r="G18" s="375">
        <v>3.7040712505932605E-2</v>
      </c>
      <c r="H18" s="375">
        <v>3.7113097258579524E-2</v>
      </c>
    </row>
    <row r="19" spans="1:8" ht="12.95" customHeight="1">
      <c r="A19" s="188" t="s">
        <v>596</v>
      </c>
      <c r="B19" s="375"/>
      <c r="C19" s="375"/>
      <c r="D19" s="375"/>
      <c r="E19" s="375"/>
      <c r="F19" s="375"/>
      <c r="G19" s="375"/>
      <c r="H19" s="375"/>
    </row>
    <row r="20" spans="1:8" ht="12.95" customHeight="1">
      <c r="A20" s="188" t="s">
        <v>34</v>
      </c>
      <c r="B20" s="375"/>
      <c r="C20" s="375"/>
      <c r="D20" s="375"/>
      <c r="E20" s="375">
        <v>3.761444880109515E-2</v>
      </c>
      <c r="F20" s="375">
        <v>3.707391526164909E-2</v>
      </c>
      <c r="G20" s="375">
        <v>3.7649187233032747E-2</v>
      </c>
      <c r="H20" s="375">
        <v>3.764280700745045E-2</v>
      </c>
    </row>
    <row r="21" spans="1:8" ht="12.95" customHeight="1">
      <c r="A21" s="190"/>
      <c r="B21" s="376"/>
      <c r="C21" s="376"/>
      <c r="D21" s="376"/>
      <c r="E21" s="376"/>
      <c r="F21" s="376"/>
      <c r="G21" s="376"/>
      <c r="H21" s="376"/>
    </row>
    <row r="22" spans="1:8" ht="12.95" customHeight="1">
      <c r="A22" s="132" t="s">
        <v>598</v>
      </c>
      <c r="B22" s="130"/>
      <c r="C22" s="131"/>
      <c r="D22" s="131"/>
      <c r="E22" s="131"/>
    </row>
    <row r="23" spans="1:8" ht="58.5" customHeight="1">
      <c r="A23" s="591" t="s">
        <v>847</v>
      </c>
      <c r="B23" s="591"/>
      <c r="C23" s="591"/>
      <c r="D23" s="591"/>
      <c r="E23" s="591"/>
      <c r="F23" s="591"/>
      <c r="G23" s="591"/>
    </row>
    <row r="24" spans="1:8" ht="15.75" customHeight="1">
      <c r="A24" s="589" t="s">
        <v>741</v>
      </c>
      <c r="B24" s="590"/>
      <c r="C24" s="590"/>
      <c r="D24" s="590"/>
      <c r="E24" s="590"/>
    </row>
    <row r="25" spans="1:8" ht="15">
      <c r="A25" s="589" t="s">
        <v>846</v>
      </c>
      <c r="B25" s="590"/>
      <c r="C25" s="590"/>
      <c r="D25" s="590"/>
      <c r="E25" s="590"/>
    </row>
    <row r="26" spans="1:8" ht="42" customHeight="1">
      <c r="A26" s="572" t="s">
        <v>715</v>
      </c>
      <c r="B26" s="572"/>
      <c r="C26" s="572"/>
      <c r="D26" s="572"/>
      <c r="E26" s="572"/>
      <c r="F26" s="572"/>
      <c r="G26" s="572"/>
    </row>
  </sheetData>
  <mergeCells count="4">
    <mergeCell ref="A24:E24"/>
    <mergeCell ref="A25:E25"/>
    <mergeCell ref="A23:G23"/>
    <mergeCell ref="A26:G26"/>
  </mergeCells>
  <printOptions horizontalCentered="1"/>
  <pageMargins left="0.27" right="0.2" top="0.53" bottom="0.31" header="0.23622047244094491" footer="0.17"/>
  <pageSetup paperSize="9" orientation="landscape" r:id="rId1"/>
  <headerFooter alignWithMargins="0"/>
  <ignoredErrors>
    <ignoredError sqref="H3"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5">
    <tabColor rgb="FF92D050"/>
  </sheetPr>
  <dimension ref="A1:IC28"/>
  <sheetViews>
    <sheetView zoomScaleNormal="130" zoomScaleSheetLayoutView="130" workbookViewId="0"/>
  </sheetViews>
  <sheetFormatPr baseColWidth="10" defaultRowHeight="12.95" customHeight="1"/>
  <cols>
    <col min="1" max="1" width="32.5703125" style="128" customWidth="1"/>
    <col min="2" max="5" width="8.140625" style="128" customWidth="1"/>
    <col min="6" max="7" width="8.140625" style="129" customWidth="1"/>
    <col min="8" max="8" width="8.28515625" style="129" customWidth="1"/>
    <col min="9" max="72" width="11.42578125" style="129"/>
    <col min="73" max="237" width="11.42578125" style="128"/>
    <col min="238" max="238" width="31.5703125" style="128" customWidth="1"/>
    <col min="239" max="251" width="0" style="128" hidden="1" customWidth="1"/>
    <col min="252" max="252" width="8.7109375" style="128" customWidth="1"/>
    <col min="253" max="253" width="0" style="128" hidden="1" customWidth="1"/>
    <col min="254" max="260" width="8.7109375" style="128" customWidth="1"/>
    <col min="261" max="261" width="3.5703125" style="128" customWidth="1"/>
    <col min="262" max="262" width="8.7109375" style="128" customWidth="1"/>
    <col min="263" max="493" width="11.42578125" style="128"/>
    <col min="494" max="494" width="31.5703125" style="128" customWidth="1"/>
    <col min="495" max="507" width="0" style="128" hidden="1" customWidth="1"/>
    <col min="508" max="508" width="8.7109375" style="128" customWidth="1"/>
    <col min="509" max="509" width="0" style="128" hidden="1" customWidth="1"/>
    <col min="510" max="516" width="8.7109375" style="128" customWidth="1"/>
    <col min="517" max="517" width="3.5703125" style="128" customWidth="1"/>
    <col min="518" max="518" width="8.7109375" style="128" customWidth="1"/>
    <col min="519" max="749" width="11.42578125" style="128"/>
    <col min="750" max="750" width="31.5703125" style="128" customWidth="1"/>
    <col min="751" max="763" width="0" style="128" hidden="1" customWidth="1"/>
    <col min="764" max="764" width="8.7109375" style="128" customWidth="1"/>
    <col min="765" max="765" width="0" style="128" hidden="1" customWidth="1"/>
    <col min="766" max="772" width="8.7109375" style="128" customWidth="1"/>
    <col min="773" max="773" width="3.5703125" style="128" customWidth="1"/>
    <col min="774" max="774" width="8.7109375" style="128" customWidth="1"/>
    <col min="775" max="1005" width="11.42578125" style="128"/>
    <col min="1006" max="1006" width="31.5703125" style="128" customWidth="1"/>
    <col min="1007" max="1019" width="0" style="128" hidden="1" customWidth="1"/>
    <col min="1020" max="1020" width="8.7109375" style="128" customWidth="1"/>
    <col min="1021" max="1021" width="0" style="128" hidden="1" customWidth="1"/>
    <col min="1022" max="1028" width="8.7109375" style="128" customWidth="1"/>
    <col min="1029" max="1029" width="3.5703125" style="128" customWidth="1"/>
    <col min="1030" max="1030" width="8.7109375" style="128" customWidth="1"/>
    <col min="1031" max="1261" width="11.42578125" style="128"/>
    <col min="1262" max="1262" width="31.5703125" style="128" customWidth="1"/>
    <col min="1263" max="1275" width="0" style="128" hidden="1" customWidth="1"/>
    <col min="1276" max="1276" width="8.7109375" style="128" customWidth="1"/>
    <col min="1277" max="1277" width="0" style="128" hidden="1" customWidth="1"/>
    <col min="1278" max="1284" width="8.7109375" style="128" customWidth="1"/>
    <col min="1285" max="1285" width="3.5703125" style="128" customWidth="1"/>
    <col min="1286" max="1286" width="8.7109375" style="128" customWidth="1"/>
    <col min="1287" max="1517" width="11.42578125" style="128"/>
    <col min="1518" max="1518" width="31.5703125" style="128" customWidth="1"/>
    <col min="1519" max="1531" width="0" style="128" hidden="1" customWidth="1"/>
    <col min="1532" max="1532" width="8.7109375" style="128" customWidth="1"/>
    <col min="1533" max="1533" width="0" style="128" hidden="1" customWidth="1"/>
    <col min="1534" max="1540" width="8.7109375" style="128" customWidth="1"/>
    <col min="1541" max="1541" width="3.5703125" style="128" customWidth="1"/>
    <col min="1542" max="1542" width="8.7109375" style="128" customWidth="1"/>
    <col min="1543" max="1773" width="11.42578125" style="128"/>
    <col min="1774" max="1774" width="31.5703125" style="128" customWidth="1"/>
    <col min="1775" max="1787" width="0" style="128" hidden="1" customWidth="1"/>
    <col min="1788" max="1788" width="8.7109375" style="128" customWidth="1"/>
    <col min="1789" max="1789" width="0" style="128" hidden="1" customWidth="1"/>
    <col min="1790" max="1796" width="8.7109375" style="128" customWidth="1"/>
    <col min="1797" max="1797" width="3.5703125" style="128" customWidth="1"/>
    <col min="1798" max="1798" width="8.7109375" style="128" customWidth="1"/>
    <col min="1799" max="2029" width="11.42578125" style="128"/>
    <col min="2030" max="2030" width="31.5703125" style="128" customWidth="1"/>
    <col min="2031" max="2043" width="0" style="128" hidden="1" customWidth="1"/>
    <col min="2044" max="2044" width="8.7109375" style="128" customWidth="1"/>
    <col min="2045" max="2045" width="0" style="128" hidden="1" customWidth="1"/>
    <col min="2046" max="2052" width="8.7109375" style="128" customWidth="1"/>
    <col min="2053" max="2053" width="3.5703125" style="128" customWidth="1"/>
    <col min="2054" max="2054" width="8.7109375" style="128" customWidth="1"/>
    <col min="2055" max="2285" width="11.42578125" style="128"/>
    <col min="2286" max="2286" width="31.5703125" style="128" customWidth="1"/>
    <col min="2287" max="2299" width="0" style="128" hidden="1" customWidth="1"/>
    <col min="2300" max="2300" width="8.7109375" style="128" customWidth="1"/>
    <col min="2301" max="2301" width="0" style="128" hidden="1" customWidth="1"/>
    <col min="2302" max="2308" width="8.7109375" style="128" customWidth="1"/>
    <col min="2309" max="2309" width="3.5703125" style="128" customWidth="1"/>
    <col min="2310" max="2310" width="8.7109375" style="128" customWidth="1"/>
    <col min="2311" max="2541" width="11.42578125" style="128"/>
    <col min="2542" max="2542" width="31.5703125" style="128" customWidth="1"/>
    <col min="2543" max="2555" width="0" style="128" hidden="1" customWidth="1"/>
    <col min="2556" max="2556" width="8.7109375" style="128" customWidth="1"/>
    <col min="2557" max="2557" width="0" style="128" hidden="1" customWidth="1"/>
    <col min="2558" max="2564" width="8.7109375" style="128" customWidth="1"/>
    <col min="2565" max="2565" width="3.5703125" style="128" customWidth="1"/>
    <col min="2566" max="2566" width="8.7109375" style="128" customWidth="1"/>
    <col min="2567" max="2797" width="11.42578125" style="128"/>
    <col min="2798" max="2798" width="31.5703125" style="128" customWidth="1"/>
    <col min="2799" max="2811" width="0" style="128" hidden="1" customWidth="1"/>
    <col min="2812" max="2812" width="8.7109375" style="128" customWidth="1"/>
    <col min="2813" max="2813" width="0" style="128" hidden="1" customWidth="1"/>
    <col min="2814" max="2820" width="8.7109375" style="128" customWidth="1"/>
    <col min="2821" max="2821" width="3.5703125" style="128" customWidth="1"/>
    <col min="2822" max="2822" width="8.7109375" style="128" customWidth="1"/>
    <col min="2823" max="3053" width="11.42578125" style="128"/>
    <col min="3054" max="3054" width="31.5703125" style="128" customWidth="1"/>
    <col min="3055" max="3067" width="0" style="128" hidden="1" customWidth="1"/>
    <col min="3068" max="3068" width="8.7109375" style="128" customWidth="1"/>
    <col min="3069" max="3069" width="0" style="128" hidden="1" customWidth="1"/>
    <col min="3070" max="3076" width="8.7109375" style="128" customWidth="1"/>
    <col min="3077" max="3077" width="3.5703125" style="128" customWidth="1"/>
    <col min="3078" max="3078" width="8.7109375" style="128" customWidth="1"/>
    <col min="3079" max="3309" width="11.42578125" style="128"/>
    <col min="3310" max="3310" width="31.5703125" style="128" customWidth="1"/>
    <col min="3311" max="3323" width="0" style="128" hidden="1" customWidth="1"/>
    <col min="3324" max="3324" width="8.7109375" style="128" customWidth="1"/>
    <col min="3325" max="3325" width="0" style="128" hidden="1" customWidth="1"/>
    <col min="3326" max="3332" width="8.7109375" style="128" customWidth="1"/>
    <col min="3333" max="3333" width="3.5703125" style="128" customWidth="1"/>
    <col min="3334" max="3334" width="8.7109375" style="128" customWidth="1"/>
    <col min="3335" max="3565" width="11.42578125" style="128"/>
    <col min="3566" max="3566" width="31.5703125" style="128" customWidth="1"/>
    <col min="3567" max="3579" width="0" style="128" hidden="1" customWidth="1"/>
    <col min="3580" max="3580" width="8.7109375" style="128" customWidth="1"/>
    <col min="3581" max="3581" width="0" style="128" hidden="1" customWidth="1"/>
    <col min="3582" max="3588" width="8.7109375" style="128" customWidth="1"/>
    <col min="3589" max="3589" width="3.5703125" style="128" customWidth="1"/>
    <col min="3590" max="3590" width="8.7109375" style="128" customWidth="1"/>
    <col min="3591" max="3821" width="11.42578125" style="128"/>
    <col min="3822" max="3822" width="31.5703125" style="128" customWidth="1"/>
    <col min="3823" max="3835" width="0" style="128" hidden="1" customWidth="1"/>
    <col min="3836" max="3836" width="8.7109375" style="128" customWidth="1"/>
    <col min="3837" max="3837" width="0" style="128" hidden="1" customWidth="1"/>
    <col min="3838" max="3844" width="8.7109375" style="128" customWidth="1"/>
    <col min="3845" max="3845" width="3.5703125" style="128" customWidth="1"/>
    <col min="3846" max="3846" width="8.7109375" style="128" customWidth="1"/>
    <col min="3847" max="4077" width="11.42578125" style="128"/>
    <col min="4078" max="4078" width="31.5703125" style="128" customWidth="1"/>
    <col min="4079" max="4091" width="0" style="128" hidden="1" customWidth="1"/>
    <col min="4092" max="4092" width="8.7109375" style="128" customWidth="1"/>
    <col min="4093" max="4093" width="0" style="128" hidden="1" customWidth="1"/>
    <col min="4094" max="4100" width="8.7109375" style="128" customWidth="1"/>
    <col min="4101" max="4101" width="3.5703125" style="128" customWidth="1"/>
    <col min="4102" max="4102" width="8.7109375" style="128" customWidth="1"/>
    <col min="4103" max="4333" width="11.42578125" style="128"/>
    <col min="4334" max="4334" width="31.5703125" style="128" customWidth="1"/>
    <col min="4335" max="4347" width="0" style="128" hidden="1" customWidth="1"/>
    <col min="4348" max="4348" width="8.7109375" style="128" customWidth="1"/>
    <col min="4349" max="4349" width="0" style="128" hidden="1" customWidth="1"/>
    <col min="4350" max="4356" width="8.7109375" style="128" customWidth="1"/>
    <col min="4357" max="4357" width="3.5703125" style="128" customWidth="1"/>
    <col min="4358" max="4358" width="8.7109375" style="128" customWidth="1"/>
    <col min="4359" max="4589" width="11.42578125" style="128"/>
    <col min="4590" max="4590" width="31.5703125" style="128" customWidth="1"/>
    <col min="4591" max="4603" width="0" style="128" hidden="1" customWidth="1"/>
    <col min="4604" max="4604" width="8.7109375" style="128" customWidth="1"/>
    <col min="4605" max="4605" width="0" style="128" hidden="1" customWidth="1"/>
    <col min="4606" max="4612" width="8.7109375" style="128" customWidth="1"/>
    <col min="4613" max="4613" width="3.5703125" style="128" customWidth="1"/>
    <col min="4614" max="4614" width="8.7109375" style="128" customWidth="1"/>
    <col min="4615" max="4845" width="11.42578125" style="128"/>
    <col min="4846" max="4846" width="31.5703125" style="128" customWidth="1"/>
    <col min="4847" max="4859" width="0" style="128" hidden="1" customWidth="1"/>
    <col min="4860" max="4860" width="8.7109375" style="128" customWidth="1"/>
    <col min="4861" max="4861" width="0" style="128" hidden="1" customWidth="1"/>
    <col min="4862" max="4868" width="8.7109375" style="128" customWidth="1"/>
    <col min="4869" max="4869" width="3.5703125" style="128" customWidth="1"/>
    <col min="4870" max="4870" width="8.7109375" style="128" customWidth="1"/>
    <col min="4871" max="5101" width="11.42578125" style="128"/>
    <col min="5102" max="5102" width="31.5703125" style="128" customWidth="1"/>
    <col min="5103" max="5115" width="0" style="128" hidden="1" customWidth="1"/>
    <col min="5116" max="5116" width="8.7109375" style="128" customWidth="1"/>
    <col min="5117" max="5117" width="0" style="128" hidden="1" customWidth="1"/>
    <col min="5118" max="5124" width="8.7109375" style="128" customWidth="1"/>
    <col min="5125" max="5125" width="3.5703125" style="128" customWidth="1"/>
    <col min="5126" max="5126" width="8.7109375" style="128" customWidth="1"/>
    <col min="5127" max="5357" width="11.42578125" style="128"/>
    <col min="5358" max="5358" width="31.5703125" style="128" customWidth="1"/>
    <col min="5359" max="5371" width="0" style="128" hidden="1" customWidth="1"/>
    <col min="5372" max="5372" width="8.7109375" style="128" customWidth="1"/>
    <col min="5373" max="5373" width="0" style="128" hidden="1" customWidth="1"/>
    <col min="5374" max="5380" width="8.7109375" style="128" customWidth="1"/>
    <col min="5381" max="5381" width="3.5703125" style="128" customWidth="1"/>
    <col min="5382" max="5382" width="8.7109375" style="128" customWidth="1"/>
    <col min="5383" max="5613" width="11.42578125" style="128"/>
    <col min="5614" max="5614" width="31.5703125" style="128" customWidth="1"/>
    <col min="5615" max="5627" width="0" style="128" hidden="1" customWidth="1"/>
    <col min="5628" max="5628" width="8.7109375" style="128" customWidth="1"/>
    <col min="5629" max="5629" width="0" style="128" hidden="1" customWidth="1"/>
    <col min="5630" max="5636" width="8.7109375" style="128" customWidth="1"/>
    <col min="5637" max="5637" width="3.5703125" style="128" customWidth="1"/>
    <col min="5638" max="5638" width="8.7109375" style="128" customWidth="1"/>
    <col min="5639" max="5869" width="11.42578125" style="128"/>
    <col min="5870" max="5870" width="31.5703125" style="128" customWidth="1"/>
    <col min="5871" max="5883" width="0" style="128" hidden="1" customWidth="1"/>
    <col min="5884" max="5884" width="8.7109375" style="128" customWidth="1"/>
    <col min="5885" max="5885" width="0" style="128" hidden="1" customWidth="1"/>
    <col min="5886" max="5892" width="8.7109375" style="128" customWidth="1"/>
    <col min="5893" max="5893" width="3.5703125" style="128" customWidth="1"/>
    <col min="5894" max="5894" width="8.7109375" style="128" customWidth="1"/>
    <col min="5895" max="6125" width="11.42578125" style="128"/>
    <col min="6126" max="6126" width="31.5703125" style="128" customWidth="1"/>
    <col min="6127" max="6139" width="0" style="128" hidden="1" customWidth="1"/>
    <col min="6140" max="6140" width="8.7109375" style="128" customWidth="1"/>
    <col min="6141" max="6141" width="0" style="128" hidden="1" customWidth="1"/>
    <col min="6142" max="6148" width="8.7109375" style="128" customWidth="1"/>
    <col min="6149" max="6149" width="3.5703125" style="128" customWidth="1"/>
    <col min="6150" max="6150" width="8.7109375" style="128" customWidth="1"/>
    <col min="6151" max="6381" width="11.42578125" style="128"/>
    <col min="6382" max="6382" width="31.5703125" style="128" customWidth="1"/>
    <col min="6383" max="6395" width="0" style="128" hidden="1" customWidth="1"/>
    <col min="6396" max="6396" width="8.7109375" style="128" customWidth="1"/>
    <col min="6397" max="6397" width="0" style="128" hidden="1" customWidth="1"/>
    <col min="6398" max="6404" width="8.7109375" style="128" customWidth="1"/>
    <col min="6405" max="6405" width="3.5703125" style="128" customWidth="1"/>
    <col min="6406" max="6406" width="8.7109375" style="128" customWidth="1"/>
    <col min="6407" max="6637" width="11.42578125" style="128"/>
    <col min="6638" max="6638" width="31.5703125" style="128" customWidth="1"/>
    <col min="6639" max="6651" width="0" style="128" hidden="1" customWidth="1"/>
    <col min="6652" max="6652" width="8.7109375" style="128" customWidth="1"/>
    <col min="6653" max="6653" width="0" style="128" hidden="1" customWidth="1"/>
    <col min="6654" max="6660" width="8.7109375" style="128" customWidth="1"/>
    <col min="6661" max="6661" width="3.5703125" style="128" customWidth="1"/>
    <col min="6662" max="6662" width="8.7109375" style="128" customWidth="1"/>
    <col min="6663" max="6893" width="11.42578125" style="128"/>
    <col min="6894" max="6894" width="31.5703125" style="128" customWidth="1"/>
    <col min="6895" max="6907" width="0" style="128" hidden="1" customWidth="1"/>
    <col min="6908" max="6908" width="8.7109375" style="128" customWidth="1"/>
    <col min="6909" max="6909" width="0" style="128" hidden="1" customWidth="1"/>
    <col min="6910" max="6916" width="8.7109375" style="128" customWidth="1"/>
    <col min="6917" max="6917" width="3.5703125" style="128" customWidth="1"/>
    <col min="6918" max="6918" width="8.7109375" style="128" customWidth="1"/>
    <col min="6919" max="7149" width="11.42578125" style="128"/>
    <col min="7150" max="7150" width="31.5703125" style="128" customWidth="1"/>
    <col min="7151" max="7163" width="0" style="128" hidden="1" customWidth="1"/>
    <col min="7164" max="7164" width="8.7109375" style="128" customWidth="1"/>
    <col min="7165" max="7165" width="0" style="128" hidden="1" customWidth="1"/>
    <col min="7166" max="7172" width="8.7109375" style="128" customWidth="1"/>
    <col min="7173" max="7173" width="3.5703125" style="128" customWidth="1"/>
    <col min="7174" max="7174" width="8.7109375" style="128" customWidth="1"/>
    <col min="7175" max="7405" width="11.42578125" style="128"/>
    <col min="7406" max="7406" width="31.5703125" style="128" customWidth="1"/>
    <col min="7407" max="7419" width="0" style="128" hidden="1" customWidth="1"/>
    <col min="7420" max="7420" width="8.7109375" style="128" customWidth="1"/>
    <col min="7421" max="7421" width="0" style="128" hidden="1" customWidth="1"/>
    <col min="7422" max="7428" width="8.7109375" style="128" customWidth="1"/>
    <col min="7429" max="7429" width="3.5703125" style="128" customWidth="1"/>
    <col min="7430" max="7430" width="8.7109375" style="128" customWidth="1"/>
    <col min="7431" max="7661" width="11.42578125" style="128"/>
    <col min="7662" max="7662" width="31.5703125" style="128" customWidth="1"/>
    <col min="7663" max="7675" width="0" style="128" hidden="1" customWidth="1"/>
    <col min="7676" max="7676" width="8.7109375" style="128" customWidth="1"/>
    <col min="7677" max="7677" width="0" style="128" hidden="1" customWidth="1"/>
    <col min="7678" max="7684" width="8.7109375" style="128" customWidth="1"/>
    <col min="7685" max="7685" width="3.5703125" style="128" customWidth="1"/>
    <col min="7686" max="7686" width="8.7109375" style="128" customWidth="1"/>
    <col min="7687" max="7917" width="11.42578125" style="128"/>
    <col min="7918" max="7918" width="31.5703125" style="128" customWidth="1"/>
    <col min="7919" max="7931" width="0" style="128" hidden="1" customWidth="1"/>
    <col min="7932" max="7932" width="8.7109375" style="128" customWidth="1"/>
    <col min="7933" max="7933" width="0" style="128" hidden="1" customWidth="1"/>
    <col min="7934" max="7940" width="8.7109375" style="128" customWidth="1"/>
    <col min="7941" max="7941" width="3.5703125" style="128" customWidth="1"/>
    <col min="7942" max="7942" width="8.7109375" style="128" customWidth="1"/>
    <col min="7943" max="8173" width="11.42578125" style="128"/>
    <col min="8174" max="8174" width="31.5703125" style="128" customWidth="1"/>
    <col min="8175" max="8187" width="0" style="128" hidden="1" customWidth="1"/>
    <col min="8188" max="8188" width="8.7109375" style="128" customWidth="1"/>
    <col min="8189" max="8189" width="0" style="128" hidden="1" customWidth="1"/>
    <col min="8190" max="8196" width="8.7109375" style="128" customWidth="1"/>
    <col min="8197" max="8197" width="3.5703125" style="128" customWidth="1"/>
    <col min="8198" max="8198" width="8.7109375" style="128" customWidth="1"/>
    <col min="8199" max="8429" width="11.42578125" style="128"/>
    <col min="8430" max="8430" width="31.5703125" style="128" customWidth="1"/>
    <col min="8431" max="8443" width="0" style="128" hidden="1" customWidth="1"/>
    <col min="8444" max="8444" width="8.7109375" style="128" customWidth="1"/>
    <col min="8445" max="8445" width="0" style="128" hidden="1" customWidth="1"/>
    <col min="8446" max="8452" width="8.7109375" style="128" customWidth="1"/>
    <col min="8453" max="8453" width="3.5703125" style="128" customWidth="1"/>
    <col min="8454" max="8454" width="8.7109375" style="128" customWidth="1"/>
    <col min="8455" max="8685" width="11.42578125" style="128"/>
    <col min="8686" max="8686" width="31.5703125" style="128" customWidth="1"/>
    <col min="8687" max="8699" width="0" style="128" hidden="1" customWidth="1"/>
    <col min="8700" max="8700" width="8.7109375" style="128" customWidth="1"/>
    <col min="8701" max="8701" width="0" style="128" hidden="1" customWidth="1"/>
    <col min="8702" max="8708" width="8.7109375" style="128" customWidth="1"/>
    <col min="8709" max="8709" width="3.5703125" style="128" customWidth="1"/>
    <col min="8710" max="8710" width="8.7109375" style="128" customWidth="1"/>
    <col min="8711" max="8941" width="11.42578125" style="128"/>
    <col min="8942" max="8942" width="31.5703125" style="128" customWidth="1"/>
    <col min="8943" max="8955" width="0" style="128" hidden="1" customWidth="1"/>
    <col min="8956" max="8956" width="8.7109375" style="128" customWidth="1"/>
    <col min="8957" max="8957" width="0" style="128" hidden="1" customWidth="1"/>
    <col min="8958" max="8964" width="8.7109375" style="128" customWidth="1"/>
    <col min="8965" max="8965" width="3.5703125" style="128" customWidth="1"/>
    <col min="8966" max="8966" width="8.7109375" style="128" customWidth="1"/>
    <col min="8967" max="9197" width="11.42578125" style="128"/>
    <col min="9198" max="9198" width="31.5703125" style="128" customWidth="1"/>
    <col min="9199" max="9211" width="0" style="128" hidden="1" customWidth="1"/>
    <col min="9212" max="9212" width="8.7109375" style="128" customWidth="1"/>
    <col min="9213" max="9213" width="0" style="128" hidden="1" customWidth="1"/>
    <col min="9214" max="9220" width="8.7109375" style="128" customWidth="1"/>
    <col min="9221" max="9221" width="3.5703125" style="128" customWidth="1"/>
    <col min="9222" max="9222" width="8.7109375" style="128" customWidth="1"/>
    <col min="9223" max="9453" width="11.42578125" style="128"/>
    <col min="9454" max="9454" width="31.5703125" style="128" customWidth="1"/>
    <col min="9455" max="9467" width="0" style="128" hidden="1" customWidth="1"/>
    <col min="9468" max="9468" width="8.7109375" style="128" customWidth="1"/>
    <col min="9469" max="9469" width="0" style="128" hidden="1" customWidth="1"/>
    <col min="9470" max="9476" width="8.7109375" style="128" customWidth="1"/>
    <col min="9477" max="9477" width="3.5703125" style="128" customWidth="1"/>
    <col min="9478" max="9478" width="8.7109375" style="128" customWidth="1"/>
    <col min="9479" max="9709" width="11.42578125" style="128"/>
    <col min="9710" max="9710" width="31.5703125" style="128" customWidth="1"/>
    <col min="9711" max="9723" width="0" style="128" hidden="1" customWidth="1"/>
    <col min="9724" max="9724" width="8.7109375" style="128" customWidth="1"/>
    <col min="9725" max="9725" width="0" style="128" hidden="1" customWidth="1"/>
    <col min="9726" max="9732" width="8.7109375" style="128" customWidth="1"/>
    <col min="9733" max="9733" width="3.5703125" style="128" customWidth="1"/>
    <col min="9734" max="9734" width="8.7109375" style="128" customWidth="1"/>
    <col min="9735" max="9965" width="11.42578125" style="128"/>
    <col min="9966" max="9966" width="31.5703125" style="128" customWidth="1"/>
    <col min="9967" max="9979" width="0" style="128" hidden="1" customWidth="1"/>
    <col min="9980" max="9980" width="8.7109375" style="128" customWidth="1"/>
    <col min="9981" max="9981" width="0" style="128" hidden="1" customWidth="1"/>
    <col min="9982" max="9988" width="8.7109375" style="128" customWidth="1"/>
    <col min="9989" max="9989" width="3.5703125" style="128" customWidth="1"/>
    <col min="9990" max="9990" width="8.7109375" style="128" customWidth="1"/>
    <col min="9991" max="10221" width="11.42578125" style="128"/>
    <col min="10222" max="10222" width="31.5703125" style="128" customWidth="1"/>
    <col min="10223" max="10235" width="0" style="128" hidden="1" customWidth="1"/>
    <col min="10236" max="10236" width="8.7109375" style="128" customWidth="1"/>
    <col min="10237" max="10237" width="0" style="128" hidden="1" customWidth="1"/>
    <col min="10238" max="10244" width="8.7109375" style="128" customWidth="1"/>
    <col min="10245" max="10245" width="3.5703125" style="128" customWidth="1"/>
    <col min="10246" max="10246" width="8.7109375" style="128" customWidth="1"/>
    <col min="10247" max="10477" width="11.42578125" style="128"/>
    <col min="10478" max="10478" width="31.5703125" style="128" customWidth="1"/>
    <col min="10479" max="10491" width="0" style="128" hidden="1" customWidth="1"/>
    <col min="10492" max="10492" width="8.7109375" style="128" customWidth="1"/>
    <col min="10493" max="10493" width="0" style="128" hidden="1" customWidth="1"/>
    <col min="10494" max="10500" width="8.7109375" style="128" customWidth="1"/>
    <col min="10501" max="10501" width="3.5703125" style="128" customWidth="1"/>
    <col min="10502" max="10502" width="8.7109375" style="128" customWidth="1"/>
    <col min="10503" max="10733" width="11.42578125" style="128"/>
    <col min="10734" max="10734" width="31.5703125" style="128" customWidth="1"/>
    <col min="10735" max="10747" width="0" style="128" hidden="1" customWidth="1"/>
    <col min="10748" max="10748" width="8.7109375" style="128" customWidth="1"/>
    <col min="10749" max="10749" width="0" style="128" hidden="1" customWidth="1"/>
    <col min="10750" max="10756" width="8.7109375" style="128" customWidth="1"/>
    <col min="10757" max="10757" width="3.5703125" style="128" customWidth="1"/>
    <col min="10758" max="10758" width="8.7109375" style="128" customWidth="1"/>
    <col min="10759" max="10989" width="11.42578125" style="128"/>
    <col min="10990" max="10990" width="31.5703125" style="128" customWidth="1"/>
    <col min="10991" max="11003" width="0" style="128" hidden="1" customWidth="1"/>
    <col min="11004" max="11004" width="8.7109375" style="128" customWidth="1"/>
    <col min="11005" max="11005" width="0" style="128" hidden="1" customWidth="1"/>
    <col min="11006" max="11012" width="8.7109375" style="128" customWidth="1"/>
    <col min="11013" max="11013" width="3.5703125" style="128" customWidth="1"/>
    <col min="11014" max="11014" width="8.7109375" style="128" customWidth="1"/>
    <col min="11015" max="11245" width="11.42578125" style="128"/>
    <col min="11246" max="11246" width="31.5703125" style="128" customWidth="1"/>
    <col min="11247" max="11259" width="0" style="128" hidden="1" customWidth="1"/>
    <col min="11260" max="11260" width="8.7109375" style="128" customWidth="1"/>
    <col min="11261" max="11261" width="0" style="128" hidden="1" customWidth="1"/>
    <col min="11262" max="11268" width="8.7109375" style="128" customWidth="1"/>
    <col min="11269" max="11269" width="3.5703125" style="128" customWidth="1"/>
    <col min="11270" max="11270" width="8.7109375" style="128" customWidth="1"/>
    <col min="11271" max="11501" width="11.42578125" style="128"/>
    <col min="11502" max="11502" width="31.5703125" style="128" customWidth="1"/>
    <col min="11503" max="11515" width="0" style="128" hidden="1" customWidth="1"/>
    <col min="11516" max="11516" width="8.7109375" style="128" customWidth="1"/>
    <col min="11517" max="11517" width="0" style="128" hidden="1" customWidth="1"/>
    <col min="11518" max="11524" width="8.7109375" style="128" customWidth="1"/>
    <col min="11525" max="11525" width="3.5703125" style="128" customWidth="1"/>
    <col min="11526" max="11526" width="8.7109375" style="128" customWidth="1"/>
    <col min="11527" max="11757" width="11.42578125" style="128"/>
    <col min="11758" max="11758" width="31.5703125" style="128" customWidth="1"/>
    <col min="11759" max="11771" width="0" style="128" hidden="1" customWidth="1"/>
    <col min="11772" max="11772" width="8.7109375" style="128" customWidth="1"/>
    <col min="11773" max="11773" width="0" style="128" hidden="1" customWidth="1"/>
    <col min="11774" max="11780" width="8.7109375" style="128" customWidth="1"/>
    <col min="11781" max="11781" width="3.5703125" style="128" customWidth="1"/>
    <col min="11782" max="11782" width="8.7109375" style="128" customWidth="1"/>
    <col min="11783" max="12013" width="11.42578125" style="128"/>
    <col min="12014" max="12014" width="31.5703125" style="128" customWidth="1"/>
    <col min="12015" max="12027" width="0" style="128" hidden="1" customWidth="1"/>
    <col min="12028" max="12028" width="8.7109375" style="128" customWidth="1"/>
    <col min="12029" max="12029" width="0" style="128" hidden="1" customWidth="1"/>
    <col min="12030" max="12036" width="8.7109375" style="128" customWidth="1"/>
    <col min="12037" max="12037" width="3.5703125" style="128" customWidth="1"/>
    <col min="12038" max="12038" width="8.7109375" style="128" customWidth="1"/>
    <col min="12039" max="12269" width="11.42578125" style="128"/>
    <col min="12270" max="12270" width="31.5703125" style="128" customWidth="1"/>
    <col min="12271" max="12283" width="0" style="128" hidden="1" customWidth="1"/>
    <col min="12284" max="12284" width="8.7109375" style="128" customWidth="1"/>
    <col min="12285" max="12285" width="0" style="128" hidden="1" customWidth="1"/>
    <col min="12286" max="12292" width="8.7109375" style="128" customWidth="1"/>
    <col min="12293" max="12293" width="3.5703125" style="128" customWidth="1"/>
    <col min="12294" max="12294" width="8.7109375" style="128" customWidth="1"/>
    <col min="12295" max="12525" width="11.42578125" style="128"/>
    <col min="12526" max="12526" width="31.5703125" style="128" customWidth="1"/>
    <col min="12527" max="12539" width="0" style="128" hidden="1" customWidth="1"/>
    <col min="12540" max="12540" width="8.7109375" style="128" customWidth="1"/>
    <col min="12541" max="12541" width="0" style="128" hidden="1" customWidth="1"/>
    <col min="12542" max="12548" width="8.7109375" style="128" customWidth="1"/>
    <col min="12549" max="12549" width="3.5703125" style="128" customWidth="1"/>
    <col min="12550" max="12550" width="8.7109375" style="128" customWidth="1"/>
    <col min="12551" max="12781" width="11.42578125" style="128"/>
    <col min="12782" max="12782" width="31.5703125" style="128" customWidth="1"/>
    <col min="12783" max="12795" width="0" style="128" hidden="1" customWidth="1"/>
    <col min="12796" max="12796" width="8.7109375" style="128" customWidth="1"/>
    <col min="12797" max="12797" width="0" style="128" hidden="1" customWidth="1"/>
    <col min="12798" max="12804" width="8.7109375" style="128" customWidth="1"/>
    <col min="12805" max="12805" width="3.5703125" style="128" customWidth="1"/>
    <col min="12806" max="12806" width="8.7109375" style="128" customWidth="1"/>
    <col min="12807" max="13037" width="11.42578125" style="128"/>
    <col min="13038" max="13038" width="31.5703125" style="128" customWidth="1"/>
    <col min="13039" max="13051" width="0" style="128" hidden="1" customWidth="1"/>
    <col min="13052" max="13052" width="8.7109375" style="128" customWidth="1"/>
    <col min="13053" max="13053" width="0" style="128" hidden="1" customWidth="1"/>
    <col min="13054" max="13060" width="8.7109375" style="128" customWidth="1"/>
    <col min="13061" max="13061" width="3.5703125" style="128" customWidth="1"/>
    <col min="13062" max="13062" width="8.7109375" style="128" customWidth="1"/>
    <col min="13063" max="13293" width="11.42578125" style="128"/>
    <col min="13294" max="13294" width="31.5703125" style="128" customWidth="1"/>
    <col min="13295" max="13307" width="0" style="128" hidden="1" customWidth="1"/>
    <col min="13308" max="13308" width="8.7109375" style="128" customWidth="1"/>
    <col min="13309" max="13309" width="0" style="128" hidden="1" customWidth="1"/>
    <col min="13310" max="13316" width="8.7109375" style="128" customWidth="1"/>
    <col min="13317" max="13317" width="3.5703125" style="128" customWidth="1"/>
    <col min="13318" max="13318" width="8.7109375" style="128" customWidth="1"/>
    <col min="13319" max="13549" width="11.42578125" style="128"/>
    <col min="13550" max="13550" width="31.5703125" style="128" customWidth="1"/>
    <col min="13551" max="13563" width="0" style="128" hidden="1" customWidth="1"/>
    <col min="13564" max="13564" width="8.7109375" style="128" customWidth="1"/>
    <col min="13565" max="13565" width="0" style="128" hidden="1" customWidth="1"/>
    <col min="13566" max="13572" width="8.7109375" style="128" customWidth="1"/>
    <col min="13573" max="13573" width="3.5703125" style="128" customWidth="1"/>
    <col min="13574" max="13574" width="8.7109375" style="128" customWidth="1"/>
    <col min="13575" max="13805" width="11.42578125" style="128"/>
    <col min="13806" max="13806" width="31.5703125" style="128" customWidth="1"/>
    <col min="13807" max="13819" width="0" style="128" hidden="1" customWidth="1"/>
    <col min="13820" max="13820" width="8.7109375" style="128" customWidth="1"/>
    <col min="13821" max="13821" width="0" style="128" hidden="1" customWidth="1"/>
    <col min="13822" max="13828" width="8.7109375" style="128" customWidth="1"/>
    <col min="13829" max="13829" width="3.5703125" style="128" customWidth="1"/>
    <col min="13830" max="13830" width="8.7109375" style="128" customWidth="1"/>
    <col min="13831" max="14061" width="11.42578125" style="128"/>
    <col min="14062" max="14062" width="31.5703125" style="128" customWidth="1"/>
    <col min="14063" max="14075" width="0" style="128" hidden="1" customWidth="1"/>
    <col min="14076" max="14076" width="8.7109375" style="128" customWidth="1"/>
    <col min="14077" max="14077" width="0" style="128" hidden="1" customWidth="1"/>
    <col min="14078" max="14084" width="8.7109375" style="128" customWidth="1"/>
    <col min="14085" max="14085" width="3.5703125" style="128" customWidth="1"/>
    <col min="14086" max="14086" width="8.7109375" style="128" customWidth="1"/>
    <col min="14087" max="14317" width="11.42578125" style="128"/>
    <col min="14318" max="14318" width="31.5703125" style="128" customWidth="1"/>
    <col min="14319" max="14331" width="0" style="128" hidden="1" customWidth="1"/>
    <col min="14332" max="14332" width="8.7109375" style="128" customWidth="1"/>
    <col min="14333" max="14333" width="0" style="128" hidden="1" customWidth="1"/>
    <col min="14334" max="14340" width="8.7109375" style="128" customWidth="1"/>
    <col min="14341" max="14341" width="3.5703125" style="128" customWidth="1"/>
    <col min="14342" max="14342" width="8.7109375" style="128" customWidth="1"/>
    <col min="14343" max="14573" width="11.42578125" style="128"/>
    <col min="14574" max="14574" width="31.5703125" style="128" customWidth="1"/>
    <col min="14575" max="14587" width="0" style="128" hidden="1" customWidth="1"/>
    <col min="14588" max="14588" width="8.7109375" style="128" customWidth="1"/>
    <col min="14589" max="14589" width="0" style="128" hidden="1" customWidth="1"/>
    <col min="14590" max="14596" width="8.7109375" style="128" customWidth="1"/>
    <col min="14597" max="14597" width="3.5703125" style="128" customWidth="1"/>
    <col min="14598" max="14598" width="8.7109375" style="128" customWidth="1"/>
    <col min="14599" max="14829" width="11.42578125" style="128"/>
    <col min="14830" max="14830" width="31.5703125" style="128" customWidth="1"/>
    <col min="14831" max="14843" width="0" style="128" hidden="1" customWidth="1"/>
    <col min="14844" max="14844" width="8.7109375" style="128" customWidth="1"/>
    <col min="14845" max="14845" width="0" style="128" hidden="1" customWidth="1"/>
    <col min="14846" max="14852" width="8.7109375" style="128" customWidth="1"/>
    <col min="14853" max="14853" width="3.5703125" style="128" customWidth="1"/>
    <col min="14854" max="14854" width="8.7109375" style="128" customWidth="1"/>
    <col min="14855" max="15085" width="11.42578125" style="128"/>
    <col min="15086" max="15086" width="31.5703125" style="128" customWidth="1"/>
    <col min="15087" max="15099" width="0" style="128" hidden="1" customWidth="1"/>
    <col min="15100" max="15100" width="8.7109375" style="128" customWidth="1"/>
    <col min="15101" max="15101" width="0" style="128" hidden="1" customWidth="1"/>
    <col min="15102" max="15108" width="8.7109375" style="128" customWidth="1"/>
    <col min="15109" max="15109" width="3.5703125" style="128" customWidth="1"/>
    <col min="15110" max="15110" width="8.7109375" style="128" customWidth="1"/>
    <col min="15111" max="15341" width="11.42578125" style="128"/>
    <col min="15342" max="15342" width="31.5703125" style="128" customWidth="1"/>
    <col min="15343" max="15355" width="0" style="128" hidden="1" customWidth="1"/>
    <col min="15356" max="15356" width="8.7109375" style="128" customWidth="1"/>
    <col min="15357" max="15357" width="0" style="128" hidden="1" customWidth="1"/>
    <col min="15358" max="15364" width="8.7109375" style="128" customWidth="1"/>
    <col min="15365" max="15365" width="3.5703125" style="128" customWidth="1"/>
    <col min="15366" max="15366" width="8.7109375" style="128" customWidth="1"/>
    <col min="15367" max="15597" width="11.42578125" style="128"/>
    <col min="15598" max="15598" width="31.5703125" style="128" customWidth="1"/>
    <col min="15599" max="15611" width="0" style="128" hidden="1" customWidth="1"/>
    <col min="15612" max="15612" width="8.7109375" style="128" customWidth="1"/>
    <col min="15613" max="15613" width="0" style="128" hidden="1" customWidth="1"/>
    <col min="15614" max="15620" width="8.7109375" style="128" customWidth="1"/>
    <col min="15621" max="15621" width="3.5703125" style="128" customWidth="1"/>
    <col min="15622" max="15622" width="8.7109375" style="128" customWidth="1"/>
    <col min="15623" max="15853" width="11.42578125" style="128"/>
    <col min="15854" max="15854" width="31.5703125" style="128" customWidth="1"/>
    <col min="15855" max="15867" width="0" style="128" hidden="1" customWidth="1"/>
    <col min="15868" max="15868" width="8.7109375" style="128" customWidth="1"/>
    <col min="15869" max="15869" width="0" style="128" hidden="1" customWidth="1"/>
    <col min="15870" max="15876" width="8.7109375" style="128" customWidth="1"/>
    <col min="15877" max="15877" width="3.5703125" style="128" customWidth="1"/>
    <col min="15878" max="15878" width="8.7109375" style="128" customWidth="1"/>
    <col min="15879" max="16109" width="11.42578125" style="128"/>
    <col min="16110" max="16110" width="31.5703125" style="128" customWidth="1"/>
    <col min="16111" max="16123" width="0" style="128" hidden="1" customWidth="1"/>
    <col min="16124" max="16124" width="8.7109375" style="128" customWidth="1"/>
    <col min="16125" max="16125" width="0" style="128" hidden="1" customWidth="1"/>
    <col min="16126" max="16132" width="8.7109375" style="128" customWidth="1"/>
    <col min="16133" max="16133" width="3.5703125" style="128" customWidth="1"/>
    <col min="16134" max="16134" width="8.7109375" style="128" customWidth="1"/>
    <col min="16135" max="16384" width="11.42578125" style="128"/>
  </cols>
  <sheetData>
    <row r="1" spans="1:237" s="459" customFormat="1" ht="15">
      <c r="A1" s="60" t="s">
        <v>1025</v>
      </c>
      <c r="B1" s="60"/>
      <c r="C1" s="60"/>
      <c r="D1" s="60"/>
      <c r="E1" s="60"/>
      <c r="F1" s="60"/>
      <c r="G1" s="60"/>
      <c r="H1" s="60"/>
      <c r="I1" s="26"/>
      <c r="J1" s="26"/>
      <c r="K1" s="26"/>
      <c r="L1" s="26"/>
      <c r="M1" s="26"/>
      <c r="N1" s="26"/>
      <c r="O1" s="27"/>
      <c r="P1" s="27"/>
      <c r="Q1" s="27"/>
      <c r="R1" s="26"/>
      <c r="S1" s="26"/>
      <c r="T1" s="26"/>
      <c r="U1" s="26"/>
      <c r="V1" s="26"/>
      <c r="W1" s="26"/>
      <c r="X1" s="26"/>
      <c r="Y1" s="26"/>
      <c r="Z1" s="26"/>
      <c r="AA1" s="27"/>
      <c r="AB1" s="27"/>
      <c r="AC1" s="27"/>
      <c r="AD1" s="26"/>
      <c r="AE1" s="26"/>
      <c r="AF1" s="26"/>
      <c r="AG1" s="26"/>
      <c r="AH1" s="26"/>
      <c r="AI1" s="26"/>
      <c r="AJ1" s="26"/>
      <c r="AK1" s="26"/>
      <c r="AL1" s="26"/>
      <c r="AM1" s="27"/>
      <c r="AN1" s="27"/>
      <c r="AO1" s="27"/>
      <c r="AP1" s="26"/>
      <c r="AQ1" s="26"/>
      <c r="AR1" s="26"/>
      <c r="AS1" s="26"/>
      <c r="AT1" s="26"/>
      <c r="AU1" s="26"/>
      <c r="AV1" s="26"/>
      <c r="AW1" s="26"/>
      <c r="AX1" s="26"/>
      <c r="AY1" s="27"/>
      <c r="AZ1" s="27"/>
      <c r="BA1" s="27"/>
      <c r="BB1" s="26"/>
      <c r="BC1" s="26"/>
      <c r="BD1" s="26"/>
      <c r="BE1" s="26"/>
      <c r="BF1" s="26"/>
      <c r="BG1" s="26"/>
      <c r="BH1" s="26"/>
      <c r="BI1" s="26"/>
      <c r="BJ1" s="26"/>
      <c r="BK1" s="27"/>
      <c r="BL1" s="27"/>
      <c r="BM1" s="27"/>
      <c r="BN1" s="26"/>
      <c r="BO1" s="26"/>
      <c r="BP1" s="26"/>
      <c r="BQ1" s="26"/>
      <c r="BR1" s="26"/>
      <c r="BS1" s="26"/>
      <c r="BT1" s="26"/>
      <c r="BU1" s="26"/>
      <c r="BV1" s="26"/>
      <c r="BW1" s="27"/>
      <c r="BX1" s="27"/>
      <c r="BY1" s="27"/>
      <c r="BZ1" s="26"/>
      <c r="CA1" s="26"/>
      <c r="CB1" s="26"/>
      <c r="CC1" s="26"/>
      <c r="CD1" s="26"/>
      <c r="CE1" s="26"/>
      <c r="CF1" s="26"/>
      <c r="CG1" s="26"/>
      <c r="CH1" s="26"/>
      <c r="CI1" s="27"/>
      <c r="CJ1" s="27"/>
      <c r="CK1" s="27"/>
      <c r="CL1" s="26"/>
      <c r="CM1" s="26"/>
      <c r="CN1" s="26"/>
      <c r="CO1" s="26"/>
      <c r="CP1" s="26"/>
      <c r="CQ1" s="26"/>
      <c r="CR1" s="26"/>
      <c r="CS1" s="26"/>
      <c r="CT1" s="26"/>
      <c r="CU1" s="27"/>
      <c r="CV1" s="27"/>
      <c r="CW1" s="27"/>
      <c r="CX1" s="26"/>
      <c r="CY1" s="26"/>
      <c r="CZ1" s="26"/>
      <c r="DA1" s="26"/>
      <c r="DB1" s="26"/>
      <c r="DC1" s="26"/>
      <c r="DD1" s="26"/>
      <c r="DE1" s="26"/>
      <c r="DF1" s="26"/>
      <c r="DG1" s="27"/>
      <c r="DH1" s="27"/>
      <c r="DI1" s="27"/>
      <c r="DJ1" s="26"/>
      <c r="DK1" s="26"/>
      <c r="DL1" s="26"/>
      <c r="DM1" s="26"/>
      <c r="DN1" s="26"/>
      <c r="DO1" s="26"/>
      <c r="DP1" s="26"/>
      <c r="DQ1" s="26"/>
      <c r="DR1" s="26"/>
      <c r="DS1" s="27"/>
      <c r="DT1" s="27"/>
      <c r="DU1" s="27"/>
      <c r="DV1" s="26"/>
      <c r="DW1" s="26"/>
      <c r="DX1" s="26"/>
      <c r="DY1" s="26"/>
      <c r="DZ1" s="26"/>
      <c r="EA1" s="26"/>
      <c r="EB1" s="26"/>
      <c r="EC1" s="26"/>
      <c r="ED1" s="26"/>
      <c r="EE1" s="27"/>
      <c r="EF1" s="27"/>
      <c r="EG1" s="27"/>
      <c r="EH1" s="26"/>
      <c r="EI1" s="26"/>
      <c r="EJ1" s="26"/>
      <c r="EK1" s="26"/>
      <c r="EL1" s="26"/>
      <c r="EM1" s="26"/>
      <c r="EN1" s="26"/>
      <c r="EO1" s="26"/>
      <c r="EP1" s="26"/>
      <c r="EQ1" s="27"/>
      <c r="ER1" s="27"/>
      <c r="ES1" s="27"/>
      <c r="ET1" s="26"/>
      <c r="EU1" s="26"/>
      <c r="EV1" s="26"/>
      <c r="EW1" s="26"/>
      <c r="EX1" s="26"/>
      <c r="EY1" s="26"/>
      <c r="EZ1" s="26"/>
      <c r="FA1" s="26"/>
      <c r="FB1" s="26"/>
      <c r="FC1" s="27"/>
      <c r="FD1" s="27"/>
      <c r="FE1" s="27"/>
      <c r="FF1" s="26"/>
      <c r="FG1" s="26"/>
      <c r="FH1" s="26"/>
      <c r="FI1" s="26"/>
      <c r="FJ1" s="26"/>
      <c r="FK1" s="26"/>
      <c r="FL1" s="26"/>
      <c r="FM1" s="26"/>
      <c r="FN1" s="26"/>
      <c r="FO1" s="27"/>
      <c r="FP1" s="27"/>
      <c r="FQ1" s="27"/>
      <c r="FR1" s="26"/>
      <c r="FS1" s="26"/>
      <c r="FT1" s="26"/>
      <c r="FU1" s="26"/>
      <c r="FV1" s="26"/>
      <c r="FW1" s="26"/>
      <c r="FX1" s="26"/>
      <c r="FY1" s="26"/>
      <c r="FZ1" s="26"/>
      <c r="GA1" s="27"/>
      <c r="GB1" s="27"/>
      <c r="GC1" s="27"/>
      <c r="GD1" s="26"/>
      <c r="GE1" s="26"/>
      <c r="GF1" s="26"/>
      <c r="GG1" s="26"/>
      <c r="GH1" s="26"/>
      <c r="GI1" s="26"/>
      <c r="GJ1" s="26"/>
      <c r="GK1" s="26"/>
      <c r="GL1" s="26"/>
      <c r="GM1" s="27"/>
      <c r="GN1" s="27"/>
      <c r="GO1" s="27"/>
      <c r="GP1" s="26"/>
      <c r="GQ1" s="26"/>
      <c r="GR1" s="26"/>
      <c r="GS1" s="26"/>
      <c r="GT1" s="26"/>
      <c r="GU1" s="26"/>
      <c r="GV1" s="26"/>
      <c r="GW1" s="26"/>
      <c r="GX1" s="26"/>
      <c r="GY1" s="27"/>
      <c r="GZ1" s="27"/>
      <c r="HA1" s="27"/>
      <c r="HB1" s="26"/>
      <c r="HC1" s="26"/>
      <c r="HD1" s="26"/>
      <c r="HE1" s="26"/>
      <c r="HF1" s="26"/>
      <c r="HG1" s="26"/>
      <c r="HH1" s="26"/>
      <c r="HI1" s="26"/>
      <c r="HJ1" s="26"/>
      <c r="HK1" s="27"/>
      <c r="HL1" s="27"/>
      <c r="HM1" s="27"/>
      <c r="HN1" s="26"/>
      <c r="HO1" s="26"/>
      <c r="HP1" s="26"/>
      <c r="HQ1" s="26"/>
      <c r="HR1" s="26"/>
      <c r="HS1" s="26"/>
      <c r="HT1" s="26"/>
      <c r="HU1" s="26"/>
      <c r="HV1" s="26"/>
      <c r="HW1" s="27"/>
      <c r="HX1" s="27"/>
      <c r="HY1" s="27"/>
      <c r="HZ1" s="26"/>
      <c r="IA1" s="26"/>
      <c r="IB1" s="26"/>
      <c r="IC1" s="26"/>
    </row>
    <row r="2" spans="1:237" s="460" customFormat="1" ht="15">
      <c r="A2" s="61"/>
      <c r="B2" s="61"/>
      <c r="C2" s="61"/>
      <c r="D2" s="61"/>
      <c r="E2" s="61"/>
      <c r="F2" s="61"/>
      <c r="G2" s="61"/>
      <c r="H2" s="61"/>
      <c r="I2" s="28"/>
      <c r="J2" s="28"/>
      <c r="K2" s="28"/>
      <c r="L2" s="29"/>
      <c r="M2" s="29"/>
      <c r="N2" s="29"/>
      <c r="O2" s="30"/>
      <c r="P2" s="30"/>
      <c r="Q2" s="30"/>
      <c r="R2" s="28"/>
      <c r="S2" s="28"/>
      <c r="T2" s="28"/>
      <c r="U2" s="28"/>
      <c r="V2" s="28"/>
      <c r="W2" s="28"/>
      <c r="X2" s="29"/>
      <c r="Y2" s="29"/>
      <c r="Z2" s="29"/>
      <c r="AA2" s="30"/>
      <c r="AB2" s="30"/>
      <c r="AC2" s="30"/>
      <c r="AD2" s="28"/>
      <c r="AE2" s="28"/>
      <c r="AF2" s="28"/>
      <c r="AG2" s="28"/>
      <c r="AH2" s="28"/>
      <c r="AI2" s="28"/>
      <c r="AJ2" s="29"/>
      <c r="AK2" s="29"/>
      <c r="AL2" s="29"/>
      <c r="AM2" s="30"/>
      <c r="AN2" s="30"/>
      <c r="AO2" s="30"/>
      <c r="AP2" s="28"/>
      <c r="AQ2" s="28"/>
      <c r="AR2" s="28"/>
      <c r="AS2" s="28"/>
      <c r="AT2" s="28"/>
      <c r="AU2" s="28"/>
      <c r="AV2" s="29"/>
      <c r="AW2" s="29"/>
      <c r="AX2" s="29"/>
      <c r="AY2" s="30"/>
      <c r="AZ2" s="30"/>
      <c r="BA2" s="30"/>
      <c r="BB2" s="28"/>
      <c r="BC2" s="28"/>
      <c r="BD2" s="28"/>
      <c r="BE2" s="28"/>
      <c r="BF2" s="28"/>
      <c r="BG2" s="28"/>
      <c r="BH2" s="29"/>
      <c r="BI2" s="29"/>
      <c r="BJ2" s="29"/>
      <c r="BK2" s="30"/>
      <c r="BL2" s="30"/>
      <c r="BM2" s="30"/>
      <c r="BN2" s="28"/>
      <c r="BO2" s="28"/>
      <c r="BP2" s="28"/>
      <c r="BQ2" s="28"/>
      <c r="BR2" s="28"/>
      <c r="BS2" s="28"/>
      <c r="BT2" s="29"/>
      <c r="BU2" s="29"/>
      <c r="BV2" s="29"/>
      <c r="BW2" s="30"/>
      <c r="BX2" s="30"/>
      <c r="BY2" s="30"/>
      <c r="BZ2" s="28"/>
      <c r="CA2" s="28"/>
      <c r="CB2" s="28"/>
      <c r="CC2" s="28"/>
      <c r="CD2" s="28"/>
      <c r="CE2" s="28"/>
      <c r="CF2" s="29"/>
      <c r="CG2" s="29"/>
      <c r="CH2" s="29"/>
      <c r="CI2" s="30"/>
      <c r="CJ2" s="30"/>
      <c r="CK2" s="30"/>
      <c r="CL2" s="28"/>
      <c r="CM2" s="28"/>
      <c r="CN2" s="28"/>
      <c r="CO2" s="28"/>
      <c r="CP2" s="28"/>
      <c r="CQ2" s="28"/>
      <c r="CR2" s="29"/>
      <c r="CS2" s="29"/>
      <c r="CT2" s="29"/>
      <c r="CU2" s="30"/>
      <c r="CV2" s="30"/>
      <c r="CW2" s="30"/>
      <c r="CX2" s="28"/>
      <c r="CY2" s="28"/>
      <c r="CZ2" s="28"/>
      <c r="DA2" s="28"/>
      <c r="DB2" s="28"/>
      <c r="DC2" s="28"/>
      <c r="DD2" s="29"/>
      <c r="DE2" s="29"/>
      <c r="DF2" s="29"/>
      <c r="DG2" s="30"/>
      <c r="DH2" s="30"/>
      <c r="DI2" s="30"/>
      <c r="DJ2" s="28"/>
      <c r="DK2" s="28"/>
      <c r="DL2" s="28"/>
      <c r="DM2" s="28"/>
      <c r="DN2" s="28"/>
      <c r="DO2" s="28"/>
      <c r="DP2" s="29"/>
      <c r="DQ2" s="29"/>
      <c r="DR2" s="29"/>
      <c r="DS2" s="30"/>
      <c r="DT2" s="30"/>
      <c r="DU2" s="30"/>
      <c r="DV2" s="28"/>
      <c r="DW2" s="28"/>
      <c r="DX2" s="28"/>
      <c r="DY2" s="28"/>
      <c r="DZ2" s="28"/>
      <c r="EA2" s="28"/>
      <c r="EB2" s="29"/>
      <c r="EC2" s="29"/>
      <c r="ED2" s="29"/>
      <c r="EE2" s="30"/>
      <c r="EF2" s="30"/>
      <c r="EG2" s="30"/>
      <c r="EH2" s="28"/>
      <c r="EI2" s="28"/>
      <c r="EJ2" s="28"/>
      <c r="EK2" s="28"/>
      <c r="EL2" s="28"/>
      <c r="EM2" s="28"/>
      <c r="EN2" s="29"/>
      <c r="EO2" s="29"/>
      <c r="EP2" s="29"/>
      <c r="EQ2" s="30"/>
      <c r="ER2" s="30"/>
      <c r="ES2" s="30"/>
      <c r="ET2" s="28"/>
      <c r="EU2" s="28"/>
      <c r="EV2" s="28"/>
      <c r="EW2" s="28"/>
      <c r="EX2" s="28"/>
      <c r="EY2" s="28"/>
      <c r="EZ2" s="29"/>
      <c r="FA2" s="29"/>
      <c r="FB2" s="29"/>
      <c r="FC2" s="30"/>
      <c r="FD2" s="30"/>
      <c r="FE2" s="30"/>
      <c r="FF2" s="28"/>
      <c r="FG2" s="28"/>
      <c r="FH2" s="28"/>
      <c r="FI2" s="28"/>
      <c r="FJ2" s="28"/>
      <c r="FK2" s="28"/>
      <c r="FL2" s="29"/>
      <c r="FM2" s="29"/>
      <c r="FN2" s="29"/>
      <c r="FO2" s="30"/>
      <c r="FP2" s="30"/>
      <c r="FQ2" s="30"/>
      <c r="FR2" s="28"/>
      <c r="FS2" s="28"/>
      <c r="FT2" s="28"/>
      <c r="FU2" s="28"/>
      <c r="FV2" s="28"/>
      <c r="FW2" s="28"/>
      <c r="FX2" s="29"/>
      <c r="FY2" s="29"/>
      <c r="FZ2" s="29"/>
      <c r="GA2" s="30"/>
      <c r="GB2" s="30"/>
      <c r="GC2" s="30"/>
      <c r="GD2" s="28"/>
      <c r="GE2" s="28"/>
      <c r="GF2" s="28"/>
      <c r="GG2" s="28"/>
      <c r="GH2" s="28"/>
      <c r="GI2" s="28"/>
      <c r="GJ2" s="29"/>
      <c r="GK2" s="29"/>
      <c r="GL2" s="29"/>
      <c r="GM2" s="30"/>
      <c r="GN2" s="30"/>
      <c r="GO2" s="30"/>
      <c r="GP2" s="28"/>
      <c r="GQ2" s="28"/>
      <c r="GR2" s="28"/>
      <c r="GS2" s="28"/>
      <c r="GT2" s="28"/>
      <c r="GU2" s="28"/>
      <c r="GV2" s="29"/>
      <c r="GW2" s="29"/>
      <c r="GX2" s="29"/>
      <c r="GY2" s="30"/>
      <c r="GZ2" s="30"/>
      <c r="HA2" s="30"/>
      <c r="HB2" s="28"/>
      <c r="HC2" s="28"/>
      <c r="HD2" s="28"/>
      <c r="HE2" s="28"/>
      <c r="HF2" s="28"/>
      <c r="HG2" s="28"/>
      <c r="HH2" s="29"/>
      <c r="HI2" s="29"/>
      <c r="HJ2" s="29"/>
      <c r="HK2" s="30"/>
      <c r="HL2" s="30"/>
      <c r="HM2" s="30"/>
      <c r="HN2" s="28"/>
      <c r="HO2" s="28"/>
      <c r="HP2" s="28"/>
      <c r="HQ2" s="28"/>
      <c r="HR2" s="28"/>
      <c r="HS2" s="28"/>
      <c r="HT2" s="29"/>
      <c r="HU2" s="29"/>
      <c r="HV2" s="29"/>
      <c r="HW2" s="30"/>
      <c r="HX2" s="30"/>
      <c r="HY2" s="30"/>
      <c r="HZ2" s="28"/>
      <c r="IA2" s="28"/>
      <c r="IB2" s="28"/>
      <c r="IC2" s="28"/>
    </row>
    <row r="3" spans="1:237" s="464" customFormat="1" ht="34.5" customHeight="1">
      <c r="A3" s="465"/>
      <c r="B3" s="466">
        <v>2010</v>
      </c>
      <c r="C3" s="314">
        <v>2011</v>
      </c>
      <c r="D3" s="314" t="s">
        <v>610</v>
      </c>
      <c r="E3" s="314">
        <v>2013</v>
      </c>
      <c r="F3" s="314" t="s">
        <v>829</v>
      </c>
      <c r="G3" s="314">
        <v>2015</v>
      </c>
      <c r="H3" s="314" t="s">
        <v>935</v>
      </c>
      <c r="I3" s="323"/>
      <c r="J3" s="323"/>
      <c r="K3" s="323"/>
      <c r="L3" s="335"/>
      <c r="M3" s="335"/>
      <c r="N3" s="323"/>
      <c r="O3" s="323"/>
      <c r="P3" s="323"/>
      <c r="Q3" s="335"/>
      <c r="R3" s="463"/>
      <c r="S3" s="335"/>
      <c r="T3" s="335"/>
      <c r="U3" s="323"/>
      <c r="V3" s="323"/>
      <c r="W3" s="323"/>
      <c r="X3" s="335"/>
      <c r="Y3" s="335"/>
      <c r="Z3" s="323"/>
      <c r="AA3" s="323"/>
      <c r="AB3" s="323"/>
      <c r="AC3" s="335"/>
      <c r="AD3" s="463"/>
      <c r="AE3" s="335"/>
      <c r="AF3" s="335"/>
      <c r="AG3" s="323"/>
      <c r="AH3" s="323"/>
      <c r="AI3" s="323"/>
      <c r="AJ3" s="335"/>
      <c r="AK3" s="335"/>
      <c r="AL3" s="323"/>
      <c r="AM3" s="323"/>
      <c r="AN3" s="323"/>
      <c r="AO3" s="335"/>
      <c r="AP3" s="463"/>
      <c r="AQ3" s="335"/>
      <c r="AR3" s="335"/>
      <c r="AS3" s="323"/>
      <c r="AT3" s="323"/>
      <c r="AU3" s="323"/>
      <c r="AV3" s="335"/>
      <c r="AW3" s="335"/>
      <c r="AX3" s="323"/>
      <c r="AY3" s="323"/>
      <c r="AZ3" s="323"/>
      <c r="BA3" s="335"/>
      <c r="BB3" s="463"/>
      <c r="BC3" s="335"/>
      <c r="BD3" s="335"/>
      <c r="BE3" s="323"/>
      <c r="BF3" s="323"/>
      <c r="BG3" s="323"/>
      <c r="BH3" s="335"/>
      <c r="BI3" s="335"/>
      <c r="BJ3" s="323"/>
      <c r="BK3" s="323"/>
      <c r="BL3" s="323"/>
      <c r="BM3" s="335"/>
      <c r="BN3" s="463"/>
      <c r="BO3" s="335"/>
      <c r="BP3" s="335"/>
      <c r="BQ3" s="323"/>
      <c r="BR3" s="323"/>
      <c r="BS3" s="323"/>
      <c r="BT3" s="335"/>
      <c r="BU3" s="335"/>
      <c r="BV3" s="323"/>
      <c r="BW3" s="323"/>
      <c r="BX3" s="323"/>
      <c r="BY3" s="335"/>
      <c r="BZ3" s="463"/>
      <c r="CA3" s="335"/>
      <c r="CB3" s="335"/>
      <c r="CC3" s="323"/>
      <c r="CD3" s="323"/>
      <c r="CE3" s="323"/>
      <c r="CF3" s="335"/>
      <c r="CG3" s="335"/>
      <c r="CH3" s="323"/>
      <c r="CI3" s="323"/>
      <c r="CJ3" s="323"/>
      <c r="CK3" s="335"/>
      <c r="CL3" s="463"/>
      <c r="CM3" s="335"/>
      <c r="CN3" s="335"/>
      <c r="CO3" s="323"/>
      <c r="CP3" s="323"/>
      <c r="CQ3" s="323"/>
      <c r="CR3" s="335"/>
      <c r="CS3" s="335"/>
      <c r="CT3" s="323"/>
      <c r="CU3" s="323"/>
      <c r="CV3" s="323"/>
      <c r="CW3" s="335"/>
      <c r="CX3" s="463"/>
      <c r="CY3" s="335"/>
      <c r="CZ3" s="335"/>
      <c r="DA3" s="323"/>
      <c r="DB3" s="323"/>
      <c r="DC3" s="323"/>
      <c r="DD3" s="335"/>
      <c r="DE3" s="335"/>
      <c r="DF3" s="323"/>
      <c r="DG3" s="323"/>
      <c r="DH3" s="323"/>
      <c r="DI3" s="335"/>
      <c r="DJ3" s="463"/>
      <c r="DK3" s="335"/>
      <c r="DL3" s="335"/>
      <c r="DM3" s="323"/>
      <c r="DN3" s="323"/>
      <c r="DO3" s="323"/>
      <c r="DP3" s="335"/>
      <c r="DQ3" s="335"/>
      <c r="DR3" s="323"/>
      <c r="DS3" s="323"/>
      <c r="DT3" s="323"/>
      <c r="DU3" s="335"/>
      <c r="DV3" s="463"/>
      <c r="DW3" s="335"/>
      <c r="DX3" s="335"/>
      <c r="DY3" s="323"/>
      <c r="DZ3" s="323"/>
      <c r="EA3" s="323"/>
      <c r="EB3" s="335"/>
      <c r="EC3" s="335"/>
      <c r="ED3" s="323"/>
      <c r="EE3" s="323"/>
      <c r="EF3" s="323"/>
      <c r="EG3" s="335"/>
      <c r="EH3" s="463"/>
      <c r="EI3" s="335"/>
      <c r="EJ3" s="335"/>
      <c r="EK3" s="323"/>
      <c r="EL3" s="323"/>
      <c r="EM3" s="323"/>
      <c r="EN3" s="335"/>
      <c r="EO3" s="335"/>
      <c r="EP3" s="323"/>
      <c r="EQ3" s="323"/>
      <c r="ER3" s="323"/>
      <c r="ES3" s="335"/>
      <c r="ET3" s="463"/>
      <c r="EU3" s="335"/>
      <c r="EV3" s="335"/>
      <c r="EW3" s="323"/>
      <c r="EX3" s="323"/>
      <c r="EY3" s="323"/>
      <c r="EZ3" s="335"/>
      <c r="FA3" s="335"/>
      <c r="FB3" s="323"/>
      <c r="FC3" s="323"/>
      <c r="FD3" s="323"/>
      <c r="FE3" s="335"/>
      <c r="FF3" s="463"/>
      <c r="FG3" s="335"/>
      <c r="FH3" s="335"/>
      <c r="FI3" s="323"/>
      <c r="FJ3" s="323"/>
      <c r="FK3" s="323"/>
      <c r="FL3" s="335"/>
      <c r="FM3" s="335"/>
      <c r="FN3" s="323"/>
      <c r="FO3" s="323"/>
      <c r="FP3" s="323"/>
      <c r="FQ3" s="335"/>
      <c r="FR3" s="463"/>
      <c r="FS3" s="335"/>
      <c r="FT3" s="335"/>
      <c r="FU3" s="323"/>
      <c r="FV3" s="323"/>
      <c r="FW3" s="323"/>
      <c r="FX3" s="335"/>
      <c r="FY3" s="335"/>
      <c r="FZ3" s="323"/>
      <c r="GA3" s="323"/>
      <c r="GB3" s="323"/>
      <c r="GC3" s="335"/>
      <c r="GD3" s="463"/>
      <c r="GE3" s="335"/>
      <c r="GF3" s="335"/>
      <c r="GG3" s="323"/>
      <c r="GH3" s="323"/>
      <c r="GI3" s="323"/>
      <c r="GJ3" s="335"/>
      <c r="GK3" s="335"/>
      <c r="GL3" s="323"/>
      <c r="GM3" s="323"/>
      <c r="GN3" s="323"/>
      <c r="GO3" s="335"/>
      <c r="GP3" s="463"/>
      <c r="GQ3" s="335"/>
      <c r="GR3" s="335"/>
      <c r="GS3" s="323"/>
      <c r="GT3" s="323"/>
      <c r="GU3" s="323"/>
      <c r="GV3" s="335"/>
      <c r="GW3" s="335"/>
      <c r="GX3" s="323"/>
      <c r="GY3" s="323"/>
      <c r="GZ3" s="323"/>
      <c r="HA3" s="335"/>
      <c r="HB3" s="463"/>
      <c r="HC3" s="335"/>
      <c r="HD3" s="335"/>
      <c r="HE3" s="323"/>
      <c r="HF3" s="323"/>
      <c r="HG3" s="323"/>
      <c r="HH3" s="335"/>
      <c r="HI3" s="335"/>
      <c r="HJ3" s="323"/>
      <c r="HK3" s="323"/>
      <c r="HL3" s="323"/>
      <c r="HM3" s="335"/>
      <c r="HN3" s="463"/>
      <c r="HO3" s="335"/>
      <c r="HP3" s="335"/>
      <c r="HQ3" s="323"/>
      <c r="HR3" s="323"/>
      <c r="HS3" s="323"/>
      <c r="HT3" s="335"/>
      <c r="HU3" s="335"/>
      <c r="HV3" s="323"/>
      <c r="HW3" s="323"/>
      <c r="HX3" s="323"/>
      <c r="HY3" s="335"/>
      <c r="HZ3" s="463"/>
      <c r="IA3" s="335"/>
      <c r="IB3" s="335"/>
      <c r="IC3" s="323"/>
    </row>
    <row r="4" spans="1:237" ht="22.5" customHeight="1">
      <c r="A4" s="180" t="s">
        <v>159</v>
      </c>
      <c r="B4" s="159"/>
      <c r="C4" s="180"/>
      <c r="D4" s="180"/>
      <c r="E4" s="180"/>
      <c r="F4" s="180"/>
      <c r="G4" s="180"/>
      <c r="H4" s="180"/>
      <c r="BU4" s="129"/>
      <c r="BV4" s="129"/>
      <c r="BW4" s="129"/>
      <c r="BX4" s="129"/>
    </row>
    <row r="5" spans="1:237" ht="15.75">
      <c r="A5" s="160" t="s">
        <v>1040</v>
      </c>
      <c r="B5" s="159">
        <f>65427+1560</f>
        <v>66987</v>
      </c>
      <c r="C5" s="159">
        <f>65025+1515</f>
        <v>66540</v>
      </c>
      <c r="D5" s="159">
        <f>65571+1470</f>
        <v>67041</v>
      </c>
      <c r="E5" s="159">
        <f>65188+1426</f>
        <v>66614</v>
      </c>
      <c r="F5" s="159">
        <f>64088+1385</f>
        <v>65473</v>
      </c>
      <c r="G5" s="159">
        <f>64232+1345</f>
        <v>65577</v>
      </c>
      <c r="H5" s="159">
        <v>64182</v>
      </c>
      <c r="BU5" s="129"/>
      <c r="BV5" s="129"/>
      <c r="BW5" s="129"/>
      <c r="BX5" s="129"/>
    </row>
    <row r="6" spans="1:237" ht="15.75">
      <c r="A6" s="160" t="s">
        <v>729</v>
      </c>
      <c r="B6" s="159">
        <v>37477</v>
      </c>
      <c r="C6" s="159">
        <v>39548</v>
      </c>
      <c r="D6" s="159">
        <v>41269</v>
      </c>
      <c r="E6" s="159">
        <v>43327</v>
      </c>
      <c r="F6" s="159">
        <v>43462</v>
      </c>
      <c r="G6" s="159">
        <v>46833</v>
      </c>
      <c r="H6" s="159">
        <v>44362</v>
      </c>
      <c r="BU6" s="129"/>
      <c r="BV6" s="129"/>
      <c r="BW6" s="129"/>
      <c r="BX6" s="129"/>
    </row>
    <row r="7" spans="1:237" s="129" customFormat="1" ht="14.25">
      <c r="A7" s="183" t="s">
        <v>163</v>
      </c>
      <c r="B7" s="158">
        <f t="shared" ref="B7:H7" si="0">SUM(B5:B6)</f>
        <v>104464</v>
      </c>
      <c r="C7" s="158">
        <f t="shared" si="0"/>
        <v>106088</v>
      </c>
      <c r="D7" s="158">
        <f t="shared" si="0"/>
        <v>108310</v>
      </c>
      <c r="E7" s="158">
        <f t="shared" si="0"/>
        <v>109941</v>
      </c>
      <c r="F7" s="158">
        <f t="shared" si="0"/>
        <v>108935</v>
      </c>
      <c r="G7" s="158">
        <f t="shared" si="0"/>
        <v>112410</v>
      </c>
      <c r="H7" s="158">
        <f t="shared" si="0"/>
        <v>108544</v>
      </c>
    </row>
    <row r="8" spans="1:237" s="129" customFormat="1" ht="15" customHeight="1">
      <c r="A8" s="237"/>
      <c r="B8" s="237"/>
      <c r="C8" s="237"/>
      <c r="D8" s="237"/>
      <c r="E8" s="237"/>
      <c r="F8" s="237"/>
      <c r="G8" s="237"/>
      <c r="H8" s="237"/>
    </row>
    <row r="9" spans="1:237" ht="22.5" customHeight="1">
      <c r="A9" s="180" t="s">
        <v>844</v>
      </c>
      <c r="B9" s="159"/>
      <c r="C9" s="180"/>
      <c r="D9" s="180"/>
      <c r="E9" s="219"/>
      <c r="F9" s="180"/>
      <c r="G9" s="180"/>
      <c r="H9" s="180"/>
      <c r="BU9" s="129"/>
      <c r="BV9" s="129"/>
      <c r="BW9" s="129"/>
      <c r="BX9" s="129"/>
    </row>
    <row r="10" spans="1:237" ht="15.75">
      <c r="A10" s="160" t="s">
        <v>1045</v>
      </c>
      <c r="B10" s="159">
        <f>3204.375+150.097+41</f>
        <v>3395.4720000000002</v>
      </c>
      <c r="C10" s="159">
        <f>3240.154+150.789+40.906</f>
        <v>3431.8490000000002</v>
      </c>
      <c r="D10" s="159">
        <f>3427.24+158.194+40.89</f>
        <v>3626.3239999999996</v>
      </c>
      <c r="E10" s="159">
        <f>3475.71+154.023+40.98</f>
        <v>3670.7130000000002</v>
      </c>
      <c r="F10" s="159">
        <v>3784.5</v>
      </c>
      <c r="G10" s="159">
        <v>3626.9</v>
      </c>
      <c r="H10" s="159">
        <v>3479.4</v>
      </c>
      <c r="BU10" s="129"/>
      <c r="BV10" s="129"/>
      <c r="BW10" s="129"/>
      <c r="BX10" s="129"/>
    </row>
    <row r="11" spans="1:237" ht="14.25">
      <c r="A11" s="160" t="s">
        <v>1043</v>
      </c>
      <c r="B11" s="159">
        <v>1118.201</v>
      </c>
      <c r="C11" s="159">
        <v>1181.029</v>
      </c>
      <c r="D11" s="159">
        <v>1367.08</v>
      </c>
      <c r="E11" s="159">
        <f>1382.917</f>
        <v>1382.9169999999999</v>
      </c>
      <c r="F11" s="159">
        <v>1608.6</v>
      </c>
      <c r="G11" s="159">
        <v>1635.8</v>
      </c>
      <c r="H11" s="159">
        <v>1698.9</v>
      </c>
      <c r="BU11" s="129"/>
      <c r="BV11" s="129"/>
      <c r="BW11" s="129"/>
      <c r="BX11" s="129"/>
    </row>
    <row r="12" spans="1:237" s="129" customFormat="1" ht="14.25">
      <c r="A12" s="183" t="s">
        <v>163</v>
      </c>
      <c r="B12" s="158">
        <f t="shared" ref="B12:F12" si="1">SUM(B10:B11)</f>
        <v>4513.6730000000007</v>
      </c>
      <c r="C12" s="158">
        <f t="shared" si="1"/>
        <v>4612.8780000000006</v>
      </c>
      <c r="D12" s="158">
        <f t="shared" si="1"/>
        <v>4993.4039999999995</v>
      </c>
      <c r="E12" s="158">
        <f t="shared" si="1"/>
        <v>5053.63</v>
      </c>
      <c r="F12" s="158">
        <f t="shared" si="1"/>
        <v>5393.1</v>
      </c>
      <c r="G12" s="158">
        <f>SUM(G10:G11)</f>
        <v>5262.7</v>
      </c>
      <c r="H12" s="158">
        <f>SUM(H10:H11)</f>
        <v>5178.3</v>
      </c>
    </row>
    <row r="13" spans="1:237" s="129" customFormat="1" ht="14.25">
      <c r="A13" s="183"/>
      <c r="B13" s="158"/>
      <c r="C13" s="158"/>
      <c r="D13" s="158"/>
      <c r="E13" s="158"/>
      <c r="F13" s="158"/>
      <c r="G13" s="158"/>
      <c r="H13" s="158"/>
    </row>
    <row r="14" spans="1:237" s="129" customFormat="1" ht="14.25">
      <c r="A14" s="180" t="s">
        <v>845</v>
      </c>
      <c r="B14" s="158"/>
      <c r="C14" s="158"/>
      <c r="D14" s="158"/>
      <c r="E14" s="219"/>
      <c r="F14" s="158"/>
      <c r="G14" s="158"/>
      <c r="H14" s="158"/>
    </row>
    <row r="15" spans="1:237" s="129" customFormat="1" ht="15.75">
      <c r="A15" s="160" t="s">
        <v>1046</v>
      </c>
      <c r="B15" s="158"/>
      <c r="C15" s="158"/>
      <c r="D15" s="158"/>
      <c r="E15" s="159">
        <f>3493.557+153.944+40.98</f>
        <v>3688.4809999999998</v>
      </c>
      <c r="F15" s="159">
        <v>3762.5</v>
      </c>
      <c r="G15" s="159">
        <v>3626.9</v>
      </c>
      <c r="H15" s="159">
        <v>3479.4</v>
      </c>
    </row>
    <row r="16" spans="1:237" s="129" customFormat="1" ht="14.25">
      <c r="A16" s="160" t="s">
        <v>828</v>
      </c>
      <c r="B16" s="158"/>
      <c r="C16" s="158"/>
      <c r="D16" s="158"/>
      <c r="E16" s="159">
        <f>1430.626</f>
        <v>1430.626</v>
      </c>
      <c r="F16" s="159">
        <v>1550.837</v>
      </c>
      <c r="G16" s="159">
        <v>1630.7719999999999</v>
      </c>
      <c r="H16" s="159">
        <v>1692.5260000000001</v>
      </c>
    </row>
    <row r="17" spans="1:8" s="129" customFormat="1" ht="14.25">
      <c r="A17" s="183" t="s">
        <v>163</v>
      </c>
      <c r="B17" s="158"/>
      <c r="C17" s="158"/>
      <c r="D17" s="158"/>
      <c r="E17" s="158">
        <f>SUM(E15:E16)</f>
        <v>5119.107</v>
      </c>
      <c r="F17" s="158">
        <f t="shared" ref="F17:H17" si="2">SUM(F15:F16)</f>
        <v>5313.3369999999995</v>
      </c>
      <c r="G17" s="158">
        <f t="shared" si="2"/>
        <v>5257.6720000000005</v>
      </c>
      <c r="H17" s="158">
        <f t="shared" si="2"/>
        <v>5171.9260000000004</v>
      </c>
    </row>
    <row r="18" spans="1:8" s="129" customFormat="1" ht="12.95" customHeight="1">
      <c r="A18" s="163"/>
      <c r="B18" s="163"/>
      <c r="C18" s="163"/>
      <c r="D18" s="163"/>
      <c r="E18" s="163"/>
      <c r="F18" s="163"/>
      <c r="G18" s="163"/>
      <c r="H18" s="163"/>
    </row>
    <row r="19" spans="1:8" s="129" customFormat="1" ht="12.95" customHeight="1">
      <c r="A19" s="160"/>
      <c r="B19" s="160"/>
      <c r="C19" s="160"/>
      <c r="D19" s="160"/>
      <c r="E19" s="160"/>
      <c r="F19" s="131"/>
    </row>
    <row r="20" spans="1:8" ht="12.95" customHeight="1">
      <c r="A20" s="132" t="s">
        <v>166</v>
      </c>
      <c r="B20" s="130"/>
      <c r="C20" s="130"/>
      <c r="D20" s="130"/>
      <c r="E20" s="130"/>
      <c r="F20" s="131"/>
    </row>
    <row r="21" spans="1:8" ht="12.95" customHeight="1">
      <c r="A21" s="589" t="s">
        <v>1041</v>
      </c>
      <c r="B21" s="590"/>
      <c r="C21" s="590"/>
      <c r="D21" s="590"/>
      <c r="E21" s="590"/>
      <c r="F21" s="590"/>
    </row>
    <row r="22" spans="1:8" ht="41.25" customHeight="1">
      <c r="A22" s="589" t="s">
        <v>1047</v>
      </c>
      <c r="B22" s="590"/>
      <c r="C22" s="590"/>
      <c r="D22" s="590"/>
      <c r="E22" s="590"/>
      <c r="F22" s="590"/>
    </row>
    <row r="23" spans="1:8" ht="15">
      <c r="A23" s="589" t="s">
        <v>1042</v>
      </c>
      <c r="B23" s="590"/>
      <c r="C23" s="590"/>
      <c r="D23" s="590"/>
      <c r="E23" s="590"/>
      <c r="F23" s="590"/>
    </row>
    <row r="24" spans="1:8" ht="12.95" customHeight="1">
      <c r="A24" s="589" t="s">
        <v>1044</v>
      </c>
      <c r="B24" s="590"/>
      <c r="C24" s="590"/>
      <c r="D24" s="590"/>
      <c r="E24" s="590"/>
      <c r="F24" s="590"/>
    </row>
    <row r="25" spans="1:8" ht="45.75" customHeight="1">
      <c r="A25" s="589" t="s">
        <v>718</v>
      </c>
      <c r="B25" s="590"/>
      <c r="C25" s="590"/>
      <c r="D25" s="590"/>
      <c r="E25" s="590"/>
      <c r="F25" s="590"/>
    </row>
    <row r="26" spans="1:8" ht="12.95" customHeight="1">
      <c r="A26" s="130"/>
      <c r="B26" s="130"/>
      <c r="C26" s="130"/>
      <c r="D26" s="130"/>
      <c r="E26" s="130"/>
      <c r="F26" s="131"/>
    </row>
    <row r="27" spans="1:8" ht="12.95" customHeight="1">
      <c r="A27" s="130"/>
      <c r="B27" s="130"/>
      <c r="C27" s="130"/>
      <c r="D27" s="130"/>
      <c r="E27" s="130"/>
      <c r="F27" s="131"/>
    </row>
    <row r="28" spans="1:8" ht="12.95" customHeight="1">
      <c r="A28" s="130"/>
      <c r="B28" s="159"/>
      <c r="C28" s="159"/>
      <c r="D28" s="159"/>
      <c r="E28" s="159"/>
      <c r="F28" s="131"/>
    </row>
  </sheetData>
  <mergeCells count="5">
    <mergeCell ref="A25:F25"/>
    <mergeCell ref="A21:F21"/>
    <mergeCell ref="A22:F22"/>
    <mergeCell ref="A23:F23"/>
    <mergeCell ref="A24:F24"/>
  </mergeCells>
  <printOptions horizontalCentered="1"/>
  <pageMargins left="0.2" right="0.2" top="0.66" bottom="0.31" header="0.23622047244094491" footer="0.17"/>
  <pageSetup paperSize="9" orientation="landscape" r:id="rId1"/>
  <headerFooter alignWithMargins="0"/>
  <ignoredErrors>
    <ignoredError sqref="F3 D3 H3"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tabColor rgb="FF92D050"/>
    <pageSetUpPr fitToPage="1"/>
  </sheetPr>
  <dimension ref="A1:M41"/>
  <sheetViews>
    <sheetView showGridLines="0" workbookViewId="0"/>
  </sheetViews>
  <sheetFormatPr baseColWidth="10" defaultColWidth="11.42578125" defaultRowHeight="15"/>
  <cols>
    <col min="1" max="1" width="10.28515625" style="501" customWidth="1"/>
    <col min="2" max="2" width="40.42578125" style="127" customWidth="1"/>
    <col min="3" max="3" width="13.85546875" style="127" bestFit="1" customWidth="1"/>
    <col min="4" max="4" width="12.28515625" style="127" customWidth="1"/>
    <col min="5" max="5" width="12.7109375" style="127" customWidth="1"/>
    <col min="6" max="16384" width="11.42578125" style="500"/>
  </cols>
  <sheetData>
    <row r="1" spans="1:13" ht="15.75">
      <c r="A1" s="511" t="s">
        <v>1026</v>
      </c>
      <c r="B1" s="299"/>
      <c r="C1" s="299"/>
      <c r="D1" s="299"/>
      <c r="E1" s="299"/>
    </row>
    <row r="2" spans="1:13" ht="7.5" customHeight="1">
      <c r="A2" s="542"/>
      <c r="B2" s="543"/>
      <c r="C2" s="544"/>
      <c r="D2" s="299"/>
      <c r="E2" s="299"/>
    </row>
    <row r="3" spans="1:13" s="503" customFormat="1" ht="37.5" customHeight="1">
      <c r="A3" s="510" t="s">
        <v>929</v>
      </c>
      <c r="B3" s="509"/>
      <c r="C3" s="509" t="s">
        <v>928</v>
      </c>
      <c r="D3" s="508" t="s">
        <v>927</v>
      </c>
      <c r="E3" s="508" t="s">
        <v>926</v>
      </c>
      <c r="F3" s="507"/>
      <c r="G3" s="507"/>
      <c r="H3" s="507"/>
      <c r="I3" s="506"/>
      <c r="J3" s="506"/>
      <c r="K3" s="506"/>
      <c r="L3" s="505"/>
      <c r="M3" s="504"/>
    </row>
    <row r="4" spans="1:13" ht="22.5" customHeight="1">
      <c r="A4" s="199" t="s">
        <v>925</v>
      </c>
      <c r="B4" s="160" t="s">
        <v>924</v>
      </c>
      <c r="C4" s="199">
        <v>1</v>
      </c>
      <c r="D4" s="199">
        <v>1</v>
      </c>
      <c r="E4" s="199" t="s">
        <v>73</v>
      </c>
    </row>
    <row r="5" spans="1:13" ht="15" customHeight="1">
      <c r="A5" s="199" t="s">
        <v>923</v>
      </c>
      <c r="B5" s="160" t="s">
        <v>922</v>
      </c>
      <c r="C5" s="199">
        <v>1</v>
      </c>
      <c r="D5" s="199">
        <v>6</v>
      </c>
      <c r="E5" s="199" t="s">
        <v>73</v>
      </c>
    </row>
    <row r="6" spans="1:13" ht="15" customHeight="1">
      <c r="A6" s="199" t="s">
        <v>921</v>
      </c>
      <c r="B6" s="160" t="s">
        <v>920</v>
      </c>
      <c r="C6" s="199">
        <v>1</v>
      </c>
      <c r="D6" s="199">
        <v>1</v>
      </c>
      <c r="E6" s="199" t="s">
        <v>73</v>
      </c>
    </row>
    <row r="7" spans="1:13" ht="15" customHeight="1">
      <c r="A7" s="199" t="s">
        <v>919</v>
      </c>
      <c r="B7" s="160" t="s">
        <v>918</v>
      </c>
      <c r="C7" s="199">
        <v>1</v>
      </c>
      <c r="D7" s="199">
        <v>1</v>
      </c>
      <c r="E7" s="199" t="s">
        <v>73</v>
      </c>
    </row>
    <row r="8" spans="1:13" ht="15" customHeight="1">
      <c r="A8" s="199" t="s">
        <v>917</v>
      </c>
      <c r="B8" s="160" t="s">
        <v>916</v>
      </c>
      <c r="C8" s="199">
        <v>1</v>
      </c>
      <c r="D8" s="199">
        <v>1</v>
      </c>
      <c r="E8" s="199" t="s">
        <v>73</v>
      </c>
    </row>
    <row r="9" spans="1:13" ht="15" customHeight="1">
      <c r="A9" s="199" t="s">
        <v>915</v>
      </c>
      <c r="B9" s="160" t="s">
        <v>914</v>
      </c>
      <c r="C9" s="199">
        <v>1</v>
      </c>
      <c r="D9" s="199">
        <v>1</v>
      </c>
      <c r="E9" s="199" t="s">
        <v>73</v>
      </c>
    </row>
    <row r="10" spans="1:13" ht="15" customHeight="1">
      <c r="A10" s="199" t="s">
        <v>913</v>
      </c>
      <c r="B10" s="160" t="s">
        <v>122</v>
      </c>
      <c r="C10" s="199">
        <v>3</v>
      </c>
      <c r="D10" s="199">
        <v>7</v>
      </c>
      <c r="E10" s="199">
        <v>2</v>
      </c>
    </row>
    <row r="11" spans="1:13" ht="15" customHeight="1">
      <c r="A11" s="199" t="s">
        <v>912</v>
      </c>
      <c r="B11" s="160" t="s">
        <v>911</v>
      </c>
      <c r="C11" s="199">
        <v>4</v>
      </c>
      <c r="D11" s="199">
        <v>19</v>
      </c>
      <c r="E11" s="199">
        <v>9</v>
      </c>
    </row>
    <row r="12" spans="1:13" ht="15" customHeight="1">
      <c r="A12" s="199" t="s">
        <v>910</v>
      </c>
      <c r="B12" s="160" t="s">
        <v>909</v>
      </c>
      <c r="C12" s="199">
        <v>2</v>
      </c>
      <c r="D12" s="199">
        <v>5</v>
      </c>
      <c r="E12" s="199" t="s">
        <v>73</v>
      </c>
    </row>
    <row r="13" spans="1:13" ht="15" customHeight="1">
      <c r="A13" s="199" t="s">
        <v>908</v>
      </c>
      <c r="B13" s="160" t="s">
        <v>403</v>
      </c>
      <c r="C13" s="199">
        <v>3</v>
      </c>
      <c r="D13" s="199">
        <v>11</v>
      </c>
      <c r="E13" s="199">
        <v>28</v>
      </c>
    </row>
    <row r="14" spans="1:13" ht="15" customHeight="1">
      <c r="A14" s="199" t="s">
        <v>907</v>
      </c>
      <c r="B14" s="160" t="s">
        <v>906</v>
      </c>
      <c r="C14" s="199">
        <v>3</v>
      </c>
      <c r="D14" s="199">
        <v>9</v>
      </c>
      <c r="E14" s="199">
        <v>7</v>
      </c>
    </row>
    <row r="15" spans="1:13" ht="15" customHeight="1">
      <c r="A15" s="199" t="s">
        <v>905</v>
      </c>
      <c r="B15" s="160" t="s">
        <v>904</v>
      </c>
      <c r="C15" s="199">
        <v>3</v>
      </c>
      <c r="D15" s="199">
        <v>8</v>
      </c>
      <c r="E15" s="199">
        <v>54</v>
      </c>
    </row>
    <row r="16" spans="1:13" ht="15" customHeight="1">
      <c r="A16" s="199">
        <v>16</v>
      </c>
      <c r="B16" s="160" t="s">
        <v>733</v>
      </c>
      <c r="C16" s="199">
        <v>1</v>
      </c>
      <c r="D16" s="199">
        <v>4</v>
      </c>
      <c r="E16" s="199" t="s">
        <v>73</v>
      </c>
    </row>
    <row r="17" spans="1:5" ht="15" customHeight="1">
      <c r="A17" s="199" t="s">
        <v>903</v>
      </c>
      <c r="B17" s="160" t="s">
        <v>902</v>
      </c>
      <c r="C17" s="199">
        <v>2</v>
      </c>
      <c r="D17" s="199">
        <v>5</v>
      </c>
      <c r="E17" s="199">
        <v>11</v>
      </c>
    </row>
    <row r="18" spans="1:5" ht="15" customHeight="1">
      <c r="A18" s="199" t="s">
        <v>901</v>
      </c>
      <c r="B18" s="160" t="s">
        <v>900</v>
      </c>
      <c r="C18" s="199">
        <v>4</v>
      </c>
      <c r="D18" s="199">
        <v>11</v>
      </c>
      <c r="E18" s="199" t="s">
        <v>73</v>
      </c>
    </row>
    <row r="19" spans="1:5" ht="15" customHeight="1">
      <c r="A19" s="199" t="s">
        <v>899</v>
      </c>
      <c r="B19" s="160" t="s">
        <v>898</v>
      </c>
      <c r="C19" s="199">
        <v>1</v>
      </c>
      <c r="D19" s="199">
        <v>3</v>
      </c>
      <c r="E19" s="199" t="s">
        <v>73</v>
      </c>
    </row>
    <row r="20" spans="1:5" ht="15" customHeight="1">
      <c r="A20" s="199" t="s">
        <v>897</v>
      </c>
      <c r="B20" s="160" t="s">
        <v>896</v>
      </c>
      <c r="C20" s="199">
        <v>2</v>
      </c>
      <c r="D20" s="199">
        <v>8</v>
      </c>
      <c r="E20" s="199" t="s">
        <v>73</v>
      </c>
    </row>
    <row r="21" spans="1:5" ht="15" customHeight="1">
      <c r="A21" s="199" t="s">
        <v>895</v>
      </c>
      <c r="B21" s="160" t="s">
        <v>894</v>
      </c>
      <c r="C21" s="199">
        <v>3</v>
      </c>
      <c r="D21" s="199">
        <v>7</v>
      </c>
      <c r="E21" s="199" t="s">
        <v>73</v>
      </c>
    </row>
    <row r="22" spans="1:5" ht="15" customHeight="1">
      <c r="A22" s="199" t="s">
        <v>633</v>
      </c>
      <c r="B22" s="160" t="s">
        <v>893</v>
      </c>
      <c r="C22" s="199">
        <v>2</v>
      </c>
      <c r="D22" s="199">
        <v>10</v>
      </c>
      <c r="E22" s="199" t="s">
        <v>73</v>
      </c>
    </row>
    <row r="23" spans="1:5" ht="15" customHeight="1">
      <c r="A23" s="199" t="s">
        <v>892</v>
      </c>
      <c r="B23" s="160" t="s">
        <v>891</v>
      </c>
      <c r="C23" s="199">
        <v>3</v>
      </c>
      <c r="D23" s="199">
        <v>18</v>
      </c>
      <c r="E23" s="199">
        <v>2</v>
      </c>
    </row>
    <row r="24" spans="1:5" ht="15" customHeight="1">
      <c r="A24" s="199" t="s">
        <v>634</v>
      </c>
      <c r="B24" s="160" t="s">
        <v>890</v>
      </c>
      <c r="C24" s="199">
        <v>3</v>
      </c>
      <c r="D24" s="199">
        <v>7</v>
      </c>
      <c r="E24" s="199">
        <v>4</v>
      </c>
    </row>
    <row r="25" spans="1:5" ht="15" customHeight="1">
      <c r="A25" s="199">
        <v>32</v>
      </c>
      <c r="B25" s="160" t="s">
        <v>889</v>
      </c>
      <c r="C25" s="199">
        <v>3</v>
      </c>
      <c r="D25" s="199">
        <v>10</v>
      </c>
      <c r="E25" s="199">
        <v>2</v>
      </c>
    </row>
    <row r="26" spans="1:5" ht="15" customHeight="1">
      <c r="A26" s="199" t="s">
        <v>636</v>
      </c>
      <c r="B26" s="160" t="s">
        <v>888</v>
      </c>
      <c r="C26" s="199">
        <v>1</v>
      </c>
      <c r="D26" s="199">
        <v>3</v>
      </c>
      <c r="E26" s="199" t="s">
        <v>73</v>
      </c>
    </row>
    <row r="27" spans="1:5" ht="15" customHeight="1">
      <c r="A27" s="199" t="s">
        <v>638</v>
      </c>
      <c r="B27" s="160" t="s">
        <v>887</v>
      </c>
      <c r="C27" s="199">
        <v>1</v>
      </c>
      <c r="D27" s="199">
        <v>3</v>
      </c>
      <c r="E27" s="199" t="s">
        <v>73</v>
      </c>
    </row>
    <row r="28" spans="1:5" ht="15" customHeight="1">
      <c r="A28" s="199" t="s">
        <v>886</v>
      </c>
      <c r="B28" s="160" t="s">
        <v>885</v>
      </c>
      <c r="C28" s="199">
        <v>4</v>
      </c>
      <c r="D28" s="199">
        <v>10</v>
      </c>
      <c r="E28" s="199" t="s">
        <v>73</v>
      </c>
    </row>
    <row r="29" spans="1:5" ht="15" customHeight="1">
      <c r="A29" s="199" t="s">
        <v>884</v>
      </c>
      <c r="B29" s="160" t="s">
        <v>138</v>
      </c>
      <c r="C29" s="199">
        <v>2</v>
      </c>
      <c r="D29" s="199">
        <v>10</v>
      </c>
      <c r="E29" s="199">
        <v>4</v>
      </c>
    </row>
    <row r="30" spans="1:5" ht="15" customHeight="1">
      <c r="A30" s="199" t="s">
        <v>641</v>
      </c>
      <c r="B30" s="160" t="s">
        <v>883</v>
      </c>
      <c r="C30" s="199">
        <v>3</v>
      </c>
      <c r="D30" s="199">
        <v>9</v>
      </c>
      <c r="E30" s="199">
        <v>21</v>
      </c>
    </row>
    <row r="31" spans="1:5" ht="15" customHeight="1">
      <c r="A31" s="199" t="s">
        <v>882</v>
      </c>
      <c r="B31" s="160" t="s">
        <v>881</v>
      </c>
      <c r="C31" s="199">
        <v>2</v>
      </c>
      <c r="D31" s="199">
        <v>9</v>
      </c>
      <c r="E31" s="199" t="s">
        <v>73</v>
      </c>
    </row>
    <row r="32" spans="1:5" ht="15" customHeight="1">
      <c r="A32" s="199" t="s">
        <v>880</v>
      </c>
      <c r="B32" s="160" t="s">
        <v>879</v>
      </c>
      <c r="C32" s="199">
        <v>2</v>
      </c>
      <c r="D32" s="199">
        <v>7</v>
      </c>
      <c r="E32" s="199" t="s">
        <v>73</v>
      </c>
    </row>
    <row r="33" spans="1:5" ht="15" customHeight="1">
      <c r="A33" s="199" t="s">
        <v>643</v>
      </c>
      <c r="B33" s="160" t="s">
        <v>878</v>
      </c>
      <c r="C33" s="199">
        <v>2</v>
      </c>
      <c r="D33" s="199">
        <v>9</v>
      </c>
      <c r="E33" s="199" t="s">
        <v>73</v>
      </c>
    </row>
    <row r="34" spans="1:5" ht="15" customHeight="1">
      <c r="A34" s="199" t="s">
        <v>877</v>
      </c>
      <c r="B34" s="160" t="s">
        <v>368</v>
      </c>
      <c r="C34" s="199">
        <v>1</v>
      </c>
      <c r="D34" s="199">
        <v>3</v>
      </c>
      <c r="E34" s="199" t="s">
        <v>73</v>
      </c>
    </row>
    <row r="35" spans="1:5" ht="15" customHeight="1">
      <c r="A35" s="199" t="s">
        <v>876</v>
      </c>
      <c r="B35" s="160" t="s">
        <v>875</v>
      </c>
      <c r="C35" s="199">
        <v>1</v>
      </c>
      <c r="D35" s="199">
        <v>2</v>
      </c>
      <c r="E35" s="199" t="s">
        <v>73</v>
      </c>
    </row>
    <row r="36" spans="1:5" ht="15" customHeight="1">
      <c r="A36" s="199" t="s">
        <v>874</v>
      </c>
      <c r="B36" s="160" t="s">
        <v>873</v>
      </c>
      <c r="C36" s="199">
        <v>1</v>
      </c>
      <c r="D36" s="199">
        <v>2</v>
      </c>
      <c r="E36" s="199" t="s">
        <v>73</v>
      </c>
    </row>
    <row r="37" spans="1:5" s="502" customFormat="1" ht="22.5" customHeight="1">
      <c r="A37" s="545">
        <v>33</v>
      </c>
      <c r="B37" s="546" t="s">
        <v>872</v>
      </c>
      <c r="C37" s="547">
        <f>SUM(C4:C36)</f>
        <v>68</v>
      </c>
      <c r="D37" s="547">
        <f>SUM(D4:D36)</f>
        <v>220</v>
      </c>
      <c r="E37" s="547">
        <f>SUM(E4:E36)</f>
        <v>144</v>
      </c>
    </row>
    <row r="38" spans="1:5">
      <c r="A38" s="298"/>
      <c r="B38" s="299"/>
      <c r="C38" s="299"/>
      <c r="D38" s="299"/>
      <c r="E38" s="299"/>
    </row>
    <row r="39" spans="1:5" ht="15.75">
      <c r="A39" s="152" t="s">
        <v>871</v>
      </c>
      <c r="B39" s="299"/>
      <c r="C39" s="299"/>
      <c r="D39" s="299"/>
      <c r="E39" s="299"/>
    </row>
    <row r="40" spans="1:5" ht="15.75">
      <c r="A40" s="152" t="s">
        <v>870</v>
      </c>
    </row>
    <row r="41" spans="1:5" ht="28.5" customHeight="1">
      <c r="A41" s="592" t="s">
        <v>869</v>
      </c>
      <c r="B41" s="592"/>
      <c r="C41" s="592"/>
      <c r="D41" s="592"/>
      <c r="E41" s="592"/>
    </row>
  </sheetData>
  <mergeCells count="1">
    <mergeCell ref="A41:E41"/>
  </mergeCells>
  <pageMargins left="0.78740157499999996" right="0.78740157499999996" top="0.984251969" bottom="0.984251969" header="0.4921259845" footer="0.4921259845"/>
  <pageSetup paperSize="9" scale="9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92D050"/>
  </sheetPr>
  <dimension ref="A1:IR46"/>
  <sheetViews>
    <sheetView workbookViewId="0"/>
  </sheetViews>
  <sheetFormatPr baseColWidth="10" defaultColWidth="11.42578125" defaultRowHeight="11.45" customHeight="1"/>
  <cols>
    <col min="1" max="1" width="25.42578125" style="13" customWidth="1"/>
    <col min="2" max="11" width="5.85546875" style="13" customWidth="1"/>
    <col min="12" max="16384" width="11.42578125" style="13"/>
  </cols>
  <sheetData>
    <row r="1" spans="1:252" s="1" customFormat="1" ht="15.75">
      <c r="A1" s="155" t="s">
        <v>993</v>
      </c>
      <c r="B1" s="140"/>
      <c r="C1" s="140"/>
      <c r="D1" s="140"/>
      <c r="E1" s="140"/>
      <c r="F1" s="250"/>
      <c r="G1" s="250"/>
      <c r="H1" s="250"/>
      <c r="I1" s="140"/>
      <c r="J1" s="140"/>
      <c r="K1" s="140"/>
      <c r="L1" s="140"/>
      <c r="M1" s="140"/>
      <c r="N1" s="140"/>
      <c r="O1" s="140"/>
      <c r="P1" s="140"/>
      <c r="Q1" s="140"/>
      <c r="R1" s="250"/>
      <c r="S1" s="250"/>
      <c r="T1" s="250"/>
      <c r="U1" s="140"/>
      <c r="V1" s="140"/>
      <c r="W1" s="140"/>
      <c r="X1" s="140"/>
      <c r="Y1" s="140"/>
      <c r="Z1" s="140"/>
      <c r="AA1" s="140"/>
      <c r="AB1" s="140"/>
      <c r="AC1" s="140"/>
      <c r="AD1" s="250"/>
      <c r="AE1" s="250"/>
      <c r="AF1" s="250"/>
      <c r="AG1" s="140"/>
      <c r="AH1" s="140"/>
      <c r="AI1" s="140"/>
      <c r="AJ1" s="140"/>
      <c r="AK1" s="140"/>
      <c r="AL1" s="140"/>
      <c r="AM1" s="140"/>
      <c r="AN1" s="140"/>
      <c r="AO1" s="140"/>
      <c r="AP1" s="250"/>
      <c r="AQ1" s="250"/>
      <c r="AR1" s="250"/>
      <c r="AS1" s="140"/>
      <c r="AT1" s="140"/>
      <c r="AU1" s="140"/>
      <c r="AV1" s="140"/>
      <c r="AW1" s="140"/>
      <c r="AX1" s="140"/>
      <c r="AY1" s="140"/>
      <c r="AZ1" s="140"/>
      <c r="BA1" s="140"/>
      <c r="BB1" s="250"/>
      <c r="BC1" s="250"/>
      <c r="BD1" s="250"/>
      <c r="BE1" s="140"/>
      <c r="BF1" s="140"/>
      <c r="BG1" s="140"/>
      <c r="BH1" s="140"/>
      <c r="BI1" s="140"/>
      <c r="BJ1" s="140"/>
      <c r="BK1" s="140"/>
      <c r="BL1" s="140"/>
      <c r="BM1" s="140"/>
      <c r="BN1" s="250"/>
      <c r="BO1" s="250"/>
      <c r="BP1" s="250"/>
      <c r="BQ1" s="140"/>
      <c r="BR1" s="140"/>
      <c r="BS1" s="140"/>
      <c r="BT1" s="140"/>
      <c r="BU1" s="140"/>
      <c r="BV1" s="140"/>
      <c r="BW1" s="140"/>
      <c r="BX1" s="140"/>
      <c r="BY1" s="140"/>
      <c r="BZ1" s="250"/>
      <c r="CA1" s="250"/>
      <c r="CB1" s="250"/>
      <c r="CC1" s="140"/>
      <c r="CD1" s="140"/>
      <c r="CE1" s="140"/>
      <c r="CF1" s="140"/>
      <c r="CG1" s="140"/>
      <c r="CH1" s="140"/>
      <c r="CI1" s="140"/>
      <c r="CJ1" s="140"/>
      <c r="CK1" s="140"/>
      <c r="CL1" s="250"/>
      <c r="CM1" s="250"/>
      <c r="CN1" s="250"/>
      <c r="CO1" s="140"/>
      <c r="CP1" s="140"/>
      <c r="CQ1" s="140"/>
      <c r="CR1" s="140"/>
      <c r="CS1" s="140"/>
      <c r="CT1" s="140"/>
      <c r="CU1" s="140"/>
      <c r="CV1" s="140"/>
      <c r="CW1" s="140"/>
      <c r="CX1" s="250"/>
      <c r="CY1" s="250"/>
      <c r="CZ1" s="250"/>
      <c r="DA1" s="140"/>
      <c r="DB1" s="140"/>
      <c r="DC1" s="140"/>
      <c r="DD1" s="140"/>
      <c r="DE1" s="140"/>
      <c r="DF1" s="140"/>
      <c r="DG1" s="140"/>
      <c r="DH1" s="140"/>
      <c r="DI1" s="140"/>
      <c r="DJ1" s="250"/>
      <c r="DK1" s="250"/>
      <c r="DL1" s="250"/>
      <c r="DM1" s="140"/>
      <c r="DN1" s="140"/>
      <c r="DO1" s="140"/>
      <c r="DP1" s="140"/>
      <c r="DQ1" s="140"/>
      <c r="DR1" s="140"/>
      <c r="DS1" s="140"/>
      <c r="DT1" s="140"/>
      <c r="DU1" s="140"/>
      <c r="DV1" s="250"/>
      <c r="DW1" s="250"/>
      <c r="DX1" s="250"/>
      <c r="DY1" s="140"/>
      <c r="DZ1" s="140"/>
      <c r="EA1" s="140"/>
      <c r="EB1" s="140"/>
      <c r="EC1" s="140"/>
      <c r="ED1" s="140"/>
      <c r="EE1" s="140"/>
      <c r="EF1" s="140"/>
      <c r="EG1" s="140"/>
      <c r="EH1" s="250"/>
      <c r="EI1" s="250"/>
      <c r="EJ1" s="250"/>
      <c r="EK1" s="140"/>
      <c r="EL1" s="140"/>
      <c r="EM1" s="140"/>
      <c r="EN1" s="140"/>
      <c r="EO1" s="140"/>
      <c r="EP1" s="140"/>
      <c r="EQ1" s="140"/>
      <c r="ER1" s="140"/>
      <c r="ES1" s="140"/>
      <c r="ET1" s="250"/>
      <c r="EU1" s="250"/>
      <c r="EV1" s="250"/>
      <c r="EW1" s="140"/>
      <c r="EX1" s="140"/>
      <c r="EY1" s="140"/>
      <c r="EZ1" s="140"/>
      <c r="FA1" s="140"/>
      <c r="FB1" s="140"/>
      <c r="FC1" s="140"/>
      <c r="FD1" s="140"/>
      <c r="FE1" s="140"/>
      <c r="FF1" s="250"/>
      <c r="FG1" s="250"/>
      <c r="FH1" s="250"/>
      <c r="FI1" s="140"/>
      <c r="FJ1" s="140"/>
      <c r="FK1" s="140"/>
      <c r="FL1" s="140"/>
      <c r="FM1" s="140"/>
      <c r="FN1" s="140"/>
      <c r="FO1" s="140"/>
      <c r="FP1" s="140"/>
      <c r="FQ1" s="140"/>
      <c r="FR1" s="250"/>
      <c r="FS1" s="250"/>
      <c r="FT1" s="250"/>
      <c r="FU1" s="140"/>
      <c r="FV1" s="140"/>
      <c r="FW1" s="140"/>
      <c r="FX1" s="140"/>
      <c r="FY1" s="140"/>
      <c r="FZ1" s="140"/>
      <c r="GA1" s="140"/>
      <c r="GB1" s="140"/>
      <c r="GC1" s="140"/>
      <c r="GD1" s="250"/>
      <c r="GE1" s="250"/>
      <c r="GF1" s="250"/>
      <c r="GG1" s="140"/>
      <c r="GH1" s="140"/>
      <c r="GI1" s="140"/>
      <c r="GJ1" s="140"/>
      <c r="GK1" s="140"/>
      <c r="GL1" s="140"/>
      <c r="GM1" s="140"/>
      <c r="GN1" s="140"/>
      <c r="GO1" s="140"/>
      <c r="GP1" s="250"/>
      <c r="GQ1" s="250"/>
      <c r="GR1" s="250"/>
      <c r="GS1" s="140"/>
      <c r="GT1" s="140"/>
      <c r="GU1" s="140"/>
      <c r="GV1" s="140"/>
      <c r="GW1" s="140"/>
      <c r="GX1" s="140"/>
      <c r="GY1" s="140"/>
      <c r="GZ1" s="140"/>
      <c r="HA1" s="140"/>
      <c r="HB1" s="250"/>
      <c r="HC1" s="250"/>
      <c r="HD1" s="250"/>
      <c r="HE1" s="140"/>
      <c r="HF1" s="140"/>
      <c r="HG1" s="140"/>
      <c r="HH1" s="140"/>
      <c r="HI1" s="140"/>
      <c r="HJ1" s="140"/>
      <c r="HK1" s="140"/>
      <c r="HL1" s="140"/>
      <c r="HM1" s="140"/>
      <c r="HN1" s="250"/>
      <c r="HO1" s="250"/>
      <c r="HP1" s="250"/>
      <c r="HQ1" s="140"/>
      <c r="HR1" s="140"/>
      <c r="HS1" s="140"/>
      <c r="HT1" s="140"/>
      <c r="HU1" s="140"/>
      <c r="HV1" s="140"/>
      <c r="HW1" s="140"/>
      <c r="HX1" s="140"/>
      <c r="HY1" s="140"/>
      <c r="HZ1" s="250"/>
      <c r="IA1" s="250"/>
      <c r="IB1" s="250"/>
      <c r="IC1" s="140"/>
      <c r="ID1" s="140"/>
      <c r="IE1" s="140"/>
      <c r="IF1" s="140"/>
      <c r="IG1" s="140"/>
      <c r="IH1" s="140"/>
      <c r="II1" s="140"/>
      <c r="IJ1" s="140"/>
      <c r="IK1" s="140"/>
      <c r="IL1" s="250"/>
      <c r="IM1" s="250"/>
      <c r="IN1" s="250"/>
      <c r="IO1" s="140"/>
      <c r="IP1" s="140"/>
      <c r="IQ1" s="140"/>
      <c r="IR1" s="140"/>
    </row>
    <row r="2" spans="1:252" s="6" customFormat="1" ht="15">
      <c r="A2" s="152" t="s">
        <v>34</v>
      </c>
      <c r="B2" s="251"/>
      <c r="C2" s="150"/>
      <c r="D2" s="150"/>
      <c r="E2" s="150"/>
      <c r="F2" s="252"/>
      <c r="G2" s="252"/>
      <c r="H2" s="252"/>
      <c r="I2" s="251"/>
      <c r="J2" s="251"/>
      <c r="K2" s="251"/>
      <c r="L2" s="251"/>
      <c r="M2" s="251"/>
      <c r="N2" s="251"/>
      <c r="O2" s="150"/>
      <c r="P2" s="150"/>
      <c r="Q2" s="150"/>
      <c r="R2" s="252"/>
      <c r="S2" s="252"/>
      <c r="T2" s="252"/>
      <c r="U2" s="251"/>
      <c r="V2" s="251"/>
      <c r="W2" s="251"/>
      <c r="X2" s="251"/>
      <c r="Y2" s="251"/>
      <c r="Z2" s="251"/>
      <c r="AA2" s="150"/>
      <c r="AB2" s="150"/>
      <c r="AC2" s="150"/>
      <c r="AD2" s="252"/>
      <c r="AE2" s="252"/>
      <c r="AF2" s="252"/>
      <c r="AG2" s="251"/>
      <c r="AH2" s="251"/>
      <c r="AI2" s="251"/>
      <c r="AJ2" s="251"/>
      <c r="AK2" s="251"/>
      <c r="AL2" s="251"/>
      <c r="AM2" s="150"/>
      <c r="AN2" s="150"/>
      <c r="AO2" s="150"/>
      <c r="AP2" s="252"/>
      <c r="AQ2" s="252"/>
      <c r="AR2" s="252"/>
      <c r="AS2" s="251"/>
      <c r="AT2" s="251"/>
      <c r="AU2" s="251"/>
      <c r="AV2" s="251"/>
      <c r="AW2" s="251"/>
      <c r="AX2" s="251"/>
      <c r="AY2" s="150"/>
      <c r="AZ2" s="150"/>
      <c r="BA2" s="150"/>
      <c r="BB2" s="252"/>
      <c r="BC2" s="252"/>
      <c r="BD2" s="252"/>
      <c r="BE2" s="251"/>
      <c r="BF2" s="251"/>
      <c r="BG2" s="251"/>
      <c r="BH2" s="251"/>
      <c r="BI2" s="251"/>
      <c r="BJ2" s="251"/>
      <c r="BK2" s="150"/>
      <c r="BL2" s="150"/>
      <c r="BM2" s="150"/>
      <c r="BN2" s="252"/>
      <c r="BO2" s="252"/>
      <c r="BP2" s="252"/>
      <c r="BQ2" s="251"/>
      <c r="BR2" s="251"/>
      <c r="BS2" s="251"/>
      <c r="BT2" s="251"/>
      <c r="BU2" s="251"/>
      <c r="BV2" s="251"/>
      <c r="BW2" s="150"/>
      <c r="BX2" s="150"/>
      <c r="BY2" s="150"/>
      <c r="BZ2" s="252"/>
      <c r="CA2" s="252"/>
      <c r="CB2" s="252"/>
      <c r="CC2" s="251"/>
      <c r="CD2" s="251"/>
      <c r="CE2" s="251"/>
      <c r="CF2" s="251"/>
      <c r="CG2" s="251"/>
      <c r="CH2" s="251"/>
      <c r="CI2" s="150"/>
      <c r="CJ2" s="150"/>
      <c r="CK2" s="150"/>
      <c r="CL2" s="252"/>
      <c r="CM2" s="252"/>
      <c r="CN2" s="252"/>
      <c r="CO2" s="251"/>
      <c r="CP2" s="251"/>
      <c r="CQ2" s="251"/>
      <c r="CR2" s="251"/>
      <c r="CS2" s="251"/>
      <c r="CT2" s="251"/>
      <c r="CU2" s="150"/>
      <c r="CV2" s="150"/>
      <c r="CW2" s="150"/>
      <c r="CX2" s="252"/>
      <c r="CY2" s="252"/>
      <c r="CZ2" s="252"/>
      <c r="DA2" s="251"/>
      <c r="DB2" s="251"/>
      <c r="DC2" s="251"/>
      <c r="DD2" s="251"/>
      <c r="DE2" s="251"/>
      <c r="DF2" s="251"/>
      <c r="DG2" s="150"/>
      <c r="DH2" s="150"/>
      <c r="DI2" s="150"/>
      <c r="DJ2" s="252"/>
      <c r="DK2" s="252"/>
      <c r="DL2" s="252"/>
      <c r="DM2" s="251"/>
      <c r="DN2" s="251"/>
      <c r="DO2" s="251"/>
      <c r="DP2" s="251"/>
      <c r="DQ2" s="251"/>
      <c r="DR2" s="251"/>
      <c r="DS2" s="150"/>
      <c r="DT2" s="150"/>
      <c r="DU2" s="150"/>
      <c r="DV2" s="252"/>
      <c r="DW2" s="252"/>
      <c r="DX2" s="252"/>
      <c r="DY2" s="251"/>
      <c r="DZ2" s="251"/>
      <c r="EA2" s="251"/>
      <c r="EB2" s="251"/>
      <c r="EC2" s="251"/>
      <c r="ED2" s="251"/>
      <c r="EE2" s="150"/>
      <c r="EF2" s="150"/>
      <c r="EG2" s="150"/>
      <c r="EH2" s="252"/>
      <c r="EI2" s="252"/>
      <c r="EJ2" s="252"/>
      <c r="EK2" s="251"/>
      <c r="EL2" s="251"/>
      <c r="EM2" s="251"/>
      <c r="EN2" s="251"/>
      <c r="EO2" s="251"/>
      <c r="EP2" s="251"/>
      <c r="EQ2" s="150"/>
      <c r="ER2" s="150"/>
      <c r="ES2" s="150"/>
      <c r="ET2" s="252"/>
      <c r="EU2" s="252"/>
      <c r="EV2" s="252"/>
      <c r="EW2" s="251"/>
      <c r="EX2" s="251"/>
      <c r="EY2" s="251"/>
      <c r="EZ2" s="251"/>
      <c r="FA2" s="251"/>
      <c r="FB2" s="251"/>
      <c r="FC2" s="150"/>
      <c r="FD2" s="150"/>
      <c r="FE2" s="150"/>
      <c r="FF2" s="252"/>
      <c r="FG2" s="252"/>
      <c r="FH2" s="252"/>
      <c r="FI2" s="251"/>
      <c r="FJ2" s="251"/>
      <c r="FK2" s="251"/>
      <c r="FL2" s="251"/>
      <c r="FM2" s="251"/>
      <c r="FN2" s="251"/>
      <c r="FO2" s="150"/>
      <c r="FP2" s="150"/>
      <c r="FQ2" s="150"/>
      <c r="FR2" s="252"/>
      <c r="FS2" s="252"/>
      <c r="FT2" s="252"/>
      <c r="FU2" s="251"/>
      <c r="FV2" s="251"/>
      <c r="FW2" s="251"/>
      <c r="FX2" s="251"/>
      <c r="FY2" s="251"/>
      <c r="FZ2" s="251"/>
      <c r="GA2" s="150"/>
      <c r="GB2" s="150"/>
      <c r="GC2" s="150"/>
      <c r="GD2" s="252"/>
      <c r="GE2" s="252"/>
      <c r="GF2" s="252"/>
      <c r="GG2" s="251"/>
      <c r="GH2" s="251"/>
      <c r="GI2" s="251"/>
      <c r="GJ2" s="251"/>
      <c r="GK2" s="251"/>
      <c r="GL2" s="251"/>
      <c r="GM2" s="150"/>
      <c r="GN2" s="150"/>
      <c r="GO2" s="150"/>
      <c r="GP2" s="252"/>
      <c r="GQ2" s="252"/>
      <c r="GR2" s="252"/>
      <c r="GS2" s="251"/>
      <c r="GT2" s="251"/>
      <c r="GU2" s="251"/>
      <c r="GV2" s="251"/>
      <c r="GW2" s="251"/>
      <c r="GX2" s="251"/>
      <c r="GY2" s="150"/>
      <c r="GZ2" s="150"/>
      <c r="HA2" s="150"/>
      <c r="HB2" s="252"/>
      <c r="HC2" s="252"/>
      <c r="HD2" s="252"/>
      <c r="HE2" s="251"/>
      <c r="HF2" s="251"/>
      <c r="HG2" s="251"/>
      <c r="HH2" s="251"/>
      <c r="HI2" s="251"/>
      <c r="HJ2" s="251"/>
      <c r="HK2" s="150"/>
      <c r="HL2" s="150"/>
      <c r="HM2" s="150"/>
      <c r="HN2" s="252"/>
      <c r="HO2" s="252"/>
      <c r="HP2" s="252"/>
      <c r="HQ2" s="251"/>
      <c r="HR2" s="251"/>
      <c r="HS2" s="251"/>
      <c r="HT2" s="251"/>
      <c r="HU2" s="251"/>
      <c r="HV2" s="251"/>
      <c r="HW2" s="150"/>
      <c r="HX2" s="150"/>
      <c r="HY2" s="150"/>
      <c r="HZ2" s="252"/>
      <c r="IA2" s="252"/>
      <c r="IB2" s="252"/>
      <c r="IC2" s="251"/>
      <c r="ID2" s="251"/>
      <c r="IE2" s="251"/>
      <c r="IF2" s="251"/>
      <c r="IG2" s="251"/>
      <c r="IH2" s="251"/>
      <c r="II2" s="150"/>
      <c r="IJ2" s="150"/>
      <c r="IK2" s="150"/>
      <c r="IL2" s="252"/>
      <c r="IM2" s="252"/>
      <c r="IN2" s="252"/>
      <c r="IO2" s="251"/>
      <c r="IP2" s="251"/>
      <c r="IQ2" s="251"/>
      <c r="IR2" s="251"/>
    </row>
    <row r="3" spans="1:252" s="2" customFormat="1" ht="18" customHeight="1">
      <c r="A3" s="291"/>
      <c r="B3" s="291"/>
      <c r="C3" s="291"/>
      <c r="D3" s="291"/>
      <c r="E3" s="291"/>
      <c r="F3" s="255"/>
      <c r="G3" s="255"/>
      <c r="H3" s="255"/>
      <c r="I3" s="253"/>
      <c r="J3" s="253"/>
      <c r="K3" s="253"/>
      <c r="L3" s="253"/>
      <c r="M3" s="253"/>
      <c r="N3" s="253"/>
      <c r="O3" s="254"/>
      <c r="P3" s="254"/>
      <c r="Q3" s="254"/>
      <c r="R3" s="255"/>
      <c r="S3" s="255"/>
      <c r="T3" s="255"/>
      <c r="U3" s="253"/>
      <c r="V3" s="253"/>
      <c r="W3" s="253"/>
      <c r="X3" s="253"/>
      <c r="Y3" s="253"/>
      <c r="Z3" s="253"/>
      <c r="AA3" s="254"/>
      <c r="AB3" s="254"/>
      <c r="AC3" s="254"/>
      <c r="AD3" s="255"/>
      <c r="AE3" s="255"/>
      <c r="AF3" s="255"/>
      <c r="AG3" s="253"/>
      <c r="AH3" s="253"/>
      <c r="AI3" s="253"/>
      <c r="AJ3" s="253"/>
      <c r="AK3" s="253"/>
      <c r="AL3" s="253"/>
      <c r="AM3" s="254"/>
      <c r="AN3" s="254"/>
      <c r="AO3" s="254"/>
      <c r="AP3" s="255"/>
      <c r="AQ3" s="255"/>
      <c r="AR3" s="255"/>
      <c r="AS3" s="253"/>
      <c r="AT3" s="253"/>
      <c r="AU3" s="253"/>
      <c r="AV3" s="253"/>
      <c r="AW3" s="253"/>
      <c r="AX3" s="253"/>
      <c r="AY3" s="254"/>
      <c r="AZ3" s="254"/>
      <c r="BA3" s="254"/>
      <c r="BB3" s="255"/>
      <c r="BC3" s="255"/>
      <c r="BD3" s="255"/>
      <c r="BE3" s="253"/>
      <c r="BF3" s="253"/>
      <c r="BG3" s="253"/>
      <c r="BH3" s="253"/>
      <c r="BI3" s="253"/>
      <c r="BJ3" s="253"/>
      <c r="BK3" s="254"/>
      <c r="BL3" s="254"/>
      <c r="BM3" s="254"/>
      <c r="BN3" s="255"/>
      <c r="BO3" s="255"/>
      <c r="BP3" s="255"/>
      <c r="BQ3" s="253"/>
      <c r="BR3" s="253"/>
      <c r="BS3" s="253"/>
      <c r="BT3" s="253"/>
      <c r="BU3" s="253"/>
      <c r="BV3" s="253"/>
      <c r="BW3" s="254"/>
      <c r="BX3" s="254"/>
      <c r="BY3" s="254"/>
      <c r="BZ3" s="255"/>
      <c r="CA3" s="255"/>
      <c r="CB3" s="255"/>
      <c r="CC3" s="253"/>
      <c r="CD3" s="253"/>
      <c r="CE3" s="253"/>
      <c r="CF3" s="253"/>
      <c r="CG3" s="253"/>
      <c r="CH3" s="253"/>
      <c r="CI3" s="254"/>
      <c r="CJ3" s="254"/>
      <c r="CK3" s="254"/>
      <c r="CL3" s="255"/>
      <c r="CM3" s="255"/>
      <c r="CN3" s="255"/>
      <c r="CO3" s="253"/>
      <c r="CP3" s="253"/>
      <c r="CQ3" s="253"/>
      <c r="CR3" s="253"/>
      <c r="CS3" s="253"/>
      <c r="CT3" s="253"/>
      <c r="CU3" s="254"/>
      <c r="CV3" s="254"/>
      <c r="CW3" s="254"/>
      <c r="CX3" s="255"/>
      <c r="CY3" s="255"/>
      <c r="CZ3" s="255"/>
      <c r="DA3" s="253"/>
      <c r="DB3" s="253"/>
      <c r="DC3" s="253"/>
      <c r="DD3" s="253"/>
      <c r="DE3" s="253"/>
      <c r="DF3" s="253"/>
      <c r="DG3" s="254"/>
      <c r="DH3" s="254"/>
      <c r="DI3" s="254"/>
      <c r="DJ3" s="255"/>
      <c r="DK3" s="255"/>
      <c r="DL3" s="255"/>
      <c r="DM3" s="253"/>
      <c r="DN3" s="253"/>
      <c r="DO3" s="253"/>
      <c r="DP3" s="253"/>
      <c r="DQ3" s="253"/>
      <c r="DR3" s="253"/>
      <c r="DS3" s="254"/>
      <c r="DT3" s="254"/>
      <c r="DU3" s="254"/>
      <c r="DV3" s="255"/>
      <c r="DW3" s="255"/>
      <c r="DX3" s="255"/>
      <c r="DY3" s="253"/>
      <c r="DZ3" s="253"/>
      <c r="EA3" s="253"/>
      <c r="EB3" s="253"/>
      <c r="EC3" s="253"/>
      <c r="ED3" s="253"/>
      <c r="EE3" s="254"/>
      <c r="EF3" s="254"/>
      <c r="EG3" s="254"/>
      <c r="EH3" s="255"/>
      <c r="EI3" s="255"/>
      <c r="EJ3" s="255"/>
      <c r="EK3" s="253"/>
      <c r="EL3" s="253"/>
      <c r="EM3" s="253"/>
      <c r="EN3" s="253"/>
      <c r="EO3" s="253"/>
      <c r="EP3" s="253"/>
      <c r="EQ3" s="254"/>
      <c r="ER3" s="254"/>
      <c r="ES3" s="254"/>
      <c r="ET3" s="255"/>
      <c r="EU3" s="255"/>
      <c r="EV3" s="255"/>
      <c r="EW3" s="253"/>
      <c r="EX3" s="253"/>
      <c r="EY3" s="253"/>
      <c r="EZ3" s="253"/>
      <c r="FA3" s="253"/>
      <c r="FB3" s="253"/>
      <c r="FC3" s="254"/>
      <c r="FD3" s="254"/>
      <c r="FE3" s="254"/>
      <c r="FF3" s="255"/>
      <c r="FG3" s="255"/>
      <c r="FH3" s="255"/>
      <c r="FI3" s="253"/>
      <c r="FJ3" s="253"/>
      <c r="FK3" s="253"/>
      <c r="FL3" s="253"/>
      <c r="FM3" s="253"/>
      <c r="FN3" s="253"/>
      <c r="FO3" s="254"/>
      <c r="FP3" s="254"/>
      <c r="FQ3" s="254"/>
      <c r="FR3" s="255"/>
      <c r="FS3" s="255"/>
      <c r="FT3" s="255"/>
      <c r="FU3" s="253"/>
      <c r="FV3" s="253"/>
      <c r="FW3" s="253"/>
      <c r="FX3" s="253"/>
      <c r="FY3" s="253"/>
      <c r="FZ3" s="253"/>
      <c r="GA3" s="254"/>
      <c r="GB3" s="254"/>
      <c r="GC3" s="254"/>
      <c r="GD3" s="255"/>
      <c r="GE3" s="255"/>
      <c r="GF3" s="255"/>
      <c r="GG3" s="253"/>
      <c r="GH3" s="253"/>
      <c r="GI3" s="253"/>
      <c r="GJ3" s="253"/>
      <c r="GK3" s="253"/>
      <c r="GL3" s="253"/>
      <c r="GM3" s="254"/>
      <c r="GN3" s="254"/>
      <c r="GO3" s="254"/>
      <c r="GP3" s="255"/>
      <c r="GQ3" s="255"/>
      <c r="GR3" s="255"/>
      <c r="GS3" s="253"/>
      <c r="GT3" s="253"/>
      <c r="GU3" s="253"/>
      <c r="GV3" s="253"/>
      <c r="GW3" s="253"/>
      <c r="GX3" s="253"/>
      <c r="GY3" s="254"/>
      <c r="GZ3" s="254"/>
      <c r="HA3" s="254"/>
      <c r="HB3" s="255"/>
      <c r="HC3" s="255"/>
      <c r="HD3" s="255"/>
      <c r="HE3" s="253"/>
      <c r="HF3" s="253"/>
      <c r="HG3" s="253"/>
      <c r="HH3" s="253"/>
      <c r="HI3" s="253"/>
      <c r="HJ3" s="253"/>
      <c r="HK3" s="254"/>
      <c r="HL3" s="254"/>
      <c r="HM3" s="254"/>
      <c r="HN3" s="255"/>
      <c r="HO3" s="255"/>
      <c r="HP3" s="255"/>
      <c r="HQ3" s="253"/>
      <c r="HR3" s="253"/>
      <c r="HS3" s="253"/>
      <c r="HT3" s="253"/>
      <c r="HU3" s="253"/>
      <c r="HV3" s="253"/>
      <c r="HW3" s="254"/>
      <c r="HX3" s="254"/>
      <c r="HY3" s="254"/>
      <c r="HZ3" s="255"/>
      <c r="IA3" s="255"/>
      <c r="IB3" s="255"/>
      <c r="IC3" s="253"/>
      <c r="ID3" s="253"/>
      <c r="IE3" s="253"/>
      <c r="IF3" s="253"/>
      <c r="IG3" s="253"/>
      <c r="IH3" s="253"/>
      <c r="II3" s="254"/>
      <c r="IJ3" s="254"/>
      <c r="IK3" s="254"/>
      <c r="IL3" s="255"/>
      <c r="IM3" s="255"/>
      <c r="IN3" s="255"/>
      <c r="IO3" s="253"/>
      <c r="IP3" s="253"/>
      <c r="IQ3" s="253"/>
      <c r="IR3" s="253"/>
    </row>
    <row r="4" spans="1:252" s="3" customFormat="1" ht="28.5" customHeight="1">
      <c r="A4" s="294" t="s">
        <v>30</v>
      </c>
      <c r="B4" s="289">
        <v>2007</v>
      </c>
      <c r="C4" s="289">
        <v>2008</v>
      </c>
      <c r="D4" s="289">
        <v>2009</v>
      </c>
      <c r="E4" s="289">
        <v>2010</v>
      </c>
      <c r="F4" s="289">
        <v>2011</v>
      </c>
      <c r="G4" s="289">
        <v>2012</v>
      </c>
      <c r="H4" s="289">
        <v>2013</v>
      </c>
      <c r="I4" s="289">
        <v>2014</v>
      </c>
      <c r="J4" s="289">
        <v>2015</v>
      </c>
      <c r="K4" s="289">
        <v>2016</v>
      </c>
      <c r="L4" s="259"/>
      <c r="M4" s="259"/>
      <c r="N4" s="259"/>
      <c r="O4" s="258"/>
      <c r="P4" s="258"/>
      <c r="Q4" s="259"/>
      <c r="R4" s="259"/>
      <c r="S4" s="259"/>
      <c r="T4" s="258"/>
      <c r="U4" s="260"/>
      <c r="V4" s="258"/>
      <c r="W4" s="258"/>
      <c r="X4" s="259"/>
      <c r="Y4" s="259"/>
      <c r="Z4" s="259"/>
      <c r="AA4" s="258"/>
      <c r="AB4" s="258"/>
      <c r="AC4" s="259"/>
      <c r="AD4" s="259"/>
      <c r="AE4" s="259"/>
      <c r="AF4" s="258"/>
      <c r="AG4" s="260"/>
      <c r="AH4" s="258"/>
      <c r="AI4" s="258"/>
      <c r="AJ4" s="259"/>
      <c r="AK4" s="259"/>
      <c r="AL4" s="259"/>
      <c r="AM4" s="258"/>
      <c r="AN4" s="258"/>
      <c r="AO4" s="259"/>
      <c r="AP4" s="259"/>
      <c r="AQ4" s="259"/>
      <c r="AR4" s="258"/>
      <c r="AS4" s="260"/>
      <c r="AT4" s="258"/>
      <c r="AU4" s="258"/>
      <c r="AV4" s="259"/>
      <c r="AW4" s="259"/>
      <c r="AX4" s="259"/>
      <c r="AY4" s="258"/>
      <c r="AZ4" s="258"/>
      <c r="BA4" s="259"/>
      <c r="BB4" s="259"/>
      <c r="BC4" s="259"/>
      <c r="BD4" s="258"/>
      <c r="BE4" s="260"/>
      <c r="BF4" s="258"/>
      <c r="BG4" s="258"/>
      <c r="BH4" s="259"/>
      <c r="BI4" s="259"/>
      <c r="BJ4" s="259"/>
      <c r="BK4" s="258"/>
      <c r="BL4" s="258"/>
      <c r="BM4" s="259"/>
      <c r="BN4" s="259"/>
      <c r="BO4" s="259"/>
      <c r="BP4" s="258"/>
      <c r="BQ4" s="260"/>
      <c r="BR4" s="258"/>
      <c r="BS4" s="258"/>
      <c r="BT4" s="259"/>
      <c r="BU4" s="259"/>
      <c r="BV4" s="259"/>
      <c r="BW4" s="258"/>
      <c r="BX4" s="258"/>
      <c r="BY4" s="259"/>
      <c r="BZ4" s="259"/>
      <c r="CA4" s="259"/>
      <c r="CB4" s="258"/>
      <c r="CC4" s="260"/>
      <c r="CD4" s="258"/>
      <c r="CE4" s="258"/>
      <c r="CF4" s="259"/>
      <c r="CG4" s="259"/>
      <c r="CH4" s="259"/>
      <c r="CI4" s="258"/>
      <c r="CJ4" s="258"/>
      <c r="CK4" s="259"/>
      <c r="CL4" s="259"/>
      <c r="CM4" s="259"/>
      <c r="CN4" s="258"/>
      <c r="CO4" s="260"/>
      <c r="CP4" s="258"/>
      <c r="CQ4" s="258"/>
      <c r="CR4" s="259"/>
      <c r="CS4" s="259"/>
      <c r="CT4" s="259"/>
      <c r="CU4" s="258"/>
      <c r="CV4" s="258"/>
      <c r="CW4" s="259"/>
      <c r="CX4" s="259"/>
      <c r="CY4" s="259"/>
      <c r="CZ4" s="258"/>
      <c r="DA4" s="260"/>
      <c r="DB4" s="258"/>
      <c r="DC4" s="258"/>
      <c r="DD4" s="259"/>
      <c r="DE4" s="259"/>
      <c r="DF4" s="259"/>
      <c r="DG4" s="258"/>
      <c r="DH4" s="258"/>
      <c r="DI4" s="259"/>
      <c r="DJ4" s="259"/>
      <c r="DK4" s="259"/>
      <c r="DL4" s="258"/>
      <c r="DM4" s="260"/>
      <c r="DN4" s="258"/>
      <c r="DO4" s="258"/>
      <c r="DP4" s="259"/>
      <c r="DQ4" s="259"/>
      <c r="DR4" s="259"/>
      <c r="DS4" s="258"/>
      <c r="DT4" s="258"/>
      <c r="DU4" s="259"/>
      <c r="DV4" s="259"/>
      <c r="DW4" s="259"/>
      <c r="DX4" s="258"/>
      <c r="DY4" s="260"/>
      <c r="DZ4" s="258"/>
      <c r="EA4" s="258"/>
      <c r="EB4" s="259"/>
      <c r="EC4" s="259"/>
      <c r="ED4" s="259"/>
      <c r="EE4" s="258"/>
      <c r="EF4" s="258"/>
      <c r="EG4" s="259"/>
      <c r="EH4" s="259"/>
      <c r="EI4" s="259"/>
      <c r="EJ4" s="258"/>
      <c r="EK4" s="260"/>
      <c r="EL4" s="258"/>
      <c r="EM4" s="258"/>
      <c r="EN4" s="259"/>
      <c r="EO4" s="259"/>
      <c r="EP4" s="259"/>
      <c r="EQ4" s="258"/>
      <c r="ER4" s="258"/>
      <c r="ES4" s="259"/>
      <c r="ET4" s="259"/>
      <c r="EU4" s="259"/>
      <c r="EV4" s="258"/>
      <c r="EW4" s="260"/>
      <c r="EX4" s="258"/>
      <c r="EY4" s="258"/>
      <c r="EZ4" s="259"/>
      <c r="FA4" s="259"/>
      <c r="FB4" s="259"/>
      <c r="FC4" s="258"/>
      <c r="FD4" s="258"/>
      <c r="FE4" s="259"/>
      <c r="FF4" s="259"/>
      <c r="FG4" s="259"/>
      <c r="FH4" s="258"/>
      <c r="FI4" s="260"/>
      <c r="FJ4" s="258"/>
      <c r="FK4" s="258"/>
      <c r="FL4" s="259"/>
      <c r="FM4" s="259"/>
      <c r="FN4" s="259"/>
      <c r="FO4" s="258"/>
      <c r="FP4" s="258"/>
      <c r="FQ4" s="259"/>
      <c r="FR4" s="259"/>
      <c r="FS4" s="259"/>
      <c r="FT4" s="258"/>
      <c r="FU4" s="260"/>
      <c r="FV4" s="258"/>
      <c r="FW4" s="258"/>
      <c r="FX4" s="259"/>
      <c r="FY4" s="259"/>
      <c r="FZ4" s="259"/>
      <c r="GA4" s="258"/>
      <c r="GB4" s="258"/>
      <c r="GC4" s="259"/>
      <c r="GD4" s="259"/>
      <c r="GE4" s="259"/>
      <c r="GF4" s="258"/>
      <c r="GG4" s="260"/>
      <c r="GH4" s="258"/>
      <c r="GI4" s="258"/>
      <c r="GJ4" s="259"/>
      <c r="GK4" s="259"/>
      <c r="GL4" s="259"/>
      <c r="GM4" s="258"/>
      <c r="GN4" s="258"/>
      <c r="GO4" s="259"/>
      <c r="GP4" s="259"/>
      <c r="GQ4" s="259"/>
      <c r="GR4" s="258"/>
      <c r="GS4" s="260"/>
      <c r="GT4" s="258"/>
      <c r="GU4" s="258"/>
      <c r="GV4" s="259"/>
      <c r="GW4" s="259"/>
      <c r="GX4" s="259"/>
      <c r="GY4" s="258"/>
      <c r="GZ4" s="258"/>
      <c r="HA4" s="259"/>
      <c r="HB4" s="259"/>
      <c r="HC4" s="259"/>
      <c r="HD4" s="258"/>
      <c r="HE4" s="260"/>
      <c r="HF4" s="258"/>
      <c r="HG4" s="258"/>
      <c r="HH4" s="259"/>
      <c r="HI4" s="259"/>
      <c r="HJ4" s="259"/>
      <c r="HK4" s="258"/>
      <c r="HL4" s="258"/>
      <c r="HM4" s="259"/>
      <c r="HN4" s="259"/>
      <c r="HO4" s="259"/>
      <c r="HP4" s="258"/>
      <c r="HQ4" s="260"/>
      <c r="HR4" s="258"/>
      <c r="HS4" s="258"/>
      <c r="HT4" s="259"/>
      <c r="HU4" s="259"/>
      <c r="HV4" s="259"/>
      <c r="HW4" s="258"/>
      <c r="HX4" s="258"/>
      <c r="HY4" s="259"/>
      <c r="HZ4" s="259"/>
      <c r="IA4" s="259"/>
      <c r="IB4" s="258"/>
      <c r="IC4" s="260"/>
      <c r="ID4" s="258"/>
      <c r="IE4" s="258"/>
      <c r="IF4" s="259"/>
      <c r="IG4" s="259"/>
      <c r="IH4" s="259"/>
      <c r="II4" s="258"/>
      <c r="IJ4" s="258"/>
      <c r="IK4" s="259"/>
      <c r="IL4" s="259"/>
      <c r="IM4" s="259"/>
      <c r="IN4" s="258"/>
      <c r="IO4" s="260"/>
      <c r="IP4" s="258"/>
      <c r="IQ4" s="258"/>
      <c r="IR4" s="259"/>
    </row>
    <row r="5" spans="1:252" s="9" customFormat="1" ht="14.2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row>
    <row r="6" spans="1:252" s="5" customFormat="1" ht="14.25">
      <c r="A6" s="35" t="s">
        <v>29</v>
      </c>
      <c r="B6" s="291">
        <v>0</v>
      </c>
      <c r="C6" s="291">
        <v>-1.1000000000000001</v>
      </c>
      <c r="D6" s="291">
        <v>-5.5</v>
      </c>
      <c r="E6" s="291">
        <v>-4</v>
      </c>
      <c r="F6" s="291">
        <v>-4.0999999999999996</v>
      </c>
      <c r="G6" s="397">
        <v>-4.0999999999999996</v>
      </c>
      <c r="H6" s="291">
        <v>-2.9</v>
      </c>
      <c r="I6" s="291">
        <v>-3.2</v>
      </c>
      <c r="J6" s="291">
        <v>-2.6</v>
      </c>
      <c r="K6" s="291">
        <v>-2.4</v>
      </c>
      <c r="L6" s="291"/>
      <c r="M6" s="291"/>
      <c r="N6" s="291"/>
      <c r="O6" s="291"/>
      <c r="P6" s="291"/>
      <c r="Q6" s="291"/>
      <c r="R6" s="291"/>
      <c r="S6" s="397"/>
      <c r="T6" s="397"/>
      <c r="U6" s="35"/>
      <c r="V6" s="291"/>
      <c r="W6" s="291"/>
      <c r="X6" s="291"/>
      <c r="Y6" s="291"/>
      <c r="Z6" s="291"/>
      <c r="AA6" s="291"/>
      <c r="AB6" s="397"/>
      <c r="AC6" s="397"/>
      <c r="AD6" s="397"/>
      <c r="AE6" s="397"/>
      <c r="AF6" s="397"/>
      <c r="AG6" s="35"/>
      <c r="AH6" s="291"/>
      <c r="AI6" s="291"/>
      <c r="AJ6" s="291"/>
      <c r="AK6" s="291"/>
      <c r="AL6" s="291"/>
      <c r="AM6" s="291"/>
      <c r="AN6" s="397"/>
      <c r="AO6" s="397"/>
      <c r="AP6" s="397"/>
      <c r="AQ6" s="397"/>
      <c r="AR6" s="397"/>
      <c r="AS6" s="35"/>
      <c r="AT6" s="291"/>
      <c r="AU6" s="291"/>
      <c r="AV6" s="291"/>
      <c r="AW6" s="291"/>
      <c r="AX6" s="291"/>
      <c r="AY6" s="291"/>
      <c r="AZ6" s="397"/>
      <c r="BA6" s="397"/>
      <c r="BB6" s="397"/>
      <c r="BC6" s="397"/>
      <c r="BD6" s="397"/>
      <c r="BE6" s="35"/>
      <c r="BF6" s="291"/>
      <c r="BG6" s="291"/>
      <c r="BH6" s="291"/>
      <c r="BI6" s="291"/>
      <c r="BJ6" s="291"/>
      <c r="BK6" s="291"/>
      <c r="BL6" s="397"/>
      <c r="BM6" s="397"/>
      <c r="BN6" s="397"/>
      <c r="BO6" s="397"/>
      <c r="BP6" s="397"/>
      <c r="BQ6" s="35"/>
      <c r="BR6" s="291"/>
      <c r="BS6" s="291"/>
      <c r="BT6" s="291"/>
      <c r="BU6" s="291"/>
      <c r="BV6" s="291"/>
      <c r="BW6" s="291"/>
      <c r="BX6" s="397"/>
      <c r="BY6" s="397"/>
      <c r="BZ6" s="397"/>
      <c r="CA6" s="397"/>
      <c r="CB6" s="397"/>
      <c r="CC6" s="35"/>
      <c r="CD6" s="291"/>
      <c r="CE6" s="291"/>
      <c r="CF6" s="291"/>
      <c r="CG6" s="291"/>
      <c r="CH6" s="291"/>
      <c r="CI6" s="291"/>
      <c r="CJ6" s="397"/>
      <c r="CK6" s="397"/>
      <c r="CL6" s="397"/>
      <c r="CM6" s="397"/>
      <c r="CN6" s="397"/>
      <c r="CO6" s="35"/>
      <c r="CP6" s="291"/>
      <c r="CQ6" s="291"/>
      <c r="CR6" s="291"/>
      <c r="CS6" s="291"/>
      <c r="CT6" s="291"/>
      <c r="CU6" s="291"/>
      <c r="CV6" s="397"/>
      <c r="CW6" s="397"/>
      <c r="CX6" s="397"/>
      <c r="CY6" s="397"/>
      <c r="CZ6" s="397"/>
      <c r="DA6" s="35"/>
      <c r="DB6" s="291"/>
      <c r="DC6" s="291"/>
      <c r="DD6" s="291"/>
      <c r="DE6" s="291"/>
      <c r="DF6" s="291"/>
      <c r="DG6" s="291"/>
      <c r="DH6" s="397"/>
      <c r="DI6" s="397"/>
      <c r="DJ6" s="397"/>
      <c r="DK6" s="397"/>
      <c r="DL6" s="397"/>
      <c r="DM6" s="35"/>
      <c r="DN6" s="291"/>
      <c r="DO6" s="291"/>
      <c r="DP6" s="291"/>
      <c r="DQ6" s="291"/>
      <c r="DR6" s="291"/>
      <c r="DS6" s="291"/>
      <c r="DT6" s="397"/>
      <c r="DU6" s="397"/>
      <c r="DV6" s="397"/>
      <c r="DW6" s="397"/>
      <c r="DX6" s="397"/>
      <c r="DY6" s="35"/>
      <c r="DZ6" s="291"/>
      <c r="EA6" s="291"/>
      <c r="EB6" s="291"/>
      <c r="EC6" s="291"/>
      <c r="ED6" s="291"/>
      <c r="EE6" s="291"/>
      <c r="EF6" s="397"/>
      <c r="EG6" s="397"/>
      <c r="EH6" s="397"/>
      <c r="EI6" s="397"/>
      <c r="EJ6" s="397"/>
      <c r="EK6" s="35"/>
      <c r="EL6" s="291"/>
      <c r="EM6" s="291"/>
      <c r="EN6" s="291"/>
      <c r="EO6" s="291"/>
      <c r="EP6" s="291"/>
      <c r="EQ6" s="291"/>
      <c r="ER6" s="397"/>
      <c r="ES6" s="397"/>
      <c r="ET6" s="397"/>
      <c r="EU6" s="397"/>
      <c r="EV6" s="397"/>
      <c r="EW6" s="35"/>
      <c r="EX6" s="291"/>
      <c r="EY6" s="291"/>
      <c r="EZ6" s="291"/>
      <c r="FA6" s="291"/>
      <c r="FB6" s="291"/>
      <c r="FC6" s="291"/>
      <c r="FD6" s="397"/>
      <c r="FE6" s="397"/>
      <c r="FF6" s="397"/>
      <c r="FG6" s="397"/>
      <c r="FH6" s="397"/>
      <c r="FI6" s="35"/>
      <c r="FJ6" s="291"/>
      <c r="FK6" s="291"/>
      <c r="FL6" s="291"/>
      <c r="FM6" s="291"/>
      <c r="FN6" s="291"/>
      <c r="FO6" s="291"/>
      <c r="FP6" s="397"/>
      <c r="FQ6" s="397"/>
      <c r="FR6" s="397"/>
      <c r="FS6" s="397"/>
      <c r="FT6" s="397"/>
      <c r="FU6" s="35"/>
      <c r="FV6" s="291"/>
      <c r="FW6" s="291"/>
      <c r="FX6" s="291"/>
      <c r="FY6" s="291"/>
      <c r="FZ6" s="291"/>
      <c r="GA6" s="291"/>
      <c r="GB6" s="397"/>
      <c r="GC6" s="397"/>
      <c r="GD6" s="397"/>
      <c r="GE6" s="397"/>
      <c r="GF6" s="397"/>
      <c r="GG6" s="35"/>
      <c r="GH6" s="291"/>
      <c r="GI6" s="291"/>
      <c r="GJ6" s="291"/>
      <c r="GK6" s="291"/>
      <c r="GL6" s="291"/>
      <c r="GM6" s="291"/>
      <c r="GN6" s="397"/>
      <c r="GO6" s="397"/>
      <c r="GP6" s="397"/>
      <c r="GQ6" s="397"/>
      <c r="GR6" s="397"/>
      <c r="GS6" s="35"/>
      <c r="GT6" s="291"/>
      <c r="GU6" s="291"/>
      <c r="GV6" s="291"/>
      <c r="GW6" s="291"/>
      <c r="GX6" s="291"/>
      <c r="GY6" s="291"/>
      <c r="GZ6" s="397"/>
      <c r="HA6" s="397"/>
      <c r="HB6" s="397"/>
      <c r="HC6" s="397"/>
      <c r="HD6" s="397"/>
      <c r="HE6" s="35"/>
      <c r="HF6" s="291"/>
      <c r="HG6" s="291"/>
      <c r="HH6" s="291"/>
      <c r="HI6" s="291"/>
      <c r="HJ6" s="291"/>
      <c r="HK6" s="291"/>
      <c r="HL6" s="397"/>
      <c r="HM6" s="397"/>
      <c r="HN6" s="397"/>
      <c r="HO6" s="397"/>
      <c r="HP6" s="397"/>
      <c r="HQ6" s="35"/>
      <c r="HR6" s="291"/>
      <c r="HS6" s="291"/>
      <c r="HT6" s="291"/>
      <c r="HU6" s="291"/>
      <c r="HV6" s="291"/>
      <c r="HW6" s="291"/>
      <c r="HX6" s="397"/>
      <c r="HY6" s="397"/>
      <c r="HZ6" s="397"/>
      <c r="IA6" s="397"/>
      <c r="IB6" s="397"/>
      <c r="IC6" s="35"/>
      <c r="ID6" s="291"/>
      <c r="IE6" s="291"/>
      <c r="IF6" s="291"/>
      <c r="IG6" s="291"/>
      <c r="IH6" s="291"/>
      <c r="II6" s="291"/>
      <c r="IJ6" s="397"/>
      <c r="IK6" s="397"/>
      <c r="IL6" s="397"/>
      <c r="IM6" s="397"/>
      <c r="IN6" s="397"/>
      <c r="IO6" s="35"/>
      <c r="IP6" s="291"/>
      <c r="IQ6" s="291"/>
      <c r="IR6" s="291"/>
    </row>
    <row r="7" spans="1:252" s="5" customFormat="1" ht="14.25">
      <c r="A7" s="35" t="s">
        <v>28</v>
      </c>
      <c r="B7" s="291">
        <v>0.3</v>
      </c>
      <c r="C7" s="291">
        <v>0</v>
      </c>
      <c r="D7" s="291">
        <v>-3</v>
      </c>
      <c r="E7" s="291">
        <v>-4.0999999999999996</v>
      </c>
      <c r="F7" s="291">
        <v>-0.9</v>
      </c>
      <c r="G7" s="397">
        <v>0.1</v>
      </c>
      <c r="H7" s="291">
        <v>0.1</v>
      </c>
      <c r="I7" s="291">
        <v>0.7</v>
      </c>
      <c r="J7" s="291">
        <v>0.6</v>
      </c>
      <c r="K7" s="291">
        <v>0.5</v>
      </c>
      <c r="L7" s="291"/>
      <c r="M7" s="291"/>
      <c r="N7" s="291"/>
      <c r="O7" s="291"/>
      <c r="P7" s="291"/>
      <c r="Q7" s="291"/>
      <c r="R7" s="291"/>
      <c r="S7" s="397"/>
      <c r="T7" s="397"/>
      <c r="U7" s="35"/>
      <c r="V7" s="291"/>
      <c r="W7" s="291"/>
      <c r="X7" s="291"/>
      <c r="Y7" s="291"/>
      <c r="Z7" s="291"/>
      <c r="AA7" s="291"/>
      <c r="AB7" s="397"/>
      <c r="AC7" s="397"/>
      <c r="AD7" s="397"/>
      <c r="AE7" s="397"/>
      <c r="AF7" s="397"/>
      <c r="AG7" s="35"/>
      <c r="AH7" s="291"/>
      <c r="AI7" s="291"/>
      <c r="AJ7" s="291"/>
      <c r="AK7" s="291"/>
      <c r="AL7" s="291"/>
      <c r="AM7" s="291"/>
      <c r="AN7" s="397"/>
      <c r="AO7" s="397"/>
      <c r="AP7" s="397"/>
      <c r="AQ7" s="397"/>
      <c r="AR7" s="397"/>
      <c r="AS7" s="35"/>
      <c r="AT7" s="291"/>
      <c r="AU7" s="291"/>
      <c r="AV7" s="291"/>
      <c r="AW7" s="291"/>
      <c r="AX7" s="291"/>
      <c r="AY7" s="291"/>
      <c r="AZ7" s="397"/>
      <c r="BA7" s="397"/>
      <c r="BB7" s="397"/>
      <c r="BC7" s="397"/>
      <c r="BD7" s="397"/>
      <c r="BE7" s="35"/>
      <c r="BF7" s="291"/>
      <c r="BG7" s="291"/>
      <c r="BH7" s="291"/>
      <c r="BI7" s="291"/>
      <c r="BJ7" s="291"/>
      <c r="BK7" s="291"/>
      <c r="BL7" s="397"/>
      <c r="BM7" s="397"/>
      <c r="BN7" s="397"/>
      <c r="BO7" s="397"/>
      <c r="BP7" s="397"/>
      <c r="BQ7" s="35"/>
      <c r="BR7" s="291"/>
      <c r="BS7" s="291"/>
      <c r="BT7" s="291"/>
      <c r="BU7" s="291"/>
      <c r="BV7" s="291"/>
      <c r="BW7" s="291"/>
      <c r="BX7" s="397"/>
      <c r="BY7" s="397"/>
      <c r="BZ7" s="397"/>
      <c r="CA7" s="397"/>
      <c r="CB7" s="397"/>
      <c r="CC7" s="35"/>
      <c r="CD7" s="291"/>
      <c r="CE7" s="291"/>
      <c r="CF7" s="291"/>
      <c r="CG7" s="291"/>
      <c r="CH7" s="291"/>
      <c r="CI7" s="291"/>
      <c r="CJ7" s="397"/>
      <c r="CK7" s="397"/>
      <c r="CL7" s="397"/>
      <c r="CM7" s="397"/>
      <c r="CN7" s="397"/>
      <c r="CO7" s="35"/>
      <c r="CP7" s="291"/>
      <c r="CQ7" s="291"/>
      <c r="CR7" s="291"/>
      <c r="CS7" s="291"/>
      <c r="CT7" s="291"/>
      <c r="CU7" s="291"/>
      <c r="CV7" s="397"/>
      <c r="CW7" s="397"/>
      <c r="CX7" s="397"/>
      <c r="CY7" s="397"/>
      <c r="CZ7" s="397"/>
      <c r="DA7" s="35"/>
      <c r="DB7" s="291"/>
      <c r="DC7" s="291"/>
      <c r="DD7" s="291"/>
      <c r="DE7" s="291"/>
      <c r="DF7" s="291"/>
      <c r="DG7" s="291"/>
      <c r="DH7" s="397"/>
      <c r="DI7" s="397"/>
      <c r="DJ7" s="397"/>
      <c r="DK7" s="397"/>
      <c r="DL7" s="397"/>
      <c r="DM7" s="35"/>
      <c r="DN7" s="291"/>
      <c r="DO7" s="291"/>
      <c r="DP7" s="291"/>
      <c r="DQ7" s="291"/>
      <c r="DR7" s="291"/>
      <c r="DS7" s="291"/>
      <c r="DT7" s="397"/>
      <c r="DU7" s="397"/>
      <c r="DV7" s="397"/>
      <c r="DW7" s="397"/>
      <c r="DX7" s="397"/>
      <c r="DY7" s="35"/>
      <c r="DZ7" s="291"/>
      <c r="EA7" s="291"/>
      <c r="EB7" s="291"/>
      <c r="EC7" s="291"/>
      <c r="ED7" s="291"/>
      <c r="EE7" s="291"/>
      <c r="EF7" s="397"/>
      <c r="EG7" s="397"/>
      <c r="EH7" s="397"/>
      <c r="EI7" s="397"/>
      <c r="EJ7" s="397"/>
      <c r="EK7" s="35"/>
      <c r="EL7" s="291"/>
      <c r="EM7" s="291"/>
      <c r="EN7" s="291"/>
      <c r="EO7" s="291"/>
      <c r="EP7" s="291"/>
      <c r="EQ7" s="291"/>
      <c r="ER7" s="397"/>
      <c r="ES7" s="397"/>
      <c r="ET7" s="397"/>
      <c r="EU7" s="397"/>
      <c r="EV7" s="397"/>
      <c r="EW7" s="35"/>
      <c r="EX7" s="291"/>
      <c r="EY7" s="291"/>
      <c r="EZ7" s="291"/>
      <c r="FA7" s="291"/>
      <c r="FB7" s="291"/>
      <c r="FC7" s="291"/>
      <c r="FD7" s="397"/>
      <c r="FE7" s="397"/>
      <c r="FF7" s="397"/>
      <c r="FG7" s="397"/>
      <c r="FH7" s="397"/>
      <c r="FI7" s="35"/>
      <c r="FJ7" s="291"/>
      <c r="FK7" s="291"/>
      <c r="FL7" s="291"/>
      <c r="FM7" s="291"/>
      <c r="FN7" s="291"/>
      <c r="FO7" s="291"/>
      <c r="FP7" s="397"/>
      <c r="FQ7" s="397"/>
      <c r="FR7" s="397"/>
      <c r="FS7" s="397"/>
      <c r="FT7" s="397"/>
      <c r="FU7" s="35"/>
      <c r="FV7" s="291"/>
      <c r="FW7" s="291"/>
      <c r="FX7" s="291"/>
      <c r="FY7" s="291"/>
      <c r="FZ7" s="291"/>
      <c r="GA7" s="291"/>
      <c r="GB7" s="397"/>
      <c r="GC7" s="397"/>
      <c r="GD7" s="397"/>
      <c r="GE7" s="397"/>
      <c r="GF7" s="397"/>
      <c r="GG7" s="35"/>
      <c r="GH7" s="291"/>
      <c r="GI7" s="291"/>
      <c r="GJ7" s="291"/>
      <c r="GK7" s="291"/>
      <c r="GL7" s="291"/>
      <c r="GM7" s="291"/>
      <c r="GN7" s="397"/>
      <c r="GO7" s="397"/>
      <c r="GP7" s="397"/>
      <c r="GQ7" s="397"/>
      <c r="GR7" s="397"/>
      <c r="GS7" s="35"/>
      <c r="GT7" s="291"/>
      <c r="GU7" s="291"/>
      <c r="GV7" s="291"/>
      <c r="GW7" s="291"/>
      <c r="GX7" s="291"/>
      <c r="GY7" s="291"/>
      <c r="GZ7" s="397"/>
      <c r="HA7" s="397"/>
      <c r="HB7" s="397"/>
      <c r="HC7" s="397"/>
      <c r="HD7" s="397"/>
      <c r="HE7" s="35"/>
      <c r="HF7" s="291"/>
      <c r="HG7" s="291"/>
      <c r="HH7" s="291"/>
      <c r="HI7" s="291"/>
      <c r="HJ7" s="291"/>
      <c r="HK7" s="291"/>
      <c r="HL7" s="397"/>
      <c r="HM7" s="397"/>
      <c r="HN7" s="397"/>
      <c r="HO7" s="397"/>
      <c r="HP7" s="397"/>
      <c r="HQ7" s="35"/>
      <c r="HR7" s="291"/>
      <c r="HS7" s="291"/>
      <c r="HT7" s="291"/>
      <c r="HU7" s="291"/>
      <c r="HV7" s="291"/>
      <c r="HW7" s="291"/>
      <c r="HX7" s="397"/>
      <c r="HY7" s="397"/>
      <c r="HZ7" s="397"/>
      <c r="IA7" s="397"/>
      <c r="IB7" s="397"/>
      <c r="IC7" s="35"/>
      <c r="ID7" s="291"/>
      <c r="IE7" s="291"/>
      <c r="IF7" s="291"/>
      <c r="IG7" s="291"/>
      <c r="IH7" s="291"/>
      <c r="II7" s="291"/>
      <c r="IJ7" s="397"/>
      <c r="IK7" s="397"/>
      <c r="IL7" s="397"/>
      <c r="IM7" s="397"/>
      <c r="IN7" s="397"/>
      <c r="IO7" s="35"/>
      <c r="IP7" s="291"/>
      <c r="IQ7" s="291"/>
      <c r="IR7" s="291"/>
    </row>
    <row r="8" spans="1:252" s="5" customFormat="1" ht="14.25">
      <c r="A8" s="35" t="s">
        <v>13</v>
      </c>
      <c r="B8" s="291">
        <v>2.5</v>
      </c>
      <c r="C8" s="291">
        <v>-2.7</v>
      </c>
      <c r="D8" s="291">
        <v>-2.2000000000000002</v>
      </c>
      <c r="E8" s="291">
        <v>0.2</v>
      </c>
      <c r="F8" s="291">
        <v>1.2</v>
      </c>
      <c r="G8" s="397">
        <v>-0.2</v>
      </c>
      <c r="H8" s="291">
        <v>-0.2</v>
      </c>
      <c r="I8" s="291">
        <v>0.6</v>
      </c>
      <c r="J8" s="291">
        <v>-0.2</v>
      </c>
      <c r="K8" s="291">
        <v>-0.1</v>
      </c>
      <c r="L8" s="291"/>
      <c r="M8" s="291"/>
      <c r="N8" s="291"/>
      <c r="O8" s="291"/>
      <c r="P8" s="291"/>
      <c r="Q8" s="291"/>
      <c r="R8" s="291"/>
      <c r="S8" s="397"/>
      <c r="T8" s="397"/>
      <c r="U8" s="35"/>
      <c r="V8" s="291"/>
      <c r="W8" s="291"/>
      <c r="X8" s="291"/>
      <c r="Y8" s="397"/>
      <c r="Z8" s="291"/>
      <c r="AA8" s="291"/>
      <c r="AB8" s="397"/>
      <c r="AC8" s="397"/>
      <c r="AD8" s="397"/>
      <c r="AE8" s="397"/>
      <c r="AF8" s="397"/>
      <c r="AG8" s="35"/>
      <c r="AH8" s="291"/>
      <c r="AI8" s="291"/>
      <c r="AJ8" s="291"/>
      <c r="AK8" s="397"/>
      <c r="AL8" s="291"/>
      <c r="AM8" s="291"/>
      <c r="AN8" s="397"/>
      <c r="AO8" s="397"/>
      <c r="AP8" s="397"/>
      <c r="AQ8" s="397"/>
      <c r="AR8" s="397"/>
      <c r="AS8" s="35"/>
      <c r="AT8" s="291"/>
      <c r="AU8" s="291"/>
      <c r="AV8" s="291"/>
      <c r="AW8" s="397"/>
      <c r="AX8" s="291"/>
      <c r="AY8" s="291"/>
      <c r="AZ8" s="397"/>
      <c r="BA8" s="397"/>
      <c r="BB8" s="397"/>
      <c r="BC8" s="397"/>
      <c r="BD8" s="397"/>
      <c r="BE8" s="35"/>
      <c r="BF8" s="291"/>
      <c r="BG8" s="291"/>
      <c r="BH8" s="291"/>
      <c r="BI8" s="397"/>
      <c r="BJ8" s="291"/>
      <c r="BK8" s="291"/>
      <c r="BL8" s="397"/>
      <c r="BM8" s="397"/>
      <c r="BN8" s="397"/>
      <c r="BO8" s="397"/>
      <c r="BP8" s="397"/>
      <c r="BQ8" s="35"/>
      <c r="BR8" s="291"/>
      <c r="BS8" s="291"/>
      <c r="BT8" s="291"/>
      <c r="BU8" s="397"/>
      <c r="BV8" s="291"/>
      <c r="BW8" s="291"/>
      <c r="BX8" s="397"/>
      <c r="BY8" s="397"/>
      <c r="BZ8" s="397"/>
      <c r="CA8" s="397"/>
      <c r="CB8" s="397"/>
      <c r="CC8" s="35"/>
      <c r="CD8" s="291"/>
      <c r="CE8" s="291"/>
      <c r="CF8" s="291"/>
      <c r="CG8" s="397"/>
      <c r="CH8" s="291"/>
      <c r="CI8" s="291"/>
      <c r="CJ8" s="397"/>
      <c r="CK8" s="397"/>
      <c r="CL8" s="397"/>
      <c r="CM8" s="397"/>
      <c r="CN8" s="397"/>
      <c r="CO8" s="35"/>
      <c r="CP8" s="291"/>
      <c r="CQ8" s="291"/>
      <c r="CR8" s="291"/>
      <c r="CS8" s="397"/>
      <c r="CT8" s="291"/>
      <c r="CU8" s="291"/>
      <c r="CV8" s="397"/>
      <c r="CW8" s="397"/>
      <c r="CX8" s="397"/>
      <c r="CY8" s="397"/>
      <c r="CZ8" s="397"/>
      <c r="DA8" s="35"/>
      <c r="DB8" s="291"/>
      <c r="DC8" s="291"/>
      <c r="DD8" s="291"/>
      <c r="DE8" s="397"/>
      <c r="DF8" s="291"/>
      <c r="DG8" s="291"/>
      <c r="DH8" s="397"/>
      <c r="DI8" s="397"/>
      <c r="DJ8" s="397"/>
      <c r="DK8" s="397"/>
      <c r="DL8" s="397"/>
      <c r="DM8" s="35"/>
      <c r="DN8" s="291"/>
      <c r="DO8" s="291"/>
      <c r="DP8" s="291"/>
      <c r="DQ8" s="397"/>
      <c r="DR8" s="291"/>
      <c r="DS8" s="291"/>
      <c r="DT8" s="397"/>
      <c r="DU8" s="397"/>
      <c r="DV8" s="397"/>
      <c r="DW8" s="397"/>
      <c r="DX8" s="397"/>
      <c r="DY8" s="35"/>
      <c r="DZ8" s="291"/>
      <c r="EA8" s="291"/>
      <c r="EB8" s="291"/>
      <c r="EC8" s="397"/>
      <c r="ED8" s="291"/>
      <c r="EE8" s="291"/>
      <c r="EF8" s="397"/>
      <c r="EG8" s="397"/>
      <c r="EH8" s="397"/>
      <c r="EI8" s="397"/>
      <c r="EJ8" s="397"/>
      <c r="EK8" s="35"/>
      <c r="EL8" s="291"/>
      <c r="EM8" s="291"/>
      <c r="EN8" s="291"/>
      <c r="EO8" s="397"/>
      <c r="EP8" s="291"/>
      <c r="EQ8" s="291"/>
      <c r="ER8" s="397"/>
      <c r="ES8" s="397"/>
      <c r="ET8" s="397"/>
      <c r="EU8" s="397"/>
      <c r="EV8" s="397"/>
      <c r="EW8" s="35"/>
      <c r="EX8" s="291"/>
      <c r="EY8" s="291"/>
      <c r="EZ8" s="291"/>
      <c r="FA8" s="397"/>
      <c r="FB8" s="291"/>
      <c r="FC8" s="291"/>
      <c r="FD8" s="397"/>
      <c r="FE8" s="397"/>
      <c r="FF8" s="397"/>
      <c r="FG8" s="397"/>
      <c r="FH8" s="397"/>
      <c r="FI8" s="35"/>
      <c r="FJ8" s="291"/>
      <c r="FK8" s="291"/>
      <c r="FL8" s="291"/>
      <c r="FM8" s="397"/>
      <c r="FN8" s="291"/>
      <c r="FO8" s="291"/>
      <c r="FP8" s="397"/>
      <c r="FQ8" s="397"/>
      <c r="FR8" s="397"/>
      <c r="FS8" s="397"/>
      <c r="FT8" s="397"/>
      <c r="FU8" s="35"/>
      <c r="FV8" s="291"/>
      <c r="FW8" s="291"/>
      <c r="FX8" s="291"/>
      <c r="FY8" s="397"/>
      <c r="FZ8" s="291"/>
      <c r="GA8" s="291"/>
      <c r="GB8" s="397"/>
      <c r="GC8" s="397"/>
      <c r="GD8" s="397"/>
      <c r="GE8" s="397"/>
      <c r="GF8" s="397"/>
      <c r="GG8" s="35"/>
      <c r="GH8" s="291"/>
      <c r="GI8" s="291"/>
      <c r="GJ8" s="291"/>
      <c r="GK8" s="397"/>
      <c r="GL8" s="291"/>
      <c r="GM8" s="291"/>
      <c r="GN8" s="397"/>
      <c r="GO8" s="397"/>
      <c r="GP8" s="397"/>
      <c r="GQ8" s="397"/>
      <c r="GR8" s="397"/>
      <c r="GS8" s="35"/>
      <c r="GT8" s="291"/>
      <c r="GU8" s="291"/>
      <c r="GV8" s="291"/>
      <c r="GW8" s="397"/>
      <c r="GX8" s="291"/>
      <c r="GY8" s="291"/>
      <c r="GZ8" s="397"/>
      <c r="HA8" s="397"/>
      <c r="HB8" s="397"/>
      <c r="HC8" s="397"/>
      <c r="HD8" s="397"/>
      <c r="HE8" s="35"/>
      <c r="HF8" s="291"/>
      <c r="HG8" s="291"/>
      <c r="HH8" s="291"/>
      <c r="HI8" s="397"/>
      <c r="HJ8" s="291"/>
      <c r="HK8" s="291"/>
      <c r="HL8" s="397"/>
      <c r="HM8" s="397"/>
      <c r="HN8" s="397"/>
      <c r="HO8" s="397"/>
      <c r="HP8" s="397"/>
      <c r="HQ8" s="35"/>
      <c r="HR8" s="291"/>
      <c r="HS8" s="291"/>
      <c r="HT8" s="291"/>
      <c r="HU8" s="397"/>
      <c r="HV8" s="291"/>
      <c r="HW8" s="291"/>
      <c r="HX8" s="397"/>
      <c r="HY8" s="397"/>
      <c r="HZ8" s="397"/>
      <c r="IA8" s="397"/>
      <c r="IB8" s="397"/>
      <c r="IC8" s="35"/>
      <c r="ID8" s="291"/>
      <c r="IE8" s="291"/>
      <c r="IF8" s="291"/>
      <c r="IG8" s="397"/>
      <c r="IH8" s="291"/>
      <c r="II8" s="291"/>
      <c r="IJ8" s="397"/>
      <c r="IK8" s="397"/>
      <c r="IL8" s="397"/>
      <c r="IM8" s="397"/>
      <c r="IN8" s="397"/>
      <c r="IO8" s="35"/>
      <c r="IP8" s="291"/>
      <c r="IQ8" s="291"/>
      <c r="IR8" s="291"/>
    </row>
    <row r="9" spans="1:252" s="5" customFormat="1" ht="14.25">
      <c r="A9" s="36" t="s">
        <v>27</v>
      </c>
      <c r="B9" s="291">
        <v>0.3</v>
      </c>
      <c r="C9" s="291">
        <v>-7</v>
      </c>
      <c r="D9" s="291">
        <v>-13.9</v>
      </c>
      <c r="E9" s="291">
        <v>-32.5</v>
      </c>
      <c r="F9" s="291">
        <v>-12.7</v>
      </c>
      <c r="G9" s="291">
        <v>-8.1</v>
      </c>
      <c r="H9" s="291">
        <v>-5.8</v>
      </c>
      <c r="I9" s="291">
        <v>-4.0999999999999996</v>
      </c>
      <c r="J9" s="291">
        <v>-2.8</v>
      </c>
      <c r="K9" s="291">
        <v>-2.9</v>
      </c>
      <c r="L9" s="291"/>
      <c r="M9" s="291"/>
      <c r="N9" s="291"/>
      <c r="O9" s="291"/>
      <c r="P9" s="291"/>
      <c r="Q9" s="291"/>
      <c r="R9" s="291"/>
      <c r="S9" s="291"/>
      <c r="T9" s="291"/>
      <c r="U9" s="36"/>
      <c r="V9" s="291"/>
      <c r="W9" s="291"/>
      <c r="X9" s="291"/>
      <c r="Y9" s="291"/>
      <c r="Z9" s="291"/>
      <c r="AA9" s="291"/>
      <c r="AB9" s="291"/>
      <c r="AC9" s="291"/>
      <c r="AD9" s="291"/>
      <c r="AE9" s="291"/>
      <c r="AF9" s="291"/>
      <c r="AG9" s="36"/>
      <c r="AH9" s="291"/>
      <c r="AI9" s="291"/>
      <c r="AJ9" s="291"/>
      <c r="AK9" s="291"/>
      <c r="AL9" s="291"/>
      <c r="AM9" s="291"/>
      <c r="AN9" s="291"/>
      <c r="AO9" s="291"/>
      <c r="AP9" s="291"/>
      <c r="AQ9" s="291"/>
      <c r="AR9" s="291"/>
      <c r="AS9" s="36"/>
      <c r="AT9" s="291"/>
      <c r="AU9" s="291"/>
      <c r="AV9" s="291"/>
      <c r="AW9" s="291"/>
      <c r="AX9" s="291"/>
      <c r="AY9" s="291"/>
      <c r="AZ9" s="291"/>
      <c r="BA9" s="291"/>
      <c r="BB9" s="291"/>
      <c r="BC9" s="291"/>
      <c r="BD9" s="291"/>
      <c r="BE9" s="36"/>
      <c r="BF9" s="291"/>
      <c r="BG9" s="291"/>
      <c r="BH9" s="291"/>
      <c r="BI9" s="291"/>
      <c r="BJ9" s="291"/>
      <c r="BK9" s="291"/>
      <c r="BL9" s="291"/>
      <c r="BM9" s="291"/>
      <c r="BN9" s="291"/>
      <c r="BO9" s="291"/>
      <c r="BP9" s="291"/>
      <c r="BQ9" s="36"/>
      <c r="BR9" s="291"/>
      <c r="BS9" s="291"/>
      <c r="BT9" s="291"/>
      <c r="BU9" s="291"/>
      <c r="BV9" s="291"/>
      <c r="BW9" s="291"/>
      <c r="BX9" s="291"/>
      <c r="BY9" s="291"/>
      <c r="BZ9" s="291"/>
      <c r="CA9" s="291"/>
      <c r="CB9" s="291"/>
      <c r="CC9" s="36"/>
      <c r="CD9" s="291"/>
      <c r="CE9" s="291"/>
      <c r="CF9" s="291"/>
      <c r="CG9" s="291"/>
      <c r="CH9" s="291"/>
      <c r="CI9" s="291"/>
      <c r="CJ9" s="291"/>
      <c r="CK9" s="291"/>
      <c r="CL9" s="291"/>
      <c r="CM9" s="291"/>
      <c r="CN9" s="291"/>
      <c r="CO9" s="36"/>
      <c r="CP9" s="291"/>
      <c r="CQ9" s="291"/>
      <c r="CR9" s="291"/>
      <c r="CS9" s="291"/>
      <c r="CT9" s="291"/>
      <c r="CU9" s="291"/>
      <c r="CV9" s="291"/>
      <c r="CW9" s="291"/>
      <c r="CX9" s="291"/>
      <c r="CY9" s="291"/>
      <c r="CZ9" s="291"/>
      <c r="DA9" s="36"/>
      <c r="DB9" s="291"/>
      <c r="DC9" s="291"/>
      <c r="DD9" s="291"/>
      <c r="DE9" s="291"/>
      <c r="DF9" s="291"/>
      <c r="DG9" s="291"/>
      <c r="DH9" s="291"/>
      <c r="DI9" s="291"/>
      <c r="DJ9" s="291"/>
      <c r="DK9" s="291"/>
      <c r="DL9" s="291"/>
      <c r="DM9" s="36"/>
      <c r="DN9" s="291"/>
      <c r="DO9" s="291"/>
      <c r="DP9" s="291"/>
      <c r="DQ9" s="291"/>
      <c r="DR9" s="291"/>
      <c r="DS9" s="291"/>
      <c r="DT9" s="291"/>
      <c r="DU9" s="291"/>
      <c r="DV9" s="291"/>
      <c r="DW9" s="291"/>
      <c r="DX9" s="291"/>
      <c r="DY9" s="36"/>
      <c r="DZ9" s="291"/>
      <c r="EA9" s="291"/>
      <c r="EB9" s="291"/>
      <c r="EC9" s="291"/>
      <c r="ED9" s="291"/>
      <c r="EE9" s="291"/>
      <c r="EF9" s="291"/>
      <c r="EG9" s="291"/>
      <c r="EH9" s="291"/>
      <c r="EI9" s="291"/>
      <c r="EJ9" s="291"/>
      <c r="EK9" s="36"/>
      <c r="EL9" s="291"/>
      <c r="EM9" s="291"/>
      <c r="EN9" s="291"/>
      <c r="EO9" s="291"/>
      <c r="EP9" s="291"/>
      <c r="EQ9" s="291"/>
      <c r="ER9" s="291"/>
      <c r="ES9" s="291"/>
      <c r="ET9" s="291"/>
      <c r="EU9" s="291"/>
      <c r="EV9" s="291"/>
      <c r="EW9" s="36"/>
      <c r="EX9" s="291"/>
      <c r="EY9" s="291"/>
      <c r="EZ9" s="291"/>
      <c r="FA9" s="291"/>
      <c r="FB9" s="291"/>
      <c r="FC9" s="291"/>
      <c r="FD9" s="291"/>
      <c r="FE9" s="291"/>
      <c r="FF9" s="291"/>
      <c r="FG9" s="291"/>
      <c r="FH9" s="291"/>
      <c r="FI9" s="36"/>
      <c r="FJ9" s="291"/>
      <c r="FK9" s="291"/>
      <c r="FL9" s="291"/>
      <c r="FM9" s="291"/>
      <c r="FN9" s="291"/>
      <c r="FO9" s="291"/>
      <c r="FP9" s="291"/>
      <c r="FQ9" s="291"/>
      <c r="FR9" s="291"/>
      <c r="FS9" s="291"/>
      <c r="FT9" s="291"/>
      <c r="FU9" s="36"/>
      <c r="FV9" s="291"/>
      <c r="FW9" s="291"/>
      <c r="FX9" s="291"/>
      <c r="FY9" s="291"/>
      <c r="FZ9" s="291"/>
      <c r="GA9" s="291"/>
      <c r="GB9" s="291"/>
      <c r="GC9" s="291"/>
      <c r="GD9" s="291"/>
      <c r="GE9" s="291"/>
      <c r="GF9" s="291"/>
      <c r="GG9" s="36"/>
      <c r="GH9" s="291"/>
      <c r="GI9" s="291"/>
      <c r="GJ9" s="291"/>
      <c r="GK9" s="291"/>
      <c r="GL9" s="291"/>
      <c r="GM9" s="291"/>
      <c r="GN9" s="291"/>
      <c r="GO9" s="291"/>
      <c r="GP9" s="291"/>
      <c r="GQ9" s="291"/>
      <c r="GR9" s="291"/>
      <c r="GS9" s="36"/>
      <c r="GT9" s="291"/>
      <c r="GU9" s="291"/>
      <c r="GV9" s="291"/>
      <c r="GW9" s="291"/>
      <c r="GX9" s="291"/>
      <c r="GY9" s="291"/>
      <c r="GZ9" s="291"/>
      <c r="HA9" s="291"/>
      <c r="HB9" s="291"/>
      <c r="HC9" s="291"/>
      <c r="HD9" s="291"/>
      <c r="HE9" s="36"/>
      <c r="HF9" s="291"/>
      <c r="HG9" s="291"/>
      <c r="HH9" s="291"/>
      <c r="HI9" s="291"/>
      <c r="HJ9" s="291"/>
      <c r="HK9" s="291"/>
      <c r="HL9" s="291"/>
      <c r="HM9" s="291"/>
      <c r="HN9" s="291"/>
      <c r="HO9" s="291"/>
      <c r="HP9" s="291"/>
      <c r="HQ9" s="36"/>
      <c r="HR9" s="291"/>
      <c r="HS9" s="291"/>
      <c r="HT9" s="291"/>
      <c r="HU9" s="291"/>
      <c r="HV9" s="291"/>
      <c r="HW9" s="291"/>
      <c r="HX9" s="291"/>
      <c r="HY9" s="291"/>
      <c r="HZ9" s="291"/>
      <c r="IA9" s="291"/>
      <c r="IB9" s="291"/>
      <c r="IC9" s="36"/>
      <c r="ID9" s="291"/>
      <c r="IE9" s="291"/>
      <c r="IF9" s="291"/>
      <c r="IG9" s="291"/>
      <c r="IH9" s="291"/>
      <c r="II9" s="291"/>
      <c r="IJ9" s="291"/>
      <c r="IK9" s="291"/>
      <c r="IL9" s="291"/>
      <c r="IM9" s="291"/>
      <c r="IN9" s="291"/>
      <c r="IO9" s="36"/>
      <c r="IP9" s="291"/>
      <c r="IQ9" s="291"/>
      <c r="IR9" s="291"/>
    </row>
    <row r="10" spans="1:252" s="5" customFormat="1" ht="14.25">
      <c r="A10" s="35" t="s">
        <v>26</v>
      </c>
      <c r="B10" s="291">
        <v>-6.7</v>
      </c>
      <c r="C10" s="291">
        <v>-9.9</v>
      </c>
      <c r="D10" s="291">
        <v>-15.3</v>
      </c>
      <c r="E10" s="291">
        <v>-11.1</v>
      </c>
      <c r="F10" s="291">
        <v>-10.199999999999999</v>
      </c>
      <c r="G10" s="291">
        <v>-8.6999999999999993</v>
      </c>
      <c r="H10" s="291">
        <v>-12.3</v>
      </c>
      <c r="I10" s="291">
        <v>-3.5</v>
      </c>
      <c r="J10" s="291">
        <v>-2.1</v>
      </c>
      <c r="K10" s="291">
        <v>-2.2000000000000002</v>
      </c>
      <c r="L10" s="291"/>
      <c r="M10" s="291"/>
      <c r="N10" s="291"/>
      <c r="O10" s="291"/>
      <c r="P10" s="291"/>
      <c r="Q10" s="291"/>
      <c r="R10" s="291"/>
      <c r="S10" s="291"/>
      <c r="T10" s="291"/>
      <c r="U10" s="35"/>
      <c r="V10" s="291"/>
      <c r="W10" s="291"/>
      <c r="X10" s="291"/>
      <c r="Y10" s="291"/>
      <c r="Z10" s="291"/>
      <c r="AA10" s="291"/>
      <c r="AB10" s="291"/>
      <c r="AC10" s="291"/>
      <c r="AD10" s="291"/>
      <c r="AE10" s="291"/>
      <c r="AF10" s="291"/>
      <c r="AG10" s="35"/>
      <c r="AH10" s="291"/>
      <c r="AI10" s="291"/>
      <c r="AJ10" s="291"/>
      <c r="AK10" s="291"/>
      <c r="AL10" s="291"/>
      <c r="AM10" s="291"/>
      <c r="AN10" s="291"/>
      <c r="AO10" s="291"/>
      <c r="AP10" s="291"/>
      <c r="AQ10" s="291"/>
      <c r="AR10" s="291"/>
      <c r="AS10" s="35"/>
      <c r="AT10" s="291"/>
      <c r="AU10" s="291"/>
      <c r="AV10" s="291"/>
      <c r="AW10" s="291"/>
      <c r="AX10" s="291"/>
      <c r="AY10" s="291"/>
      <c r="AZ10" s="291"/>
      <c r="BA10" s="291"/>
      <c r="BB10" s="291"/>
      <c r="BC10" s="291"/>
      <c r="BD10" s="291"/>
      <c r="BE10" s="35"/>
      <c r="BF10" s="291"/>
      <c r="BG10" s="291"/>
      <c r="BH10" s="291"/>
      <c r="BI10" s="291"/>
      <c r="BJ10" s="291"/>
      <c r="BK10" s="291"/>
      <c r="BL10" s="291"/>
      <c r="BM10" s="291"/>
      <c r="BN10" s="291"/>
      <c r="BO10" s="291"/>
      <c r="BP10" s="291"/>
      <c r="BQ10" s="35"/>
      <c r="BR10" s="291"/>
      <c r="BS10" s="291"/>
      <c r="BT10" s="291"/>
      <c r="BU10" s="291"/>
      <c r="BV10" s="291"/>
      <c r="BW10" s="291"/>
      <c r="BX10" s="291"/>
      <c r="BY10" s="291"/>
      <c r="BZ10" s="291"/>
      <c r="CA10" s="291"/>
      <c r="CB10" s="291"/>
      <c r="CC10" s="35"/>
      <c r="CD10" s="291"/>
      <c r="CE10" s="291"/>
      <c r="CF10" s="291"/>
      <c r="CG10" s="291"/>
      <c r="CH10" s="291"/>
      <c r="CI10" s="291"/>
      <c r="CJ10" s="291"/>
      <c r="CK10" s="291"/>
      <c r="CL10" s="291"/>
      <c r="CM10" s="291"/>
      <c r="CN10" s="291"/>
      <c r="CO10" s="35"/>
      <c r="CP10" s="291"/>
      <c r="CQ10" s="291"/>
      <c r="CR10" s="291"/>
      <c r="CS10" s="291"/>
      <c r="CT10" s="291"/>
      <c r="CU10" s="291"/>
      <c r="CV10" s="291"/>
      <c r="CW10" s="291"/>
      <c r="CX10" s="291"/>
      <c r="CY10" s="291"/>
      <c r="CZ10" s="291"/>
      <c r="DA10" s="35"/>
      <c r="DB10" s="291"/>
      <c r="DC10" s="291"/>
      <c r="DD10" s="291"/>
      <c r="DE10" s="291"/>
      <c r="DF10" s="291"/>
      <c r="DG10" s="291"/>
      <c r="DH10" s="291"/>
      <c r="DI10" s="291"/>
      <c r="DJ10" s="291"/>
      <c r="DK10" s="291"/>
      <c r="DL10" s="291"/>
      <c r="DM10" s="35"/>
      <c r="DN10" s="291"/>
      <c r="DO10" s="291"/>
      <c r="DP10" s="291"/>
      <c r="DQ10" s="291"/>
      <c r="DR10" s="291"/>
      <c r="DS10" s="291"/>
      <c r="DT10" s="291"/>
      <c r="DU10" s="291"/>
      <c r="DV10" s="291"/>
      <c r="DW10" s="291"/>
      <c r="DX10" s="291"/>
      <c r="DY10" s="35"/>
      <c r="DZ10" s="291"/>
      <c r="EA10" s="291"/>
      <c r="EB10" s="291"/>
      <c r="EC10" s="291"/>
      <c r="ED10" s="291"/>
      <c r="EE10" s="291"/>
      <c r="EF10" s="291"/>
      <c r="EG10" s="291"/>
      <c r="EH10" s="291"/>
      <c r="EI10" s="291"/>
      <c r="EJ10" s="291"/>
      <c r="EK10" s="35"/>
      <c r="EL10" s="291"/>
      <c r="EM10" s="291"/>
      <c r="EN10" s="291"/>
      <c r="EO10" s="291"/>
      <c r="EP10" s="291"/>
      <c r="EQ10" s="291"/>
      <c r="ER10" s="291"/>
      <c r="ES10" s="291"/>
      <c r="ET10" s="291"/>
      <c r="EU10" s="291"/>
      <c r="EV10" s="291"/>
      <c r="EW10" s="35"/>
      <c r="EX10" s="291"/>
      <c r="EY10" s="291"/>
      <c r="EZ10" s="291"/>
      <c r="FA10" s="291"/>
      <c r="FB10" s="291"/>
      <c r="FC10" s="291"/>
      <c r="FD10" s="291"/>
      <c r="FE10" s="291"/>
      <c r="FF10" s="291"/>
      <c r="FG10" s="291"/>
      <c r="FH10" s="291"/>
      <c r="FI10" s="35"/>
      <c r="FJ10" s="291"/>
      <c r="FK10" s="291"/>
      <c r="FL10" s="291"/>
      <c r="FM10" s="291"/>
      <c r="FN10" s="291"/>
      <c r="FO10" s="291"/>
      <c r="FP10" s="291"/>
      <c r="FQ10" s="291"/>
      <c r="FR10" s="291"/>
      <c r="FS10" s="291"/>
      <c r="FT10" s="291"/>
      <c r="FU10" s="35"/>
      <c r="FV10" s="291"/>
      <c r="FW10" s="291"/>
      <c r="FX10" s="291"/>
      <c r="FY10" s="291"/>
      <c r="FZ10" s="291"/>
      <c r="GA10" s="291"/>
      <c r="GB10" s="291"/>
      <c r="GC10" s="291"/>
      <c r="GD10" s="291"/>
      <c r="GE10" s="291"/>
      <c r="GF10" s="291"/>
      <c r="GG10" s="35"/>
      <c r="GH10" s="291"/>
      <c r="GI10" s="291"/>
      <c r="GJ10" s="291"/>
      <c r="GK10" s="291"/>
      <c r="GL10" s="291"/>
      <c r="GM10" s="291"/>
      <c r="GN10" s="291"/>
      <c r="GO10" s="291"/>
      <c r="GP10" s="291"/>
      <c r="GQ10" s="291"/>
      <c r="GR10" s="291"/>
      <c r="GS10" s="35"/>
      <c r="GT10" s="291"/>
      <c r="GU10" s="291"/>
      <c r="GV10" s="291"/>
      <c r="GW10" s="291"/>
      <c r="GX10" s="291"/>
      <c r="GY10" s="291"/>
      <c r="GZ10" s="291"/>
      <c r="HA10" s="291"/>
      <c r="HB10" s="291"/>
      <c r="HC10" s="291"/>
      <c r="HD10" s="291"/>
      <c r="HE10" s="35"/>
      <c r="HF10" s="291"/>
      <c r="HG10" s="291"/>
      <c r="HH10" s="291"/>
      <c r="HI10" s="291"/>
      <c r="HJ10" s="291"/>
      <c r="HK10" s="291"/>
      <c r="HL10" s="291"/>
      <c r="HM10" s="291"/>
      <c r="HN10" s="291"/>
      <c r="HO10" s="291"/>
      <c r="HP10" s="291"/>
      <c r="HQ10" s="35"/>
      <c r="HR10" s="291"/>
      <c r="HS10" s="291"/>
      <c r="HT10" s="291"/>
      <c r="HU10" s="291"/>
      <c r="HV10" s="291"/>
      <c r="HW10" s="291"/>
      <c r="HX10" s="291"/>
      <c r="HY10" s="291"/>
      <c r="HZ10" s="291"/>
      <c r="IA10" s="291"/>
      <c r="IB10" s="291"/>
      <c r="IC10" s="35"/>
      <c r="ID10" s="291"/>
      <c r="IE10" s="291"/>
      <c r="IF10" s="291"/>
      <c r="IG10" s="291"/>
      <c r="IH10" s="291"/>
      <c r="II10" s="291"/>
      <c r="IJ10" s="291"/>
      <c r="IK10" s="291"/>
      <c r="IL10" s="291"/>
      <c r="IM10" s="291"/>
      <c r="IN10" s="291"/>
      <c r="IO10" s="35"/>
      <c r="IP10" s="291"/>
      <c r="IQ10" s="291"/>
      <c r="IR10" s="291"/>
    </row>
    <row r="11" spans="1:252" s="5" customFormat="1" ht="14.25">
      <c r="A11" s="35" t="s">
        <v>25</v>
      </c>
      <c r="B11" s="291">
        <v>2</v>
      </c>
      <c r="C11" s="291">
        <v>-4.4000000000000004</v>
      </c>
      <c r="D11" s="291">
        <v>-11</v>
      </c>
      <c r="E11" s="291">
        <v>-9.4</v>
      </c>
      <c r="F11" s="291">
        <v>-9.4</v>
      </c>
      <c r="G11" s="397">
        <v>-10.3</v>
      </c>
      <c r="H11" s="291">
        <v>-6.8</v>
      </c>
      <c r="I11" s="258">
        <v>-5.8</v>
      </c>
      <c r="J11" s="291">
        <v>-4.5</v>
      </c>
      <c r="K11" s="291">
        <v>-3.5</v>
      </c>
      <c r="L11" s="291"/>
      <c r="M11" s="291"/>
      <c r="N11" s="291"/>
      <c r="O11" s="291"/>
      <c r="P11" s="291"/>
      <c r="Q11" s="291"/>
      <c r="R11" s="291"/>
      <c r="S11" s="397"/>
      <c r="T11" s="397"/>
      <c r="U11" s="35"/>
      <c r="V11" s="291"/>
      <c r="W11" s="291"/>
      <c r="X11" s="291"/>
      <c r="Y11" s="291"/>
      <c r="Z11" s="291"/>
      <c r="AA11" s="291"/>
      <c r="AB11" s="397"/>
      <c r="AC11" s="397"/>
      <c r="AD11" s="397"/>
      <c r="AE11" s="397"/>
      <c r="AF11" s="397"/>
      <c r="AG11" s="35"/>
      <c r="AH11" s="291"/>
      <c r="AI11" s="291"/>
      <c r="AJ11" s="291"/>
      <c r="AK11" s="291"/>
      <c r="AL11" s="291"/>
      <c r="AM11" s="291"/>
      <c r="AN11" s="397"/>
      <c r="AO11" s="397"/>
      <c r="AP11" s="397"/>
      <c r="AQ11" s="397"/>
      <c r="AR11" s="397"/>
      <c r="AS11" s="35"/>
      <c r="AT11" s="291"/>
      <c r="AU11" s="291"/>
      <c r="AV11" s="291"/>
      <c r="AW11" s="291"/>
      <c r="AX11" s="291"/>
      <c r="AY11" s="291"/>
      <c r="AZ11" s="397"/>
      <c r="BA11" s="397"/>
      <c r="BB11" s="397"/>
      <c r="BC11" s="397"/>
      <c r="BD11" s="397"/>
      <c r="BE11" s="35"/>
      <c r="BF11" s="291"/>
      <c r="BG11" s="291"/>
      <c r="BH11" s="291"/>
      <c r="BI11" s="291"/>
      <c r="BJ11" s="291"/>
      <c r="BK11" s="291"/>
      <c r="BL11" s="397"/>
      <c r="BM11" s="397"/>
      <c r="BN11" s="397"/>
      <c r="BO11" s="397"/>
      <c r="BP11" s="397"/>
      <c r="BQ11" s="35"/>
      <c r="BR11" s="291"/>
      <c r="BS11" s="291"/>
      <c r="BT11" s="291"/>
      <c r="BU11" s="291"/>
      <c r="BV11" s="291"/>
      <c r="BW11" s="291"/>
      <c r="BX11" s="397"/>
      <c r="BY11" s="397"/>
      <c r="BZ11" s="397"/>
      <c r="CA11" s="397"/>
      <c r="CB11" s="397"/>
      <c r="CC11" s="35"/>
      <c r="CD11" s="291"/>
      <c r="CE11" s="291"/>
      <c r="CF11" s="291"/>
      <c r="CG11" s="291"/>
      <c r="CH11" s="291"/>
      <c r="CI11" s="291"/>
      <c r="CJ11" s="397"/>
      <c r="CK11" s="397"/>
      <c r="CL11" s="397"/>
      <c r="CM11" s="397"/>
      <c r="CN11" s="397"/>
      <c r="CO11" s="35"/>
      <c r="CP11" s="291"/>
      <c r="CQ11" s="291"/>
      <c r="CR11" s="291"/>
      <c r="CS11" s="291"/>
      <c r="CT11" s="291"/>
      <c r="CU11" s="291"/>
      <c r="CV11" s="397"/>
      <c r="CW11" s="397"/>
      <c r="CX11" s="397"/>
      <c r="CY11" s="397"/>
      <c r="CZ11" s="397"/>
      <c r="DA11" s="35"/>
      <c r="DB11" s="291"/>
      <c r="DC11" s="291"/>
      <c r="DD11" s="291"/>
      <c r="DE11" s="291"/>
      <c r="DF11" s="291"/>
      <c r="DG11" s="291"/>
      <c r="DH11" s="397"/>
      <c r="DI11" s="397"/>
      <c r="DJ11" s="397"/>
      <c r="DK11" s="397"/>
      <c r="DL11" s="397"/>
      <c r="DM11" s="35"/>
      <c r="DN11" s="291"/>
      <c r="DO11" s="291"/>
      <c r="DP11" s="291"/>
      <c r="DQ11" s="291"/>
      <c r="DR11" s="291"/>
      <c r="DS11" s="291"/>
      <c r="DT11" s="397"/>
      <c r="DU11" s="397"/>
      <c r="DV11" s="397"/>
      <c r="DW11" s="397"/>
      <c r="DX11" s="397"/>
      <c r="DY11" s="35"/>
      <c r="DZ11" s="291"/>
      <c r="EA11" s="291"/>
      <c r="EB11" s="291"/>
      <c r="EC11" s="291"/>
      <c r="ED11" s="291"/>
      <c r="EE11" s="291"/>
      <c r="EF11" s="397"/>
      <c r="EG11" s="397"/>
      <c r="EH11" s="397"/>
      <c r="EI11" s="397"/>
      <c r="EJ11" s="397"/>
      <c r="EK11" s="35"/>
      <c r="EL11" s="291"/>
      <c r="EM11" s="291"/>
      <c r="EN11" s="291"/>
      <c r="EO11" s="291"/>
      <c r="EP11" s="291"/>
      <c r="EQ11" s="291"/>
      <c r="ER11" s="397"/>
      <c r="ES11" s="397"/>
      <c r="ET11" s="397"/>
      <c r="EU11" s="397"/>
      <c r="EV11" s="397"/>
      <c r="EW11" s="35"/>
      <c r="EX11" s="291"/>
      <c r="EY11" s="291"/>
      <c r="EZ11" s="291"/>
      <c r="FA11" s="291"/>
      <c r="FB11" s="291"/>
      <c r="FC11" s="291"/>
      <c r="FD11" s="397"/>
      <c r="FE11" s="397"/>
      <c r="FF11" s="397"/>
      <c r="FG11" s="397"/>
      <c r="FH11" s="397"/>
      <c r="FI11" s="35"/>
      <c r="FJ11" s="291"/>
      <c r="FK11" s="291"/>
      <c r="FL11" s="291"/>
      <c r="FM11" s="291"/>
      <c r="FN11" s="291"/>
      <c r="FO11" s="291"/>
      <c r="FP11" s="397"/>
      <c r="FQ11" s="397"/>
      <c r="FR11" s="397"/>
      <c r="FS11" s="397"/>
      <c r="FT11" s="397"/>
      <c r="FU11" s="35"/>
      <c r="FV11" s="291"/>
      <c r="FW11" s="291"/>
      <c r="FX11" s="291"/>
      <c r="FY11" s="291"/>
      <c r="FZ11" s="291"/>
      <c r="GA11" s="291"/>
      <c r="GB11" s="397"/>
      <c r="GC11" s="397"/>
      <c r="GD11" s="397"/>
      <c r="GE11" s="397"/>
      <c r="GF11" s="397"/>
      <c r="GG11" s="35"/>
      <c r="GH11" s="291"/>
      <c r="GI11" s="291"/>
      <c r="GJ11" s="291"/>
      <c r="GK11" s="291"/>
      <c r="GL11" s="291"/>
      <c r="GM11" s="291"/>
      <c r="GN11" s="397"/>
      <c r="GO11" s="397"/>
      <c r="GP11" s="397"/>
      <c r="GQ11" s="397"/>
      <c r="GR11" s="397"/>
      <c r="GS11" s="35"/>
      <c r="GT11" s="291"/>
      <c r="GU11" s="291"/>
      <c r="GV11" s="291"/>
      <c r="GW11" s="291"/>
      <c r="GX11" s="291"/>
      <c r="GY11" s="291"/>
      <c r="GZ11" s="397"/>
      <c r="HA11" s="397"/>
      <c r="HB11" s="397"/>
      <c r="HC11" s="397"/>
      <c r="HD11" s="397"/>
      <c r="HE11" s="35"/>
      <c r="HF11" s="291"/>
      <c r="HG11" s="291"/>
      <c r="HH11" s="291"/>
      <c r="HI11" s="291"/>
      <c r="HJ11" s="291"/>
      <c r="HK11" s="291"/>
      <c r="HL11" s="397"/>
      <c r="HM11" s="397"/>
      <c r="HN11" s="397"/>
      <c r="HO11" s="397"/>
      <c r="HP11" s="397"/>
      <c r="HQ11" s="35"/>
      <c r="HR11" s="291"/>
      <c r="HS11" s="291"/>
      <c r="HT11" s="291"/>
      <c r="HU11" s="291"/>
      <c r="HV11" s="291"/>
      <c r="HW11" s="291"/>
      <c r="HX11" s="397"/>
      <c r="HY11" s="397"/>
      <c r="HZ11" s="397"/>
      <c r="IA11" s="397"/>
      <c r="IB11" s="397"/>
      <c r="IC11" s="35"/>
      <c r="ID11" s="291"/>
      <c r="IE11" s="291"/>
      <c r="IF11" s="291"/>
      <c r="IG11" s="291"/>
      <c r="IH11" s="291"/>
      <c r="II11" s="291"/>
      <c r="IJ11" s="397"/>
      <c r="IK11" s="397"/>
      <c r="IL11" s="397"/>
      <c r="IM11" s="397"/>
      <c r="IN11" s="397"/>
      <c r="IO11" s="35"/>
      <c r="IP11" s="291"/>
      <c r="IQ11" s="291"/>
      <c r="IR11" s="291"/>
    </row>
    <row r="12" spans="1:252" s="5" customFormat="1" ht="14.25">
      <c r="A12" s="35" t="s">
        <v>24</v>
      </c>
      <c r="B12" s="291">
        <v>-2.5</v>
      </c>
      <c r="C12" s="291">
        <v>-3.2</v>
      </c>
      <c r="D12" s="291">
        <v>-7.2</v>
      </c>
      <c r="E12" s="291">
        <v>-6.8</v>
      </c>
      <c r="F12" s="291">
        <v>-5.0999999999999996</v>
      </c>
      <c r="G12" s="397">
        <v>-4.8</v>
      </c>
      <c r="H12" s="291">
        <v>-4.0999999999999996</v>
      </c>
      <c r="I12" s="291">
        <v>-4</v>
      </c>
      <c r="J12" s="291">
        <v>-3.8</v>
      </c>
      <c r="K12" s="291">
        <v>-3.5</v>
      </c>
      <c r="L12" s="291"/>
      <c r="M12" s="291"/>
      <c r="N12" s="291"/>
      <c r="O12" s="291"/>
      <c r="P12" s="291"/>
      <c r="Q12" s="291"/>
      <c r="R12" s="291"/>
      <c r="S12" s="397"/>
      <c r="T12" s="397"/>
      <c r="U12" s="35"/>
      <c r="V12" s="291"/>
      <c r="W12" s="291"/>
      <c r="X12" s="291"/>
      <c r="Y12" s="291"/>
      <c r="Z12" s="291"/>
      <c r="AA12" s="291"/>
      <c r="AB12" s="397"/>
      <c r="AC12" s="397"/>
      <c r="AD12" s="397"/>
      <c r="AE12" s="397"/>
      <c r="AF12" s="397"/>
      <c r="AG12" s="35"/>
      <c r="AH12" s="291"/>
      <c r="AI12" s="291"/>
      <c r="AJ12" s="291"/>
      <c r="AK12" s="291"/>
      <c r="AL12" s="291"/>
      <c r="AM12" s="291"/>
      <c r="AN12" s="397"/>
      <c r="AO12" s="397"/>
      <c r="AP12" s="397"/>
      <c r="AQ12" s="397"/>
      <c r="AR12" s="397"/>
      <c r="AS12" s="35"/>
      <c r="AT12" s="291"/>
      <c r="AU12" s="291"/>
      <c r="AV12" s="291"/>
      <c r="AW12" s="291"/>
      <c r="AX12" s="291"/>
      <c r="AY12" s="291"/>
      <c r="AZ12" s="397"/>
      <c r="BA12" s="397"/>
      <c r="BB12" s="397"/>
      <c r="BC12" s="397"/>
      <c r="BD12" s="397"/>
      <c r="BE12" s="35"/>
      <c r="BF12" s="291"/>
      <c r="BG12" s="291"/>
      <c r="BH12" s="291"/>
      <c r="BI12" s="291"/>
      <c r="BJ12" s="291"/>
      <c r="BK12" s="291"/>
      <c r="BL12" s="397"/>
      <c r="BM12" s="397"/>
      <c r="BN12" s="397"/>
      <c r="BO12" s="397"/>
      <c r="BP12" s="397"/>
      <c r="BQ12" s="35"/>
      <c r="BR12" s="291"/>
      <c r="BS12" s="291"/>
      <c r="BT12" s="291"/>
      <c r="BU12" s="291"/>
      <c r="BV12" s="291"/>
      <c r="BW12" s="291"/>
      <c r="BX12" s="397"/>
      <c r="BY12" s="397"/>
      <c r="BZ12" s="397"/>
      <c r="CA12" s="397"/>
      <c r="CB12" s="397"/>
      <c r="CC12" s="35"/>
      <c r="CD12" s="291"/>
      <c r="CE12" s="291"/>
      <c r="CF12" s="291"/>
      <c r="CG12" s="291"/>
      <c r="CH12" s="291"/>
      <c r="CI12" s="291"/>
      <c r="CJ12" s="397"/>
      <c r="CK12" s="397"/>
      <c r="CL12" s="397"/>
      <c r="CM12" s="397"/>
      <c r="CN12" s="397"/>
      <c r="CO12" s="35"/>
      <c r="CP12" s="291"/>
      <c r="CQ12" s="291"/>
      <c r="CR12" s="291"/>
      <c r="CS12" s="291"/>
      <c r="CT12" s="291"/>
      <c r="CU12" s="291"/>
      <c r="CV12" s="397"/>
      <c r="CW12" s="397"/>
      <c r="CX12" s="397"/>
      <c r="CY12" s="397"/>
      <c r="CZ12" s="397"/>
      <c r="DA12" s="35"/>
      <c r="DB12" s="291"/>
      <c r="DC12" s="291"/>
      <c r="DD12" s="291"/>
      <c r="DE12" s="291"/>
      <c r="DF12" s="291"/>
      <c r="DG12" s="291"/>
      <c r="DH12" s="397"/>
      <c r="DI12" s="397"/>
      <c r="DJ12" s="397"/>
      <c r="DK12" s="397"/>
      <c r="DL12" s="397"/>
      <c r="DM12" s="35"/>
      <c r="DN12" s="291"/>
      <c r="DO12" s="291"/>
      <c r="DP12" s="291"/>
      <c r="DQ12" s="291"/>
      <c r="DR12" s="291"/>
      <c r="DS12" s="291"/>
      <c r="DT12" s="397"/>
      <c r="DU12" s="397"/>
      <c r="DV12" s="397"/>
      <c r="DW12" s="397"/>
      <c r="DX12" s="397"/>
      <c r="DY12" s="35"/>
      <c r="DZ12" s="291"/>
      <c r="EA12" s="291"/>
      <c r="EB12" s="291"/>
      <c r="EC12" s="291"/>
      <c r="ED12" s="291"/>
      <c r="EE12" s="291"/>
      <c r="EF12" s="397"/>
      <c r="EG12" s="397"/>
      <c r="EH12" s="397"/>
      <c r="EI12" s="397"/>
      <c r="EJ12" s="397"/>
      <c r="EK12" s="35"/>
      <c r="EL12" s="291"/>
      <c r="EM12" s="291"/>
      <c r="EN12" s="291"/>
      <c r="EO12" s="291"/>
      <c r="EP12" s="291"/>
      <c r="EQ12" s="291"/>
      <c r="ER12" s="397"/>
      <c r="ES12" s="397"/>
      <c r="ET12" s="397"/>
      <c r="EU12" s="397"/>
      <c r="EV12" s="397"/>
      <c r="EW12" s="35"/>
      <c r="EX12" s="291"/>
      <c r="EY12" s="291"/>
      <c r="EZ12" s="291"/>
      <c r="FA12" s="291"/>
      <c r="FB12" s="291"/>
      <c r="FC12" s="291"/>
      <c r="FD12" s="397"/>
      <c r="FE12" s="397"/>
      <c r="FF12" s="397"/>
      <c r="FG12" s="397"/>
      <c r="FH12" s="397"/>
      <c r="FI12" s="35"/>
      <c r="FJ12" s="291"/>
      <c r="FK12" s="291"/>
      <c r="FL12" s="291"/>
      <c r="FM12" s="291"/>
      <c r="FN12" s="291"/>
      <c r="FO12" s="291"/>
      <c r="FP12" s="397"/>
      <c r="FQ12" s="397"/>
      <c r="FR12" s="397"/>
      <c r="FS12" s="397"/>
      <c r="FT12" s="397"/>
      <c r="FU12" s="35"/>
      <c r="FV12" s="291"/>
      <c r="FW12" s="291"/>
      <c r="FX12" s="291"/>
      <c r="FY12" s="291"/>
      <c r="FZ12" s="291"/>
      <c r="GA12" s="291"/>
      <c r="GB12" s="397"/>
      <c r="GC12" s="397"/>
      <c r="GD12" s="397"/>
      <c r="GE12" s="397"/>
      <c r="GF12" s="397"/>
      <c r="GG12" s="35"/>
      <c r="GH12" s="291"/>
      <c r="GI12" s="291"/>
      <c r="GJ12" s="291"/>
      <c r="GK12" s="291"/>
      <c r="GL12" s="291"/>
      <c r="GM12" s="291"/>
      <c r="GN12" s="397"/>
      <c r="GO12" s="397"/>
      <c r="GP12" s="397"/>
      <c r="GQ12" s="397"/>
      <c r="GR12" s="397"/>
      <c r="GS12" s="35"/>
      <c r="GT12" s="291"/>
      <c r="GU12" s="291"/>
      <c r="GV12" s="291"/>
      <c r="GW12" s="291"/>
      <c r="GX12" s="291"/>
      <c r="GY12" s="291"/>
      <c r="GZ12" s="397"/>
      <c r="HA12" s="397"/>
      <c r="HB12" s="397"/>
      <c r="HC12" s="397"/>
      <c r="HD12" s="397"/>
      <c r="HE12" s="35"/>
      <c r="HF12" s="291"/>
      <c r="HG12" s="291"/>
      <c r="HH12" s="291"/>
      <c r="HI12" s="291"/>
      <c r="HJ12" s="291"/>
      <c r="HK12" s="291"/>
      <c r="HL12" s="397"/>
      <c r="HM12" s="397"/>
      <c r="HN12" s="397"/>
      <c r="HO12" s="397"/>
      <c r="HP12" s="397"/>
      <c r="HQ12" s="35"/>
      <c r="HR12" s="291"/>
      <c r="HS12" s="291"/>
      <c r="HT12" s="291"/>
      <c r="HU12" s="291"/>
      <c r="HV12" s="291"/>
      <c r="HW12" s="291"/>
      <c r="HX12" s="397"/>
      <c r="HY12" s="397"/>
      <c r="HZ12" s="397"/>
      <c r="IA12" s="397"/>
      <c r="IB12" s="397"/>
      <c r="IC12" s="35"/>
      <c r="ID12" s="291"/>
      <c r="IE12" s="291"/>
      <c r="IF12" s="291"/>
      <c r="IG12" s="291"/>
      <c r="IH12" s="291"/>
      <c r="II12" s="291"/>
      <c r="IJ12" s="397"/>
      <c r="IK12" s="397"/>
      <c r="IL12" s="397"/>
      <c r="IM12" s="397"/>
      <c r="IN12" s="397"/>
      <c r="IO12" s="35"/>
      <c r="IP12" s="291"/>
      <c r="IQ12" s="291"/>
      <c r="IR12" s="291"/>
    </row>
    <row r="13" spans="1:252" s="5" customFormat="1" ht="14.25">
      <c r="A13" s="35" t="s">
        <v>23</v>
      </c>
      <c r="B13" s="291">
        <v>-1.5</v>
      </c>
      <c r="C13" s="291">
        <v>-2.7</v>
      </c>
      <c r="D13" s="291">
        <v>-5.3</v>
      </c>
      <c r="E13" s="291">
        <v>-4.2</v>
      </c>
      <c r="F13" s="291">
        <v>-3.5</v>
      </c>
      <c r="G13" s="397">
        <v>-3</v>
      </c>
      <c r="H13" s="291">
        <v>-2.9</v>
      </c>
      <c r="I13" s="291">
        <v>-3</v>
      </c>
      <c r="J13" s="291">
        <v>-2.6</v>
      </c>
      <c r="K13" s="291">
        <v>-2</v>
      </c>
      <c r="L13" s="291"/>
      <c r="M13" s="291"/>
      <c r="N13" s="291"/>
      <c r="O13" s="291"/>
      <c r="P13" s="291"/>
      <c r="Q13" s="291"/>
      <c r="R13" s="291"/>
      <c r="S13" s="397"/>
      <c r="T13" s="397"/>
      <c r="U13" s="35"/>
      <c r="V13" s="291"/>
      <c r="W13" s="291"/>
      <c r="X13" s="291"/>
      <c r="Y13" s="397"/>
      <c r="Z13" s="291"/>
      <c r="AA13" s="291"/>
      <c r="AB13" s="397"/>
      <c r="AC13" s="397"/>
      <c r="AD13" s="397"/>
      <c r="AE13" s="397"/>
      <c r="AF13" s="397"/>
      <c r="AG13" s="35"/>
      <c r="AH13" s="291"/>
      <c r="AI13" s="291"/>
      <c r="AJ13" s="291"/>
      <c r="AK13" s="397"/>
      <c r="AL13" s="291"/>
      <c r="AM13" s="291"/>
      <c r="AN13" s="397"/>
      <c r="AO13" s="397"/>
      <c r="AP13" s="397"/>
      <c r="AQ13" s="397"/>
      <c r="AR13" s="397"/>
      <c r="AS13" s="35"/>
      <c r="AT13" s="291"/>
      <c r="AU13" s="291"/>
      <c r="AV13" s="291"/>
      <c r="AW13" s="397"/>
      <c r="AX13" s="291"/>
      <c r="AY13" s="291"/>
      <c r="AZ13" s="397"/>
      <c r="BA13" s="397"/>
      <c r="BB13" s="397"/>
      <c r="BC13" s="397"/>
      <c r="BD13" s="397"/>
      <c r="BE13" s="35"/>
      <c r="BF13" s="291"/>
      <c r="BG13" s="291"/>
      <c r="BH13" s="291"/>
      <c r="BI13" s="397"/>
      <c r="BJ13" s="291"/>
      <c r="BK13" s="291"/>
      <c r="BL13" s="397"/>
      <c r="BM13" s="397"/>
      <c r="BN13" s="397"/>
      <c r="BO13" s="397"/>
      <c r="BP13" s="397"/>
      <c r="BQ13" s="35"/>
      <c r="BR13" s="291"/>
      <c r="BS13" s="291"/>
      <c r="BT13" s="291"/>
      <c r="BU13" s="397"/>
      <c r="BV13" s="291"/>
      <c r="BW13" s="291"/>
      <c r="BX13" s="397"/>
      <c r="BY13" s="397"/>
      <c r="BZ13" s="397"/>
      <c r="CA13" s="397"/>
      <c r="CB13" s="397"/>
      <c r="CC13" s="35"/>
      <c r="CD13" s="291"/>
      <c r="CE13" s="291"/>
      <c r="CF13" s="291"/>
      <c r="CG13" s="397"/>
      <c r="CH13" s="291"/>
      <c r="CI13" s="291"/>
      <c r="CJ13" s="397"/>
      <c r="CK13" s="397"/>
      <c r="CL13" s="397"/>
      <c r="CM13" s="397"/>
      <c r="CN13" s="397"/>
      <c r="CO13" s="35"/>
      <c r="CP13" s="291"/>
      <c r="CQ13" s="291"/>
      <c r="CR13" s="291"/>
      <c r="CS13" s="397"/>
      <c r="CT13" s="291"/>
      <c r="CU13" s="291"/>
      <c r="CV13" s="397"/>
      <c r="CW13" s="397"/>
      <c r="CX13" s="397"/>
      <c r="CY13" s="397"/>
      <c r="CZ13" s="397"/>
      <c r="DA13" s="35"/>
      <c r="DB13" s="291"/>
      <c r="DC13" s="291"/>
      <c r="DD13" s="291"/>
      <c r="DE13" s="397"/>
      <c r="DF13" s="291"/>
      <c r="DG13" s="291"/>
      <c r="DH13" s="397"/>
      <c r="DI13" s="397"/>
      <c r="DJ13" s="397"/>
      <c r="DK13" s="397"/>
      <c r="DL13" s="397"/>
      <c r="DM13" s="35"/>
      <c r="DN13" s="291"/>
      <c r="DO13" s="291"/>
      <c r="DP13" s="291"/>
      <c r="DQ13" s="397"/>
      <c r="DR13" s="291"/>
      <c r="DS13" s="291"/>
      <c r="DT13" s="397"/>
      <c r="DU13" s="397"/>
      <c r="DV13" s="397"/>
      <c r="DW13" s="397"/>
      <c r="DX13" s="397"/>
      <c r="DY13" s="35"/>
      <c r="DZ13" s="291"/>
      <c r="EA13" s="291"/>
      <c r="EB13" s="291"/>
      <c r="EC13" s="397"/>
      <c r="ED13" s="291"/>
      <c r="EE13" s="291"/>
      <c r="EF13" s="397"/>
      <c r="EG13" s="397"/>
      <c r="EH13" s="397"/>
      <c r="EI13" s="397"/>
      <c r="EJ13" s="397"/>
      <c r="EK13" s="35"/>
      <c r="EL13" s="291"/>
      <c r="EM13" s="291"/>
      <c r="EN13" s="291"/>
      <c r="EO13" s="397"/>
      <c r="EP13" s="291"/>
      <c r="EQ13" s="291"/>
      <c r="ER13" s="397"/>
      <c r="ES13" s="397"/>
      <c r="ET13" s="397"/>
      <c r="EU13" s="397"/>
      <c r="EV13" s="397"/>
      <c r="EW13" s="35"/>
      <c r="EX13" s="291"/>
      <c r="EY13" s="291"/>
      <c r="EZ13" s="291"/>
      <c r="FA13" s="397"/>
      <c r="FB13" s="291"/>
      <c r="FC13" s="291"/>
      <c r="FD13" s="397"/>
      <c r="FE13" s="397"/>
      <c r="FF13" s="397"/>
      <c r="FG13" s="397"/>
      <c r="FH13" s="397"/>
      <c r="FI13" s="35"/>
      <c r="FJ13" s="291"/>
      <c r="FK13" s="291"/>
      <c r="FL13" s="291"/>
      <c r="FM13" s="397"/>
      <c r="FN13" s="291"/>
      <c r="FO13" s="291"/>
      <c r="FP13" s="397"/>
      <c r="FQ13" s="397"/>
      <c r="FR13" s="397"/>
      <c r="FS13" s="397"/>
      <c r="FT13" s="397"/>
      <c r="FU13" s="35"/>
      <c r="FV13" s="291"/>
      <c r="FW13" s="291"/>
      <c r="FX13" s="291"/>
      <c r="FY13" s="397"/>
      <c r="FZ13" s="291"/>
      <c r="GA13" s="291"/>
      <c r="GB13" s="397"/>
      <c r="GC13" s="397"/>
      <c r="GD13" s="397"/>
      <c r="GE13" s="397"/>
      <c r="GF13" s="397"/>
      <c r="GG13" s="35"/>
      <c r="GH13" s="291"/>
      <c r="GI13" s="291"/>
      <c r="GJ13" s="291"/>
      <c r="GK13" s="397"/>
      <c r="GL13" s="291"/>
      <c r="GM13" s="291"/>
      <c r="GN13" s="397"/>
      <c r="GO13" s="397"/>
      <c r="GP13" s="397"/>
      <c r="GQ13" s="397"/>
      <c r="GR13" s="397"/>
      <c r="GS13" s="35"/>
      <c r="GT13" s="291"/>
      <c r="GU13" s="291"/>
      <c r="GV13" s="291"/>
      <c r="GW13" s="397"/>
      <c r="GX13" s="291"/>
      <c r="GY13" s="291"/>
      <c r="GZ13" s="397"/>
      <c r="HA13" s="397"/>
      <c r="HB13" s="397"/>
      <c r="HC13" s="397"/>
      <c r="HD13" s="397"/>
      <c r="HE13" s="35"/>
      <c r="HF13" s="291"/>
      <c r="HG13" s="291"/>
      <c r="HH13" s="291"/>
      <c r="HI13" s="397"/>
      <c r="HJ13" s="291"/>
      <c r="HK13" s="291"/>
      <c r="HL13" s="397"/>
      <c r="HM13" s="397"/>
      <c r="HN13" s="397"/>
      <c r="HO13" s="397"/>
      <c r="HP13" s="397"/>
      <c r="HQ13" s="35"/>
      <c r="HR13" s="291"/>
      <c r="HS13" s="291"/>
      <c r="HT13" s="291"/>
      <c r="HU13" s="397"/>
      <c r="HV13" s="291"/>
      <c r="HW13" s="291"/>
      <c r="HX13" s="397"/>
      <c r="HY13" s="397"/>
      <c r="HZ13" s="397"/>
      <c r="IA13" s="397"/>
      <c r="IB13" s="397"/>
      <c r="IC13" s="35"/>
      <c r="ID13" s="291"/>
      <c r="IE13" s="291"/>
      <c r="IF13" s="291"/>
      <c r="IG13" s="397"/>
      <c r="IH13" s="291"/>
      <c r="II13" s="291"/>
      <c r="IJ13" s="397"/>
      <c r="IK13" s="397"/>
      <c r="IL13" s="397"/>
      <c r="IM13" s="397"/>
      <c r="IN13" s="397"/>
      <c r="IO13" s="35"/>
      <c r="IP13" s="291"/>
      <c r="IQ13" s="291"/>
      <c r="IR13" s="291"/>
    </row>
    <row r="14" spans="1:252" s="5" customFormat="1" ht="14.25">
      <c r="A14" s="36" t="s">
        <v>22</v>
      </c>
      <c r="B14" s="291">
        <v>3.3</v>
      </c>
      <c r="C14" s="291">
        <v>0.9</v>
      </c>
      <c r="D14" s="291">
        <v>-5.5</v>
      </c>
      <c r="E14" s="291">
        <v>-4.8</v>
      </c>
      <c r="F14" s="291">
        <v>-5.8</v>
      </c>
      <c r="G14" s="291">
        <v>-5.8</v>
      </c>
      <c r="H14" s="291">
        <v>-4.9000000000000004</v>
      </c>
      <c r="I14" s="291">
        <v>-8.8000000000000007</v>
      </c>
      <c r="J14" s="291">
        <v>-1.1000000000000001</v>
      </c>
      <c r="K14" s="291">
        <v>-0.1</v>
      </c>
      <c r="L14" s="291"/>
      <c r="M14" s="291"/>
      <c r="N14" s="291"/>
      <c r="O14" s="291"/>
      <c r="P14" s="291"/>
      <c r="Q14" s="291"/>
      <c r="R14" s="291"/>
      <c r="S14" s="291"/>
      <c r="T14" s="291"/>
      <c r="U14" s="36"/>
      <c r="V14" s="291"/>
      <c r="W14" s="291"/>
      <c r="X14" s="291"/>
      <c r="Y14" s="291"/>
      <c r="Z14" s="291"/>
      <c r="AA14" s="291"/>
      <c r="AB14" s="291"/>
      <c r="AC14" s="291"/>
      <c r="AD14" s="291"/>
      <c r="AE14" s="291"/>
      <c r="AF14" s="291"/>
      <c r="AG14" s="36"/>
      <c r="AH14" s="291"/>
      <c r="AI14" s="291"/>
      <c r="AJ14" s="291"/>
      <c r="AK14" s="291"/>
      <c r="AL14" s="291"/>
      <c r="AM14" s="291"/>
      <c r="AN14" s="291"/>
      <c r="AO14" s="291"/>
      <c r="AP14" s="291"/>
      <c r="AQ14" s="291"/>
      <c r="AR14" s="291"/>
      <c r="AS14" s="36"/>
      <c r="AT14" s="291"/>
      <c r="AU14" s="291"/>
      <c r="AV14" s="291"/>
      <c r="AW14" s="291"/>
      <c r="AX14" s="291"/>
      <c r="AY14" s="291"/>
      <c r="AZ14" s="291"/>
      <c r="BA14" s="291"/>
      <c r="BB14" s="291"/>
      <c r="BC14" s="291"/>
      <c r="BD14" s="291"/>
      <c r="BE14" s="36"/>
      <c r="BF14" s="291"/>
      <c r="BG14" s="291"/>
      <c r="BH14" s="291"/>
      <c r="BI14" s="291"/>
      <c r="BJ14" s="291"/>
      <c r="BK14" s="291"/>
      <c r="BL14" s="291"/>
      <c r="BM14" s="291"/>
      <c r="BN14" s="291"/>
      <c r="BO14" s="291"/>
      <c r="BP14" s="291"/>
      <c r="BQ14" s="36"/>
      <c r="BR14" s="291"/>
      <c r="BS14" s="291"/>
      <c r="BT14" s="291"/>
      <c r="BU14" s="291"/>
      <c r="BV14" s="291"/>
      <c r="BW14" s="291"/>
      <c r="BX14" s="291"/>
      <c r="BY14" s="291"/>
      <c r="BZ14" s="291"/>
      <c r="CA14" s="291"/>
      <c r="CB14" s="291"/>
      <c r="CC14" s="36"/>
      <c r="CD14" s="291"/>
      <c r="CE14" s="291"/>
      <c r="CF14" s="291"/>
      <c r="CG14" s="291"/>
      <c r="CH14" s="291"/>
      <c r="CI14" s="291"/>
      <c r="CJ14" s="291"/>
      <c r="CK14" s="291"/>
      <c r="CL14" s="291"/>
      <c r="CM14" s="291"/>
      <c r="CN14" s="291"/>
      <c r="CO14" s="36"/>
      <c r="CP14" s="291"/>
      <c r="CQ14" s="291"/>
      <c r="CR14" s="291"/>
      <c r="CS14" s="291"/>
      <c r="CT14" s="291"/>
      <c r="CU14" s="291"/>
      <c r="CV14" s="291"/>
      <c r="CW14" s="291"/>
      <c r="CX14" s="291"/>
      <c r="CY14" s="291"/>
      <c r="CZ14" s="291"/>
      <c r="DA14" s="36"/>
      <c r="DB14" s="291"/>
      <c r="DC14" s="291"/>
      <c r="DD14" s="291"/>
      <c r="DE14" s="291"/>
      <c r="DF14" s="291"/>
      <c r="DG14" s="291"/>
      <c r="DH14" s="291"/>
      <c r="DI14" s="291"/>
      <c r="DJ14" s="291"/>
      <c r="DK14" s="291"/>
      <c r="DL14" s="291"/>
      <c r="DM14" s="36"/>
      <c r="DN14" s="291"/>
      <c r="DO14" s="291"/>
      <c r="DP14" s="291"/>
      <c r="DQ14" s="291"/>
      <c r="DR14" s="291"/>
      <c r="DS14" s="291"/>
      <c r="DT14" s="291"/>
      <c r="DU14" s="291"/>
      <c r="DV14" s="291"/>
      <c r="DW14" s="291"/>
      <c r="DX14" s="291"/>
      <c r="DY14" s="36"/>
      <c r="DZ14" s="291"/>
      <c r="EA14" s="291"/>
      <c r="EB14" s="291"/>
      <c r="EC14" s="291"/>
      <c r="ED14" s="291"/>
      <c r="EE14" s="291"/>
      <c r="EF14" s="291"/>
      <c r="EG14" s="291"/>
      <c r="EH14" s="291"/>
      <c r="EI14" s="291"/>
      <c r="EJ14" s="291"/>
      <c r="EK14" s="36"/>
      <c r="EL14" s="291"/>
      <c r="EM14" s="291"/>
      <c r="EN14" s="291"/>
      <c r="EO14" s="291"/>
      <c r="EP14" s="291"/>
      <c r="EQ14" s="291"/>
      <c r="ER14" s="291"/>
      <c r="ES14" s="291"/>
      <c r="ET14" s="291"/>
      <c r="EU14" s="291"/>
      <c r="EV14" s="291"/>
      <c r="EW14" s="36"/>
      <c r="EX14" s="291"/>
      <c r="EY14" s="291"/>
      <c r="EZ14" s="291"/>
      <c r="FA14" s="291"/>
      <c r="FB14" s="291"/>
      <c r="FC14" s="291"/>
      <c r="FD14" s="291"/>
      <c r="FE14" s="291"/>
      <c r="FF14" s="291"/>
      <c r="FG14" s="291"/>
      <c r="FH14" s="291"/>
      <c r="FI14" s="36"/>
      <c r="FJ14" s="291"/>
      <c r="FK14" s="291"/>
      <c r="FL14" s="291"/>
      <c r="FM14" s="291"/>
      <c r="FN14" s="291"/>
      <c r="FO14" s="291"/>
      <c r="FP14" s="291"/>
      <c r="FQ14" s="291"/>
      <c r="FR14" s="291"/>
      <c r="FS14" s="291"/>
      <c r="FT14" s="291"/>
      <c r="FU14" s="36"/>
      <c r="FV14" s="291"/>
      <c r="FW14" s="291"/>
      <c r="FX14" s="291"/>
      <c r="FY14" s="291"/>
      <c r="FZ14" s="291"/>
      <c r="GA14" s="291"/>
      <c r="GB14" s="291"/>
      <c r="GC14" s="291"/>
      <c r="GD14" s="291"/>
      <c r="GE14" s="291"/>
      <c r="GF14" s="291"/>
      <c r="GG14" s="36"/>
      <c r="GH14" s="291"/>
      <c r="GI14" s="291"/>
      <c r="GJ14" s="291"/>
      <c r="GK14" s="291"/>
      <c r="GL14" s="291"/>
      <c r="GM14" s="291"/>
      <c r="GN14" s="291"/>
      <c r="GO14" s="291"/>
      <c r="GP14" s="291"/>
      <c r="GQ14" s="291"/>
      <c r="GR14" s="291"/>
      <c r="GS14" s="36"/>
      <c r="GT14" s="291"/>
      <c r="GU14" s="291"/>
      <c r="GV14" s="291"/>
      <c r="GW14" s="291"/>
      <c r="GX14" s="291"/>
      <c r="GY14" s="291"/>
      <c r="GZ14" s="291"/>
      <c r="HA14" s="291"/>
      <c r="HB14" s="291"/>
      <c r="HC14" s="291"/>
      <c r="HD14" s="291"/>
      <c r="HE14" s="36"/>
      <c r="HF14" s="291"/>
      <c r="HG14" s="291"/>
      <c r="HH14" s="291"/>
      <c r="HI14" s="291"/>
      <c r="HJ14" s="291"/>
      <c r="HK14" s="291"/>
      <c r="HL14" s="291"/>
      <c r="HM14" s="291"/>
      <c r="HN14" s="291"/>
      <c r="HO14" s="291"/>
      <c r="HP14" s="291"/>
      <c r="HQ14" s="36"/>
      <c r="HR14" s="291"/>
      <c r="HS14" s="291"/>
      <c r="HT14" s="291"/>
      <c r="HU14" s="291"/>
      <c r="HV14" s="291"/>
      <c r="HW14" s="291"/>
      <c r="HX14" s="291"/>
      <c r="HY14" s="291"/>
      <c r="HZ14" s="291"/>
      <c r="IA14" s="291"/>
      <c r="IB14" s="291"/>
      <c r="IC14" s="36"/>
      <c r="ID14" s="291"/>
      <c r="IE14" s="291"/>
      <c r="IF14" s="291"/>
      <c r="IG14" s="291"/>
      <c r="IH14" s="291"/>
      <c r="II14" s="291"/>
      <c r="IJ14" s="291"/>
      <c r="IK14" s="291"/>
      <c r="IL14" s="291"/>
      <c r="IM14" s="291"/>
      <c r="IN14" s="291"/>
      <c r="IO14" s="36"/>
      <c r="IP14" s="291"/>
      <c r="IQ14" s="291"/>
      <c r="IR14" s="291"/>
    </row>
    <row r="15" spans="1:252" s="5" customFormat="1" ht="14.25">
      <c r="A15" s="35" t="s">
        <v>9</v>
      </c>
      <c r="B15" s="291">
        <v>-0.6</v>
      </c>
      <c r="C15" s="291">
        <v>-4</v>
      </c>
      <c r="D15" s="291">
        <v>-9</v>
      </c>
      <c r="E15" s="291">
        <v>-8.1</v>
      </c>
      <c r="F15" s="291">
        <v>-3.3</v>
      </c>
      <c r="G15" s="291">
        <v>-0.8</v>
      </c>
      <c r="H15" s="291">
        <v>-0.7</v>
      </c>
      <c r="I15" s="291">
        <v>-1.4</v>
      </c>
      <c r="J15" s="291">
        <v>-1.4</v>
      </c>
      <c r="K15" s="291">
        <v>-1.6</v>
      </c>
      <c r="L15" s="291"/>
      <c r="M15" s="291"/>
      <c r="N15" s="291"/>
      <c r="O15" s="291"/>
      <c r="P15" s="291"/>
      <c r="Q15" s="291"/>
      <c r="R15" s="291"/>
      <c r="S15" s="397"/>
      <c r="T15" s="397"/>
      <c r="U15" s="35"/>
      <c r="V15" s="291"/>
      <c r="W15" s="291"/>
      <c r="X15" s="291"/>
      <c r="Y15" s="397"/>
      <c r="Z15" s="291"/>
      <c r="AA15" s="291"/>
      <c r="AB15" s="397"/>
      <c r="AC15" s="397"/>
      <c r="AD15" s="397"/>
      <c r="AE15" s="397"/>
      <c r="AF15" s="397"/>
      <c r="AG15" s="35"/>
      <c r="AH15" s="291"/>
      <c r="AI15" s="291"/>
      <c r="AJ15" s="291"/>
      <c r="AK15" s="397"/>
      <c r="AL15" s="291"/>
      <c r="AM15" s="291"/>
      <c r="AN15" s="397"/>
      <c r="AO15" s="397"/>
      <c r="AP15" s="397"/>
      <c r="AQ15" s="397"/>
      <c r="AR15" s="397"/>
      <c r="AS15" s="35"/>
      <c r="AT15" s="291"/>
      <c r="AU15" s="291"/>
      <c r="AV15" s="291"/>
      <c r="AW15" s="397"/>
      <c r="AX15" s="291"/>
      <c r="AY15" s="291"/>
      <c r="AZ15" s="397"/>
      <c r="BA15" s="397"/>
      <c r="BB15" s="397"/>
      <c r="BC15" s="397"/>
      <c r="BD15" s="397"/>
      <c r="BE15" s="35"/>
      <c r="BF15" s="291"/>
      <c r="BG15" s="291"/>
      <c r="BH15" s="291"/>
      <c r="BI15" s="397"/>
      <c r="BJ15" s="291"/>
      <c r="BK15" s="291"/>
      <c r="BL15" s="397"/>
      <c r="BM15" s="397"/>
      <c r="BN15" s="397"/>
      <c r="BO15" s="397"/>
      <c r="BP15" s="397"/>
      <c r="BQ15" s="35"/>
      <c r="BR15" s="291"/>
      <c r="BS15" s="291"/>
      <c r="BT15" s="291"/>
      <c r="BU15" s="397"/>
      <c r="BV15" s="291"/>
      <c r="BW15" s="291"/>
      <c r="BX15" s="397"/>
      <c r="BY15" s="397"/>
      <c r="BZ15" s="397"/>
      <c r="CA15" s="397"/>
      <c r="CB15" s="397"/>
      <c r="CC15" s="35"/>
      <c r="CD15" s="291"/>
      <c r="CE15" s="291"/>
      <c r="CF15" s="291"/>
      <c r="CG15" s="397"/>
      <c r="CH15" s="291"/>
      <c r="CI15" s="291"/>
      <c r="CJ15" s="397"/>
      <c r="CK15" s="397"/>
      <c r="CL15" s="397"/>
      <c r="CM15" s="397"/>
      <c r="CN15" s="397"/>
      <c r="CO15" s="35"/>
      <c r="CP15" s="291"/>
      <c r="CQ15" s="291"/>
      <c r="CR15" s="291"/>
      <c r="CS15" s="397"/>
      <c r="CT15" s="291"/>
      <c r="CU15" s="291"/>
      <c r="CV15" s="397"/>
      <c r="CW15" s="397"/>
      <c r="CX15" s="397"/>
      <c r="CY15" s="397"/>
      <c r="CZ15" s="397"/>
      <c r="DA15" s="35"/>
      <c r="DB15" s="291"/>
      <c r="DC15" s="291"/>
      <c r="DD15" s="291"/>
      <c r="DE15" s="397"/>
      <c r="DF15" s="291"/>
      <c r="DG15" s="291"/>
      <c r="DH15" s="397"/>
      <c r="DI15" s="397"/>
      <c r="DJ15" s="397"/>
      <c r="DK15" s="397"/>
      <c r="DL15" s="397"/>
      <c r="DM15" s="35"/>
      <c r="DN15" s="291"/>
      <c r="DO15" s="291"/>
      <c r="DP15" s="291"/>
      <c r="DQ15" s="397"/>
      <c r="DR15" s="291"/>
      <c r="DS15" s="291"/>
      <c r="DT15" s="397"/>
      <c r="DU15" s="397"/>
      <c r="DV15" s="397"/>
      <c r="DW15" s="397"/>
      <c r="DX15" s="397"/>
      <c r="DY15" s="35"/>
      <c r="DZ15" s="291"/>
      <c r="EA15" s="291"/>
      <c r="EB15" s="291"/>
      <c r="EC15" s="397"/>
      <c r="ED15" s="291"/>
      <c r="EE15" s="291"/>
      <c r="EF15" s="397"/>
      <c r="EG15" s="397"/>
      <c r="EH15" s="397"/>
      <c r="EI15" s="397"/>
      <c r="EJ15" s="397"/>
      <c r="EK15" s="35"/>
      <c r="EL15" s="291"/>
      <c r="EM15" s="291"/>
      <c r="EN15" s="291"/>
      <c r="EO15" s="397"/>
      <c r="EP15" s="291"/>
      <c r="EQ15" s="291"/>
      <c r="ER15" s="397"/>
      <c r="ES15" s="397"/>
      <c r="ET15" s="397"/>
      <c r="EU15" s="397"/>
      <c r="EV15" s="397"/>
      <c r="EW15" s="35"/>
      <c r="EX15" s="291"/>
      <c r="EY15" s="291"/>
      <c r="EZ15" s="291"/>
      <c r="FA15" s="397"/>
      <c r="FB15" s="291"/>
      <c r="FC15" s="291"/>
      <c r="FD15" s="397"/>
      <c r="FE15" s="397"/>
      <c r="FF15" s="397"/>
      <c r="FG15" s="397"/>
      <c r="FH15" s="397"/>
      <c r="FI15" s="35"/>
      <c r="FJ15" s="291"/>
      <c r="FK15" s="291"/>
      <c r="FL15" s="291"/>
      <c r="FM15" s="397"/>
      <c r="FN15" s="291"/>
      <c r="FO15" s="291"/>
      <c r="FP15" s="397"/>
      <c r="FQ15" s="397"/>
      <c r="FR15" s="397"/>
      <c r="FS15" s="397"/>
      <c r="FT15" s="397"/>
      <c r="FU15" s="35"/>
      <c r="FV15" s="291"/>
      <c r="FW15" s="291"/>
      <c r="FX15" s="291"/>
      <c r="FY15" s="397"/>
      <c r="FZ15" s="291"/>
      <c r="GA15" s="291"/>
      <c r="GB15" s="397"/>
      <c r="GC15" s="397"/>
      <c r="GD15" s="397"/>
      <c r="GE15" s="397"/>
      <c r="GF15" s="397"/>
      <c r="GG15" s="35"/>
      <c r="GH15" s="291"/>
      <c r="GI15" s="291"/>
      <c r="GJ15" s="291"/>
      <c r="GK15" s="397"/>
      <c r="GL15" s="291"/>
      <c r="GM15" s="291"/>
      <c r="GN15" s="397"/>
      <c r="GO15" s="397"/>
      <c r="GP15" s="397"/>
      <c r="GQ15" s="397"/>
      <c r="GR15" s="397"/>
      <c r="GS15" s="35"/>
      <c r="GT15" s="291"/>
      <c r="GU15" s="291"/>
      <c r="GV15" s="291"/>
      <c r="GW15" s="397"/>
      <c r="GX15" s="291"/>
      <c r="GY15" s="291"/>
      <c r="GZ15" s="397"/>
      <c r="HA15" s="397"/>
      <c r="HB15" s="397"/>
      <c r="HC15" s="397"/>
      <c r="HD15" s="397"/>
      <c r="HE15" s="35"/>
      <c r="HF15" s="291"/>
      <c r="HG15" s="291"/>
      <c r="HH15" s="291"/>
      <c r="HI15" s="397"/>
      <c r="HJ15" s="291"/>
      <c r="HK15" s="291"/>
      <c r="HL15" s="397"/>
      <c r="HM15" s="397"/>
      <c r="HN15" s="397"/>
      <c r="HO15" s="397"/>
      <c r="HP15" s="397"/>
      <c r="HQ15" s="35"/>
      <c r="HR15" s="291"/>
      <c r="HS15" s="291"/>
      <c r="HT15" s="291"/>
      <c r="HU15" s="397"/>
      <c r="HV15" s="291"/>
      <c r="HW15" s="291"/>
      <c r="HX15" s="397"/>
      <c r="HY15" s="397"/>
      <c r="HZ15" s="397"/>
      <c r="IA15" s="397"/>
      <c r="IB15" s="397"/>
      <c r="IC15" s="35"/>
      <c r="ID15" s="291"/>
      <c r="IE15" s="291"/>
      <c r="IF15" s="291"/>
      <c r="IG15" s="397"/>
      <c r="IH15" s="291"/>
      <c r="II15" s="291"/>
      <c r="IJ15" s="397"/>
      <c r="IK15" s="397"/>
      <c r="IL15" s="397"/>
      <c r="IM15" s="397"/>
      <c r="IN15" s="397"/>
      <c r="IO15" s="35"/>
      <c r="IP15" s="291"/>
      <c r="IQ15" s="291"/>
      <c r="IR15" s="291"/>
    </row>
    <row r="16" spans="1:252" s="5" customFormat="1" ht="14.25">
      <c r="A16" s="35" t="s">
        <v>8</v>
      </c>
      <c r="B16" s="291">
        <v>-0.8</v>
      </c>
      <c r="C16" s="291">
        <v>-3.1</v>
      </c>
      <c r="D16" s="291">
        <v>-9.1</v>
      </c>
      <c r="E16" s="291">
        <v>-6.9</v>
      </c>
      <c r="F16" s="291">
        <v>-8.9</v>
      </c>
      <c r="G16" s="397">
        <v>-3.1</v>
      </c>
      <c r="H16" s="291">
        <v>-2.6</v>
      </c>
      <c r="I16" s="291">
        <v>-0.7</v>
      </c>
      <c r="J16" s="291">
        <v>-1.5</v>
      </c>
      <c r="K16" s="291">
        <v>-0.9</v>
      </c>
      <c r="L16" s="291"/>
      <c r="M16" s="291"/>
      <c r="N16" s="291"/>
      <c r="O16" s="291"/>
      <c r="P16" s="291"/>
      <c r="Q16" s="291"/>
      <c r="R16" s="291"/>
      <c r="S16" s="291"/>
      <c r="T16" s="291"/>
      <c r="U16" s="35"/>
      <c r="V16" s="291"/>
      <c r="W16" s="291"/>
      <c r="X16" s="291"/>
      <c r="Y16" s="291"/>
      <c r="Z16" s="291"/>
      <c r="AA16" s="291"/>
      <c r="AB16" s="291"/>
      <c r="AC16" s="291"/>
      <c r="AD16" s="291"/>
      <c r="AE16" s="291"/>
      <c r="AF16" s="291"/>
      <c r="AG16" s="35"/>
      <c r="AH16" s="291"/>
      <c r="AI16" s="291"/>
      <c r="AJ16" s="291"/>
      <c r="AK16" s="291"/>
      <c r="AL16" s="291"/>
      <c r="AM16" s="291"/>
      <c r="AN16" s="291"/>
      <c r="AO16" s="291"/>
      <c r="AP16" s="291"/>
      <c r="AQ16" s="291"/>
      <c r="AR16" s="291"/>
      <c r="AS16" s="35"/>
      <c r="AT16" s="291"/>
      <c r="AU16" s="291"/>
      <c r="AV16" s="291"/>
      <c r="AW16" s="291"/>
      <c r="AX16" s="291"/>
      <c r="AY16" s="291"/>
      <c r="AZ16" s="291"/>
      <c r="BA16" s="291"/>
      <c r="BB16" s="291"/>
      <c r="BC16" s="291"/>
      <c r="BD16" s="291"/>
      <c r="BE16" s="35"/>
      <c r="BF16" s="291"/>
      <c r="BG16" s="291"/>
      <c r="BH16" s="291"/>
      <c r="BI16" s="291"/>
      <c r="BJ16" s="291"/>
      <c r="BK16" s="291"/>
      <c r="BL16" s="291"/>
      <c r="BM16" s="291"/>
      <c r="BN16" s="291"/>
      <c r="BO16" s="291"/>
      <c r="BP16" s="291"/>
      <c r="BQ16" s="35"/>
      <c r="BR16" s="291"/>
      <c r="BS16" s="291"/>
      <c r="BT16" s="291"/>
      <c r="BU16" s="291"/>
      <c r="BV16" s="291"/>
      <c r="BW16" s="291"/>
      <c r="BX16" s="291"/>
      <c r="BY16" s="291"/>
      <c r="BZ16" s="291"/>
      <c r="CA16" s="291"/>
      <c r="CB16" s="291"/>
      <c r="CC16" s="35"/>
      <c r="CD16" s="291"/>
      <c r="CE16" s="291"/>
      <c r="CF16" s="291"/>
      <c r="CG16" s="291"/>
      <c r="CH16" s="291"/>
      <c r="CI16" s="291"/>
      <c r="CJ16" s="291"/>
      <c r="CK16" s="291"/>
      <c r="CL16" s="291"/>
      <c r="CM16" s="291"/>
      <c r="CN16" s="291"/>
      <c r="CO16" s="35"/>
      <c r="CP16" s="291"/>
      <c r="CQ16" s="291"/>
      <c r="CR16" s="291"/>
      <c r="CS16" s="291"/>
      <c r="CT16" s="291"/>
      <c r="CU16" s="291"/>
      <c r="CV16" s="291"/>
      <c r="CW16" s="291"/>
      <c r="CX16" s="291"/>
      <c r="CY16" s="291"/>
      <c r="CZ16" s="291"/>
      <c r="DA16" s="35"/>
      <c r="DB16" s="291"/>
      <c r="DC16" s="291"/>
      <c r="DD16" s="291"/>
      <c r="DE16" s="291"/>
      <c r="DF16" s="291"/>
      <c r="DG16" s="291"/>
      <c r="DH16" s="291"/>
      <c r="DI16" s="291"/>
      <c r="DJ16" s="291"/>
      <c r="DK16" s="291"/>
      <c r="DL16" s="291"/>
      <c r="DM16" s="35"/>
      <c r="DN16" s="291"/>
      <c r="DO16" s="291"/>
      <c r="DP16" s="291"/>
      <c r="DQ16" s="291"/>
      <c r="DR16" s="291"/>
      <c r="DS16" s="291"/>
      <c r="DT16" s="291"/>
      <c r="DU16" s="291"/>
      <c r="DV16" s="291"/>
      <c r="DW16" s="291"/>
      <c r="DX16" s="291"/>
      <c r="DY16" s="35"/>
      <c r="DZ16" s="291"/>
      <c r="EA16" s="291"/>
      <c r="EB16" s="291"/>
      <c r="EC16" s="291"/>
      <c r="ED16" s="291"/>
      <c r="EE16" s="291"/>
      <c r="EF16" s="291"/>
      <c r="EG16" s="291"/>
      <c r="EH16" s="291"/>
      <c r="EI16" s="291"/>
      <c r="EJ16" s="291"/>
      <c r="EK16" s="35"/>
      <c r="EL16" s="291"/>
      <c r="EM16" s="291"/>
      <c r="EN16" s="291"/>
      <c r="EO16" s="291"/>
      <c r="EP16" s="291"/>
      <c r="EQ16" s="291"/>
      <c r="ER16" s="291"/>
      <c r="ES16" s="291"/>
      <c r="ET16" s="291"/>
      <c r="EU16" s="291"/>
      <c r="EV16" s="291"/>
      <c r="EW16" s="35"/>
      <c r="EX16" s="291"/>
      <c r="EY16" s="291"/>
      <c r="EZ16" s="291"/>
      <c r="FA16" s="291"/>
      <c r="FB16" s="291"/>
      <c r="FC16" s="291"/>
      <c r="FD16" s="291"/>
      <c r="FE16" s="291"/>
      <c r="FF16" s="291"/>
      <c r="FG16" s="291"/>
      <c r="FH16" s="291"/>
      <c r="FI16" s="35"/>
      <c r="FJ16" s="291"/>
      <c r="FK16" s="291"/>
      <c r="FL16" s="291"/>
      <c r="FM16" s="291"/>
      <c r="FN16" s="291"/>
      <c r="FO16" s="291"/>
      <c r="FP16" s="291"/>
      <c r="FQ16" s="291"/>
      <c r="FR16" s="291"/>
      <c r="FS16" s="291"/>
      <c r="FT16" s="291"/>
      <c r="FU16" s="35"/>
      <c r="FV16" s="291"/>
      <c r="FW16" s="291"/>
      <c r="FX16" s="291"/>
      <c r="FY16" s="291"/>
      <c r="FZ16" s="291"/>
      <c r="GA16" s="291"/>
      <c r="GB16" s="291"/>
      <c r="GC16" s="291"/>
      <c r="GD16" s="291"/>
      <c r="GE16" s="291"/>
      <c r="GF16" s="291"/>
      <c r="GG16" s="35"/>
      <c r="GH16" s="291"/>
      <c r="GI16" s="291"/>
      <c r="GJ16" s="291"/>
      <c r="GK16" s="291"/>
      <c r="GL16" s="291"/>
      <c r="GM16" s="291"/>
      <c r="GN16" s="291"/>
      <c r="GO16" s="291"/>
      <c r="GP16" s="291"/>
      <c r="GQ16" s="291"/>
      <c r="GR16" s="291"/>
      <c r="GS16" s="35"/>
      <c r="GT16" s="291"/>
      <c r="GU16" s="291"/>
      <c r="GV16" s="291"/>
      <c r="GW16" s="291"/>
      <c r="GX16" s="291"/>
      <c r="GY16" s="291"/>
      <c r="GZ16" s="291"/>
      <c r="HA16" s="291"/>
      <c r="HB16" s="291"/>
      <c r="HC16" s="291"/>
      <c r="HD16" s="291"/>
      <c r="HE16" s="35"/>
      <c r="HF16" s="291"/>
      <c r="HG16" s="291"/>
      <c r="HH16" s="291"/>
      <c r="HI16" s="291"/>
      <c r="HJ16" s="291"/>
      <c r="HK16" s="291"/>
      <c r="HL16" s="291"/>
      <c r="HM16" s="291"/>
      <c r="HN16" s="291"/>
      <c r="HO16" s="291"/>
      <c r="HP16" s="291"/>
      <c r="HQ16" s="35"/>
      <c r="HR16" s="291"/>
      <c r="HS16" s="291"/>
      <c r="HT16" s="291"/>
      <c r="HU16" s="291"/>
      <c r="HV16" s="291"/>
      <c r="HW16" s="291"/>
      <c r="HX16" s="291"/>
      <c r="HY16" s="291"/>
      <c r="HZ16" s="291"/>
      <c r="IA16" s="291"/>
      <c r="IB16" s="291"/>
      <c r="IC16" s="35"/>
      <c r="ID16" s="291"/>
      <c r="IE16" s="291"/>
      <c r="IF16" s="291"/>
      <c r="IG16" s="291"/>
      <c r="IH16" s="291"/>
      <c r="II16" s="291"/>
      <c r="IJ16" s="291"/>
      <c r="IK16" s="291"/>
      <c r="IL16" s="291"/>
      <c r="IM16" s="291"/>
      <c r="IN16" s="291"/>
      <c r="IO16" s="35"/>
      <c r="IP16" s="291"/>
      <c r="IQ16" s="291"/>
      <c r="IR16" s="291"/>
    </row>
    <row r="17" spans="1:252" s="5" customFormat="1" ht="14.25">
      <c r="A17" s="35" t="s">
        <v>21</v>
      </c>
      <c r="B17" s="291">
        <v>4.2</v>
      </c>
      <c r="C17" s="291">
        <v>3.3</v>
      </c>
      <c r="D17" s="291">
        <v>-0.5</v>
      </c>
      <c r="E17" s="291">
        <v>-0.5</v>
      </c>
      <c r="F17" s="291">
        <v>0.4</v>
      </c>
      <c r="G17" s="397">
        <v>0.1</v>
      </c>
      <c r="H17" s="291">
        <v>0.9</v>
      </c>
      <c r="I17" s="291">
        <v>0.6</v>
      </c>
      <c r="J17" s="291">
        <v>0</v>
      </c>
      <c r="K17" s="291">
        <v>0.3</v>
      </c>
      <c r="L17" s="291"/>
      <c r="M17" s="291"/>
      <c r="N17" s="291"/>
      <c r="O17" s="291"/>
      <c r="P17" s="291"/>
      <c r="Q17" s="291"/>
      <c r="R17" s="291"/>
      <c r="S17" s="397"/>
      <c r="T17" s="397"/>
      <c r="U17" s="35"/>
      <c r="V17" s="291"/>
      <c r="W17" s="291"/>
      <c r="X17" s="291"/>
      <c r="Y17" s="291"/>
      <c r="Z17" s="291"/>
      <c r="AA17" s="291"/>
      <c r="AB17" s="397"/>
      <c r="AC17" s="397"/>
      <c r="AD17" s="397"/>
      <c r="AE17" s="397"/>
      <c r="AF17" s="397"/>
      <c r="AG17" s="35"/>
      <c r="AH17" s="291"/>
      <c r="AI17" s="291"/>
      <c r="AJ17" s="291"/>
      <c r="AK17" s="291"/>
      <c r="AL17" s="291"/>
      <c r="AM17" s="291"/>
      <c r="AN17" s="397"/>
      <c r="AO17" s="397"/>
      <c r="AP17" s="397"/>
      <c r="AQ17" s="397"/>
      <c r="AR17" s="397"/>
      <c r="AS17" s="35"/>
      <c r="AT17" s="291"/>
      <c r="AU17" s="291"/>
      <c r="AV17" s="291"/>
      <c r="AW17" s="291"/>
      <c r="AX17" s="291"/>
      <c r="AY17" s="291"/>
      <c r="AZ17" s="397"/>
      <c r="BA17" s="397"/>
      <c r="BB17" s="397"/>
      <c r="BC17" s="397"/>
      <c r="BD17" s="397"/>
      <c r="BE17" s="35"/>
      <c r="BF17" s="291"/>
      <c r="BG17" s="291"/>
      <c r="BH17" s="291"/>
      <c r="BI17" s="291"/>
      <c r="BJ17" s="291"/>
      <c r="BK17" s="291"/>
      <c r="BL17" s="397"/>
      <c r="BM17" s="397"/>
      <c r="BN17" s="397"/>
      <c r="BO17" s="397"/>
      <c r="BP17" s="397"/>
      <c r="BQ17" s="35"/>
      <c r="BR17" s="291"/>
      <c r="BS17" s="291"/>
      <c r="BT17" s="291"/>
      <c r="BU17" s="291"/>
      <c r="BV17" s="291"/>
      <c r="BW17" s="291"/>
      <c r="BX17" s="397"/>
      <c r="BY17" s="397"/>
      <c r="BZ17" s="397"/>
      <c r="CA17" s="397"/>
      <c r="CB17" s="397"/>
      <c r="CC17" s="35"/>
      <c r="CD17" s="291"/>
      <c r="CE17" s="291"/>
      <c r="CF17" s="291"/>
      <c r="CG17" s="291"/>
      <c r="CH17" s="291"/>
      <c r="CI17" s="291"/>
      <c r="CJ17" s="397"/>
      <c r="CK17" s="397"/>
      <c r="CL17" s="397"/>
      <c r="CM17" s="397"/>
      <c r="CN17" s="397"/>
      <c r="CO17" s="35"/>
      <c r="CP17" s="291"/>
      <c r="CQ17" s="291"/>
      <c r="CR17" s="291"/>
      <c r="CS17" s="291"/>
      <c r="CT17" s="291"/>
      <c r="CU17" s="291"/>
      <c r="CV17" s="397"/>
      <c r="CW17" s="397"/>
      <c r="CX17" s="397"/>
      <c r="CY17" s="397"/>
      <c r="CZ17" s="397"/>
      <c r="DA17" s="35"/>
      <c r="DB17" s="291"/>
      <c r="DC17" s="291"/>
      <c r="DD17" s="291"/>
      <c r="DE17" s="291"/>
      <c r="DF17" s="291"/>
      <c r="DG17" s="291"/>
      <c r="DH17" s="397"/>
      <c r="DI17" s="397"/>
      <c r="DJ17" s="397"/>
      <c r="DK17" s="397"/>
      <c r="DL17" s="397"/>
      <c r="DM17" s="35"/>
      <c r="DN17" s="291"/>
      <c r="DO17" s="291"/>
      <c r="DP17" s="291"/>
      <c r="DQ17" s="291"/>
      <c r="DR17" s="291"/>
      <c r="DS17" s="291"/>
      <c r="DT17" s="397"/>
      <c r="DU17" s="397"/>
      <c r="DV17" s="397"/>
      <c r="DW17" s="397"/>
      <c r="DX17" s="397"/>
      <c r="DY17" s="35"/>
      <c r="DZ17" s="291"/>
      <c r="EA17" s="291"/>
      <c r="EB17" s="291"/>
      <c r="EC17" s="291"/>
      <c r="ED17" s="291"/>
      <c r="EE17" s="291"/>
      <c r="EF17" s="397"/>
      <c r="EG17" s="397"/>
      <c r="EH17" s="397"/>
      <c r="EI17" s="397"/>
      <c r="EJ17" s="397"/>
      <c r="EK17" s="35"/>
      <c r="EL17" s="291"/>
      <c r="EM17" s="291"/>
      <c r="EN17" s="291"/>
      <c r="EO17" s="291"/>
      <c r="EP17" s="291"/>
      <c r="EQ17" s="291"/>
      <c r="ER17" s="397"/>
      <c r="ES17" s="397"/>
      <c r="ET17" s="397"/>
      <c r="EU17" s="397"/>
      <c r="EV17" s="397"/>
      <c r="EW17" s="35"/>
      <c r="EX17" s="291"/>
      <c r="EY17" s="291"/>
      <c r="EZ17" s="291"/>
      <c r="FA17" s="291"/>
      <c r="FB17" s="291"/>
      <c r="FC17" s="291"/>
      <c r="FD17" s="397"/>
      <c r="FE17" s="397"/>
      <c r="FF17" s="397"/>
      <c r="FG17" s="397"/>
      <c r="FH17" s="397"/>
      <c r="FI17" s="35"/>
      <c r="FJ17" s="291"/>
      <c r="FK17" s="291"/>
      <c r="FL17" s="291"/>
      <c r="FM17" s="291"/>
      <c r="FN17" s="291"/>
      <c r="FO17" s="291"/>
      <c r="FP17" s="397"/>
      <c r="FQ17" s="397"/>
      <c r="FR17" s="397"/>
      <c r="FS17" s="397"/>
      <c r="FT17" s="397"/>
      <c r="FU17" s="35"/>
      <c r="FV17" s="291"/>
      <c r="FW17" s="291"/>
      <c r="FX17" s="291"/>
      <c r="FY17" s="291"/>
      <c r="FZ17" s="291"/>
      <c r="GA17" s="291"/>
      <c r="GB17" s="397"/>
      <c r="GC17" s="397"/>
      <c r="GD17" s="397"/>
      <c r="GE17" s="397"/>
      <c r="GF17" s="397"/>
      <c r="GG17" s="35"/>
      <c r="GH17" s="291"/>
      <c r="GI17" s="291"/>
      <c r="GJ17" s="291"/>
      <c r="GK17" s="291"/>
      <c r="GL17" s="291"/>
      <c r="GM17" s="291"/>
      <c r="GN17" s="397"/>
      <c r="GO17" s="397"/>
      <c r="GP17" s="397"/>
      <c r="GQ17" s="397"/>
      <c r="GR17" s="397"/>
      <c r="GS17" s="35"/>
      <c r="GT17" s="291"/>
      <c r="GU17" s="291"/>
      <c r="GV17" s="291"/>
      <c r="GW17" s="291"/>
      <c r="GX17" s="291"/>
      <c r="GY17" s="291"/>
      <c r="GZ17" s="397"/>
      <c r="HA17" s="397"/>
      <c r="HB17" s="397"/>
      <c r="HC17" s="397"/>
      <c r="HD17" s="397"/>
      <c r="HE17" s="35"/>
      <c r="HF17" s="291"/>
      <c r="HG17" s="291"/>
      <c r="HH17" s="291"/>
      <c r="HI17" s="291"/>
      <c r="HJ17" s="291"/>
      <c r="HK17" s="291"/>
      <c r="HL17" s="397"/>
      <c r="HM17" s="397"/>
      <c r="HN17" s="397"/>
      <c r="HO17" s="397"/>
      <c r="HP17" s="397"/>
      <c r="HQ17" s="35"/>
      <c r="HR17" s="291"/>
      <c r="HS17" s="291"/>
      <c r="HT17" s="291"/>
      <c r="HU17" s="291"/>
      <c r="HV17" s="291"/>
      <c r="HW17" s="291"/>
      <c r="HX17" s="397"/>
      <c r="HY17" s="397"/>
      <c r="HZ17" s="397"/>
      <c r="IA17" s="397"/>
      <c r="IB17" s="397"/>
      <c r="IC17" s="35"/>
      <c r="ID17" s="291"/>
      <c r="IE17" s="291"/>
      <c r="IF17" s="291"/>
      <c r="IG17" s="291"/>
      <c r="IH17" s="291"/>
      <c r="II17" s="291"/>
      <c r="IJ17" s="397"/>
      <c r="IK17" s="397"/>
      <c r="IL17" s="397"/>
      <c r="IM17" s="397"/>
      <c r="IN17" s="397"/>
      <c r="IO17" s="35"/>
      <c r="IP17" s="291"/>
      <c r="IQ17" s="291"/>
      <c r="IR17" s="291"/>
    </row>
    <row r="18" spans="1:252" s="8" customFormat="1" ht="14.25">
      <c r="A18" s="35" t="s">
        <v>20</v>
      </c>
      <c r="B18" s="291">
        <v>-2.2999999999999998</v>
      </c>
      <c r="C18" s="291">
        <v>-4.2</v>
      </c>
      <c r="D18" s="291">
        <v>-3.3</v>
      </c>
      <c r="E18" s="291">
        <v>-3.3</v>
      </c>
      <c r="F18" s="291">
        <v>-2.6</v>
      </c>
      <c r="G18" s="397">
        <v>-3.6</v>
      </c>
      <c r="H18" s="291">
        <v>-2.6</v>
      </c>
      <c r="I18" s="291">
        <v>-2.1</v>
      </c>
      <c r="J18" s="291">
        <v>-1.8</v>
      </c>
      <c r="K18" s="291">
        <v>-1.5</v>
      </c>
      <c r="L18" s="291"/>
      <c r="M18" s="291"/>
      <c r="N18" s="291"/>
      <c r="O18" s="291"/>
      <c r="P18" s="291"/>
      <c r="Q18" s="291"/>
      <c r="R18" s="291"/>
      <c r="S18" s="296"/>
      <c r="T18" s="296"/>
      <c r="U18" s="34"/>
      <c r="V18" s="295"/>
      <c r="W18" s="295"/>
      <c r="X18" s="295"/>
      <c r="Y18" s="295"/>
      <c r="Z18" s="295"/>
      <c r="AA18" s="295"/>
      <c r="AB18" s="296"/>
      <c r="AC18" s="296"/>
      <c r="AD18" s="296"/>
      <c r="AE18" s="296"/>
      <c r="AF18" s="296"/>
      <c r="AG18" s="34"/>
      <c r="AH18" s="295"/>
      <c r="AI18" s="295"/>
      <c r="AJ18" s="295"/>
      <c r="AK18" s="295"/>
      <c r="AL18" s="295"/>
      <c r="AM18" s="295"/>
      <c r="AN18" s="296"/>
      <c r="AO18" s="296"/>
      <c r="AP18" s="296"/>
      <c r="AQ18" s="296"/>
      <c r="AR18" s="296"/>
      <c r="AS18" s="34"/>
      <c r="AT18" s="295"/>
      <c r="AU18" s="295"/>
      <c r="AV18" s="295"/>
      <c r="AW18" s="295"/>
      <c r="AX18" s="295"/>
      <c r="AY18" s="295"/>
      <c r="AZ18" s="296"/>
      <c r="BA18" s="296"/>
      <c r="BB18" s="296"/>
      <c r="BC18" s="296"/>
      <c r="BD18" s="296"/>
      <c r="BE18" s="34"/>
      <c r="BF18" s="295"/>
      <c r="BG18" s="295"/>
      <c r="BH18" s="295"/>
      <c r="BI18" s="295"/>
      <c r="BJ18" s="295"/>
      <c r="BK18" s="295"/>
      <c r="BL18" s="296"/>
      <c r="BM18" s="296"/>
      <c r="BN18" s="296"/>
      <c r="BO18" s="296"/>
      <c r="BP18" s="296"/>
      <c r="BQ18" s="34"/>
      <c r="BR18" s="295"/>
      <c r="BS18" s="295"/>
      <c r="BT18" s="295"/>
      <c r="BU18" s="295"/>
      <c r="BV18" s="295"/>
      <c r="BW18" s="295"/>
      <c r="BX18" s="296"/>
      <c r="BY18" s="296"/>
      <c r="BZ18" s="296"/>
      <c r="CA18" s="296"/>
      <c r="CB18" s="296"/>
      <c r="CC18" s="34"/>
      <c r="CD18" s="295"/>
      <c r="CE18" s="295"/>
      <c r="CF18" s="295"/>
      <c r="CG18" s="295"/>
      <c r="CH18" s="295"/>
      <c r="CI18" s="295"/>
      <c r="CJ18" s="296"/>
      <c r="CK18" s="296"/>
      <c r="CL18" s="296"/>
      <c r="CM18" s="296"/>
      <c r="CN18" s="296"/>
      <c r="CO18" s="34"/>
      <c r="CP18" s="295"/>
      <c r="CQ18" s="295"/>
      <c r="CR18" s="295"/>
      <c r="CS18" s="295"/>
      <c r="CT18" s="295"/>
      <c r="CU18" s="295"/>
      <c r="CV18" s="296"/>
      <c r="CW18" s="296"/>
      <c r="CX18" s="296"/>
      <c r="CY18" s="296"/>
      <c r="CZ18" s="296"/>
      <c r="DA18" s="34"/>
      <c r="DB18" s="295"/>
      <c r="DC18" s="295"/>
      <c r="DD18" s="295"/>
      <c r="DE18" s="295"/>
      <c r="DF18" s="295"/>
      <c r="DG18" s="295"/>
      <c r="DH18" s="296"/>
      <c r="DI18" s="296"/>
      <c r="DJ18" s="296"/>
      <c r="DK18" s="296"/>
      <c r="DL18" s="296"/>
      <c r="DM18" s="34"/>
      <c r="DN18" s="295"/>
      <c r="DO18" s="295"/>
      <c r="DP18" s="295"/>
      <c r="DQ18" s="295"/>
      <c r="DR18" s="295"/>
      <c r="DS18" s="295"/>
      <c r="DT18" s="296"/>
      <c r="DU18" s="296"/>
      <c r="DV18" s="296"/>
      <c r="DW18" s="296"/>
      <c r="DX18" s="296"/>
      <c r="DY18" s="34"/>
      <c r="DZ18" s="295"/>
      <c r="EA18" s="295"/>
      <c r="EB18" s="295"/>
      <c r="EC18" s="295"/>
      <c r="ED18" s="295"/>
      <c r="EE18" s="295"/>
      <c r="EF18" s="296"/>
      <c r="EG18" s="296"/>
      <c r="EH18" s="296"/>
      <c r="EI18" s="296"/>
      <c r="EJ18" s="296"/>
      <c r="EK18" s="34"/>
      <c r="EL18" s="295"/>
      <c r="EM18" s="295"/>
      <c r="EN18" s="295"/>
      <c r="EO18" s="295"/>
      <c r="EP18" s="295"/>
      <c r="EQ18" s="295"/>
      <c r="ER18" s="296"/>
      <c r="ES18" s="296"/>
      <c r="ET18" s="296"/>
      <c r="EU18" s="296"/>
      <c r="EV18" s="296"/>
      <c r="EW18" s="34"/>
      <c r="EX18" s="295"/>
      <c r="EY18" s="295"/>
      <c r="EZ18" s="295"/>
      <c r="FA18" s="295"/>
      <c r="FB18" s="295"/>
      <c r="FC18" s="295"/>
      <c r="FD18" s="296"/>
      <c r="FE18" s="296"/>
      <c r="FF18" s="296"/>
      <c r="FG18" s="296"/>
      <c r="FH18" s="296"/>
      <c r="FI18" s="34"/>
      <c r="FJ18" s="295"/>
      <c r="FK18" s="295"/>
      <c r="FL18" s="295"/>
      <c r="FM18" s="295"/>
      <c r="FN18" s="295"/>
      <c r="FO18" s="295"/>
      <c r="FP18" s="296"/>
      <c r="FQ18" s="296"/>
      <c r="FR18" s="296"/>
      <c r="FS18" s="296"/>
      <c r="FT18" s="296"/>
      <c r="FU18" s="34"/>
      <c r="FV18" s="295"/>
      <c r="FW18" s="295"/>
      <c r="FX18" s="295"/>
      <c r="FY18" s="295"/>
      <c r="FZ18" s="295"/>
      <c r="GA18" s="295"/>
      <c r="GB18" s="296"/>
      <c r="GC18" s="296"/>
      <c r="GD18" s="296"/>
      <c r="GE18" s="296"/>
      <c r="GF18" s="296"/>
      <c r="GG18" s="34"/>
      <c r="GH18" s="295"/>
      <c r="GI18" s="295"/>
      <c r="GJ18" s="295"/>
      <c r="GK18" s="295"/>
      <c r="GL18" s="295"/>
      <c r="GM18" s="295"/>
      <c r="GN18" s="296"/>
      <c r="GO18" s="296"/>
      <c r="GP18" s="296"/>
      <c r="GQ18" s="296"/>
      <c r="GR18" s="296"/>
      <c r="GS18" s="34"/>
      <c r="GT18" s="295"/>
      <c r="GU18" s="295"/>
      <c r="GV18" s="295"/>
      <c r="GW18" s="295"/>
      <c r="GX18" s="295"/>
      <c r="GY18" s="295"/>
      <c r="GZ18" s="296"/>
      <c r="HA18" s="296"/>
      <c r="HB18" s="296"/>
      <c r="HC18" s="296"/>
      <c r="HD18" s="296"/>
      <c r="HE18" s="34"/>
      <c r="HF18" s="295"/>
      <c r="HG18" s="295"/>
      <c r="HH18" s="295"/>
      <c r="HI18" s="295"/>
      <c r="HJ18" s="295"/>
      <c r="HK18" s="295"/>
      <c r="HL18" s="296"/>
      <c r="HM18" s="296"/>
      <c r="HN18" s="296"/>
      <c r="HO18" s="296"/>
      <c r="HP18" s="296"/>
      <c r="HQ18" s="34"/>
      <c r="HR18" s="295"/>
      <c r="HS18" s="295"/>
      <c r="HT18" s="295"/>
      <c r="HU18" s="295"/>
      <c r="HV18" s="295"/>
      <c r="HW18" s="295"/>
      <c r="HX18" s="296"/>
      <c r="HY18" s="296"/>
      <c r="HZ18" s="296"/>
      <c r="IA18" s="296"/>
      <c r="IB18" s="296"/>
      <c r="IC18" s="34"/>
      <c r="ID18" s="295"/>
      <c r="IE18" s="295"/>
      <c r="IF18" s="295"/>
      <c r="IG18" s="295"/>
      <c r="IH18" s="295"/>
      <c r="II18" s="295"/>
      <c r="IJ18" s="296"/>
      <c r="IK18" s="296"/>
      <c r="IL18" s="296"/>
      <c r="IM18" s="296"/>
      <c r="IN18" s="296"/>
      <c r="IO18" s="34"/>
      <c r="IP18" s="295"/>
      <c r="IQ18" s="295"/>
      <c r="IR18" s="295"/>
    </row>
    <row r="19" spans="1:252" s="8" customFormat="1" ht="14.25">
      <c r="A19" s="35" t="s">
        <v>19</v>
      </c>
      <c r="B19" s="291">
        <v>0.2</v>
      </c>
      <c r="C19" s="291">
        <v>0.2</v>
      </c>
      <c r="D19" s="291">
        <v>-5.5</v>
      </c>
      <c r="E19" s="291">
        <v>-5</v>
      </c>
      <c r="F19" s="291">
        <v>-4.3</v>
      </c>
      <c r="G19" s="397">
        <v>-4</v>
      </c>
      <c r="H19" s="291">
        <v>-2.2999999999999998</v>
      </c>
      <c r="I19" s="291">
        <v>-2.2999999999999998</v>
      </c>
      <c r="J19" s="291">
        <v>-1.7</v>
      </c>
      <c r="K19" s="291">
        <v>-1.2</v>
      </c>
      <c r="L19" s="291"/>
      <c r="M19" s="291"/>
      <c r="N19" s="291"/>
      <c r="O19" s="291"/>
      <c r="P19" s="291"/>
      <c r="Q19" s="291"/>
      <c r="R19" s="291"/>
      <c r="S19" s="296"/>
      <c r="T19" s="296"/>
      <c r="U19" s="34"/>
      <c r="V19" s="295"/>
      <c r="W19" s="295"/>
      <c r="X19" s="295"/>
      <c r="Y19" s="296"/>
      <c r="Z19" s="295"/>
      <c r="AA19" s="295"/>
      <c r="AB19" s="296"/>
      <c r="AC19" s="296"/>
      <c r="AD19" s="296"/>
      <c r="AE19" s="296"/>
      <c r="AF19" s="296"/>
      <c r="AG19" s="34"/>
      <c r="AH19" s="295"/>
      <c r="AI19" s="295"/>
      <c r="AJ19" s="295"/>
      <c r="AK19" s="296"/>
      <c r="AL19" s="295"/>
      <c r="AM19" s="295"/>
      <c r="AN19" s="296"/>
      <c r="AO19" s="296"/>
      <c r="AP19" s="296"/>
      <c r="AQ19" s="296"/>
      <c r="AR19" s="296"/>
      <c r="AS19" s="34"/>
      <c r="AT19" s="295"/>
      <c r="AU19" s="295"/>
      <c r="AV19" s="295"/>
      <c r="AW19" s="296"/>
      <c r="AX19" s="295"/>
      <c r="AY19" s="295"/>
      <c r="AZ19" s="296"/>
      <c r="BA19" s="296"/>
      <c r="BB19" s="296"/>
      <c r="BC19" s="296"/>
      <c r="BD19" s="296"/>
      <c r="BE19" s="34"/>
      <c r="BF19" s="295"/>
      <c r="BG19" s="295"/>
      <c r="BH19" s="295"/>
      <c r="BI19" s="296"/>
      <c r="BJ19" s="295"/>
      <c r="BK19" s="295"/>
      <c r="BL19" s="296"/>
      <c r="BM19" s="296"/>
      <c r="BN19" s="296"/>
      <c r="BO19" s="296"/>
      <c r="BP19" s="296"/>
      <c r="BQ19" s="34"/>
      <c r="BR19" s="295"/>
      <c r="BS19" s="295"/>
      <c r="BT19" s="295"/>
      <c r="BU19" s="296"/>
      <c r="BV19" s="295"/>
      <c r="BW19" s="295"/>
      <c r="BX19" s="296"/>
      <c r="BY19" s="296"/>
      <c r="BZ19" s="296"/>
      <c r="CA19" s="296"/>
      <c r="CB19" s="296"/>
      <c r="CC19" s="34"/>
      <c r="CD19" s="295"/>
      <c r="CE19" s="295"/>
      <c r="CF19" s="295"/>
      <c r="CG19" s="296"/>
      <c r="CH19" s="295"/>
      <c r="CI19" s="295"/>
      <c r="CJ19" s="296"/>
      <c r="CK19" s="296"/>
      <c r="CL19" s="296"/>
      <c r="CM19" s="296"/>
      <c r="CN19" s="296"/>
      <c r="CO19" s="34"/>
      <c r="CP19" s="295"/>
      <c r="CQ19" s="295"/>
      <c r="CR19" s="295"/>
      <c r="CS19" s="296"/>
      <c r="CT19" s="295"/>
      <c r="CU19" s="295"/>
      <c r="CV19" s="296"/>
      <c r="CW19" s="296"/>
      <c r="CX19" s="296"/>
      <c r="CY19" s="296"/>
      <c r="CZ19" s="296"/>
      <c r="DA19" s="34"/>
      <c r="DB19" s="295"/>
      <c r="DC19" s="295"/>
      <c r="DD19" s="295"/>
      <c r="DE19" s="296"/>
      <c r="DF19" s="295"/>
      <c r="DG19" s="295"/>
      <c r="DH19" s="296"/>
      <c r="DI19" s="296"/>
      <c r="DJ19" s="296"/>
      <c r="DK19" s="296"/>
      <c r="DL19" s="296"/>
      <c r="DM19" s="34"/>
      <c r="DN19" s="295"/>
      <c r="DO19" s="295"/>
      <c r="DP19" s="295"/>
      <c r="DQ19" s="296"/>
      <c r="DR19" s="295"/>
      <c r="DS19" s="295"/>
      <c r="DT19" s="296"/>
      <c r="DU19" s="296"/>
      <c r="DV19" s="296"/>
      <c r="DW19" s="296"/>
      <c r="DX19" s="296"/>
      <c r="DY19" s="34"/>
      <c r="DZ19" s="295"/>
      <c r="EA19" s="295"/>
      <c r="EB19" s="295"/>
      <c r="EC19" s="296"/>
      <c r="ED19" s="295"/>
      <c r="EE19" s="295"/>
      <c r="EF19" s="296"/>
      <c r="EG19" s="296"/>
      <c r="EH19" s="296"/>
      <c r="EI19" s="296"/>
      <c r="EJ19" s="296"/>
      <c r="EK19" s="34"/>
      <c r="EL19" s="295"/>
      <c r="EM19" s="295"/>
      <c r="EN19" s="295"/>
      <c r="EO19" s="296"/>
      <c r="EP19" s="295"/>
      <c r="EQ19" s="295"/>
      <c r="ER19" s="296"/>
      <c r="ES19" s="296"/>
      <c r="ET19" s="296"/>
      <c r="EU19" s="296"/>
      <c r="EV19" s="296"/>
      <c r="EW19" s="34"/>
      <c r="EX19" s="295"/>
      <c r="EY19" s="295"/>
      <c r="EZ19" s="295"/>
      <c r="FA19" s="296"/>
      <c r="FB19" s="295"/>
      <c r="FC19" s="295"/>
      <c r="FD19" s="296"/>
      <c r="FE19" s="296"/>
      <c r="FF19" s="296"/>
      <c r="FG19" s="296"/>
      <c r="FH19" s="296"/>
      <c r="FI19" s="34"/>
      <c r="FJ19" s="295"/>
      <c r="FK19" s="295"/>
      <c r="FL19" s="295"/>
      <c r="FM19" s="296"/>
      <c r="FN19" s="295"/>
      <c r="FO19" s="295"/>
      <c r="FP19" s="296"/>
      <c r="FQ19" s="296"/>
      <c r="FR19" s="296"/>
      <c r="FS19" s="296"/>
      <c r="FT19" s="296"/>
      <c r="FU19" s="34"/>
      <c r="FV19" s="295"/>
      <c r="FW19" s="295"/>
      <c r="FX19" s="295"/>
      <c r="FY19" s="296"/>
      <c r="FZ19" s="295"/>
      <c r="GA19" s="295"/>
      <c r="GB19" s="296"/>
      <c r="GC19" s="296"/>
      <c r="GD19" s="296"/>
      <c r="GE19" s="296"/>
      <c r="GF19" s="296"/>
      <c r="GG19" s="34"/>
      <c r="GH19" s="295"/>
      <c r="GI19" s="295"/>
      <c r="GJ19" s="295"/>
      <c r="GK19" s="296"/>
      <c r="GL19" s="295"/>
      <c r="GM19" s="295"/>
      <c r="GN19" s="296"/>
      <c r="GO19" s="296"/>
      <c r="GP19" s="296"/>
      <c r="GQ19" s="296"/>
      <c r="GR19" s="296"/>
      <c r="GS19" s="34"/>
      <c r="GT19" s="295"/>
      <c r="GU19" s="295"/>
      <c r="GV19" s="295"/>
      <c r="GW19" s="296"/>
      <c r="GX19" s="295"/>
      <c r="GY19" s="295"/>
      <c r="GZ19" s="296"/>
      <c r="HA19" s="296"/>
      <c r="HB19" s="296"/>
      <c r="HC19" s="296"/>
      <c r="HD19" s="296"/>
      <c r="HE19" s="34"/>
      <c r="HF19" s="295"/>
      <c r="HG19" s="295"/>
      <c r="HH19" s="295"/>
      <c r="HI19" s="296"/>
      <c r="HJ19" s="295"/>
      <c r="HK19" s="295"/>
      <c r="HL19" s="296"/>
      <c r="HM19" s="296"/>
      <c r="HN19" s="296"/>
      <c r="HO19" s="296"/>
      <c r="HP19" s="296"/>
      <c r="HQ19" s="34"/>
      <c r="HR19" s="295"/>
      <c r="HS19" s="295"/>
      <c r="HT19" s="295"/>
      <c r="HU19" s="296"/>
      <c r="HV19" s="295"/>
      <c r="HW19" s="295"/>
      <c r="HX19" s="296"/>
      <c r="HY19" s="296"/>
      <c r="HZ19" s="296"/>
      <c r="IA19" s="296"/>
      <c r="IB19" s="296"/>
      <c r="IC19" s="34"/>
      <c r="ID19" s="295"/>
      <c r="IE19" s="295"/>
      <c r="IF19" s="295"/>
      <c r="IG19" s="296"/>
      <c r="IH19" s="295"/>
      <c r="II19" s="295"/>
      <c r="IJ19" s="296"/>
      <c r="IK19" s="296"/>
      <c r="IL19" s="296"/>
      <c r="IM19" s="296"/>
      <c r="IN19" s="296"/>
      <c r="IO19" s="34"/>
      <c r="IP19" s="295"/>
      <c r="IQ19" s="295"/>
      <c r="IR19" s="295"/>
    </row>
    <row r="20" spans="1:252" s="5" customFormat="1" ht="14.25">
      <c r="A20" s="34" t="s">
        <v>18</v>
      </c>
      <c r="B20" s="295">
        <v>-1.3</v>
      </c>
      <c r="C20" s="295">
        <v>-1.4</v>
      </c>
      <c r="D20" s="295">
        <v>-5.3</v>
      </c>
      <c r="E20" s="295">
        <v>-4.5</v>
      </c>
      <c r="F20" s="295">
        <v>-2.6</v>
      </c>
      <c r="G20" s="296">
        <v>-2.2000000000000002</v>
      </c>
      <c r="H20" s="295">
        <v>-1.3</v>
      </c>
      <c r="I20" s="295">
        <v>-2.4</v>
      </c>
      <c r="J20" s="295">
        <v>-2</v>
      </c>
      <c r="K20" s="295">
        <v>-2</v>
      </c>
      <c r="L20" s="291"/>
      <c r="M20" s="291"/>
      <c r="N20" s="291"/>
      <c r="O20" s="291"/>
      <c r="P20" s="291"/>
      <c r="Q20" s="291"/>
      <c r="R20" s="291"/>
      <c r="S20" s="291"/>
      <c r="T20" s="291"/>
      <c r="U20" s="36"/>
      <c r="V20" s="291"/>
      <c r="W20" s="291"/>
      <c r="X20" s="291"/>
      <c r="Y20" s="291"/>
      <c r="Z20" s="291"/>
      <c r="AA20" s="291"/>
      <c r="AB20" s="291"/>
      <c r="AC20" s="291"/>
      <c r="AD20" s="291"/>
      <c r="AE20" s="291"/>
      <c r="AF20" s="291"/>
      <c r="AG20" s="36"/>
      <c r="AH20" s="291"/>
      <c r="AI20" s="291"/>
      <c r="AJ20" s="291"/>
      <c r="AK20" s="291"/>
      <c r="AL20" s="291"/>
      <c r="AM20" s="291"/>
      <c r="AN20" s="291"/>
      <c r="AO20" s="291"/>
      <c r="AP20" s="291"/>
      <c r="AQ20" s="291"/>
      <c r="AR20" s="291"/>
      <c r="AS20" s="36"/>
      <c r="AT20" s="291"/>
      <c r="AU20" s="291"/>
      <c r="AV20" s="291"/>
      <c r="AW20" s="291"/>
      <c r="AX20" s="291"/>
      <c r="AY20" s="291"/>
      <c r="AZ20" s="291"/>
      <c r="BA20" s="291"/>
      <c r="BB20" s="291"/>
      <c r="BC20" s="291"/>
      <c r="BD20" s="291"/>
      <c r="BE20" s="36"/>
      <c r="BF20" s="291"/>
      <c r="BG20" s="291"/>
      <c r="BH20" s="291"/>
      <c r="BI20" s="291"/>
      <c r="BJ20" s="291"/>
      <c r="BK20" s="291"/>
      <c r="BL20" s="291"/>
      <c r="BM20" s="291"/>
      <c r="BN20" s="291"/>
      <c r="BO20" s="291"/>
      <c r="BP20" s="291"/>
      <c r="BQ20" s="36"/>
      <c r="BR20" s="291"/>
      <c r="BS20" s="291"/>
      <c r="BT20" s="291"/>
      <c r="BU20" s="291"/>
      <c r="BV20" s="291"/>
      <c r="BW20" s="291"/>
      <c r="BX20" s="291"/>
      <c r="BY20" s="291"/>
      <c r="BZ20" s="291"/>
      <c r="CA20" s="291"/>
      <c r="CB20" s="291"/>
      <c r="CC20" s="36"/>
      <c r="CD20" s="291"/>
      <c r="CE20" s="291"/>
      <c r="CF20" s="291"/>
      <c r="CG20" s="291"/>
      <c r="CH20" s="291"/>
      <c r="CI20" s="291"/>
      <c r="CJ20" s="291"/>
      <c r="CK20" s="291"/>
      <c r="CL20" s="291"/>
      <c r="CM20" s="291"/>
      <c r="CN20" s="291"/>
      <c r="CO20" s="36"/>
      <c r="CP20" s="291"/>
      <c r="CQ20" s="291"/>
      <c r="CR20" s="291"/>
      <c r="CS20" s="291"/>
      <c r="CT20" s="291"/>
      <c r="CU20" s="291"/>
      <c r="CV20" s="291"/>
      <c r="CW20" s="291"/>
      <c r="CX20" s="291"/>
      <c r="CY20" s="291"/>
      <c r="CZ20" s="291"/>
      <c r="DA20" s="36"/>
      <c r="DB20" s="291"/>
      <c r="DC20" s="291"/>
      <c r="DD20" s="291"/>
      <c r="DE20" s="291"/>
      <c r="DF20" s="291"/>
      <c r="DG20" s="291"/>
      <c r="DH20" s="291"/>
      <c r="DI20" s="291"/>
      <c r="DJ20" s="291"/>
      <c r="DK20" s="291"/>
      <c r="DL20" s="291"/>
      <c r="DM20" s="36"/>
      <c r="DN20" s="291"/>
      <c r="DO20" s="291"/>
      <c r="DP20" s="291"/>
      <c r="DQ20" s="291"/>
      <c r="DR20" s="291"/>
      <c r="DS20" s="291"/>
      <c r="DT20" s="291"/>
      <c r="DU20" s="291"/>
      <c r="DV20" s="291"/>
      <c r="DW20" s="291"/>
      <c r="DX20" s="291"/>
      <c r="DY20" s="36"/>
      <c r="DZ20" s="291"/>
      <c r="EA20" s="291"/>
      <c r="EB20" s="291"/>
      <c r="EC20" s="291"/>
      <c r="ED20" s="291"/>
      <c r="EE20" s="291"/>
      <c r="EF20" s="291"/>
      <c r="EG20" s="291"/>
      <c r="EH20" s="291"/>
      <c r="EI20" s="291"/>
      <c r="EJ20" s="291"/>
      <c r="EK20" s="36"/>
      <c r="EL20" s="291"/>
      <c r="EM20" s="291"/>
      <c r="EN20" s="291"/>
      <c r="EO20" s="291"/>
      <c r="EP20" s="291"/>
      <c r="EQ20" s="291"/>
      <c r="ER20" s="291"/>
      <c r="ES20" s="291"/>
      <c r="ET20" s="291"/>
      <c r="EU20" s="291"/>
      <c r="EV20" s="291"/>
      <c r="EW20" s="36"/>
      <c r="EX20" s="291"/>
      <c r="EY20" s="291"/>
      <c r="EZ20" s="291"/>
      <c r="FA20" s="291"/>
      <c r="FB20" s="291"/>
      <c r="FC20" s="291"/>
      <c r="FD20" s="291"/>
      <c r="FE20" s="291"/>
      <c r="FF20" s="291"/>
      <c r="FG20" s="291"/>
      <c r="FH20" s="291"/>
      <c r="FI20" s="36"/>
      <c r="FJ20" s="291"/>
      <c r="FK20" s="291"/>
      <c r="FL20" s="291"/>
      <c r="FM20" s="291"/>
      <c r="FN20" s="291"/>
      <c r="FO20" s="291"/>
      <c r="FP20" s="291"/>
      <c r="FQ20" s="291"/>
      <c r="FR20" s="291"/>
      <c r="FS20" s="291"/>
      <c r="FT20" s="291"/>
      <c r="FU20" s="36"/>
      <c r="FV20" s="291"/>
      <c r="FW20" s="291"/>
      <c r="FX20" s="291"/>
      <c r="FY20" s="291"/>
      <c r="FZ20" s="291"/>
      <c r="GA20" s="291"/>
      <c r="GB20" s="291"/>
      <c r="GC20" s="291"/>
      <c r="GD20" s="291"/>
      <c r="GE20" s="291"/>
      <c r="GF20" s="291"/>
      <c r="GG20" s="36"/>
      <c r="GH20" s="291"/>
      <c r="GI20" s="291"/>
      <c r="GJ20" s="291"/>
      <c r="GK20" s="291"/>
      <c r="GL20" s="291"/>
      <c r="GM20" s="291"/>
      <c r="GN20" s="291"/>
      <c r="GO20" s="291"/>
      <c r="GP20" s="291"/>
      <c r="GQ20" s="291"/>
      <c r="GR20" s="291"/>
      <c r="GS20" s="36"/>
      <c r="GT20" s="291"/>
      <c r="GU20" s="291"/>
      <c r="GV20" s="291"/>
      <c r="GW20" s="291"/>
      <c r="GX20" s="291"/>
      <c r="GY20" s="291"/>
      <c r="GZ20" s="291"/>
      <c r="HA20" s="291"/>
      <c r="HB20" s="291"/>
      <c r="HC20" s="291"/>
      <c r="HD20" s="291"/>
      <c r="HE20" s="36"/>
      <c r="HF20" s="291"/>
      <c r="HG20" s="291"/>
      <c r="HH20" s="291"/>
      <c r="HI20" s="291"/>
      <c r="HJ20" s="291"/>
      <c r="HK20" s="291"/>
      <c r="HL20" s="291"/>
      <c r="HM20" s="291"/>
      <c r="HN20" s="291"/>
      <c r="HO20" s="291"/>
      <c r="HP20" s="291"/>
      <c r="HQ20" s="36"/>
      <c r="HR20" s="291"/>
      <c r="HS20" s="291"/>
      <c r="HT20" s="291"/>
      <c r="HU20" s="291"/>
      <c r="HV20" s="291"/>
      <c r="HW20" s="291"/>
      <c r="HX20" s="291"/>
      <c r="HY20" s="291"/>
      <c r="HZ20" s="291"/>
      <c r="IA20" s="291"/>
      <c r="IB20" s="291"/>
      <c r="IC20" s="36"/>
      <c r="ID20" s="291"/>
      <c r="IE20" s="291"/>
      <c r="IF20" s="291"/>
      <c r="IG20" s="291"/>
      <c r="IH20" s="291"/>
      <c r="II20" s="291"/>
      <c r="IJ20" s="291"/>
      <c r="IK20" s="291"/>
      <c r="IL20" s="291"/>
      <c r="IM20" s="291"/>
      <c r="IN20" s="291"/>
      <c r="IO20" s="36"/>
      <c r="IP20" s="291"/>
      <c r="IQ20" s="291"/>
      <c r="IR20" s="291"/>
    </row>
    <row r="21" spans="1:252" s="5" customFormat="1" ht="14.25">
      <c r="A21" s="34" t="s">
        <v>1021</v>
      </c>
      <c r="B21" s="560" t="s">
        <v>818</v>
      </c>
      <c r="C21" s="560" t="s">
        <v>818</v>
      </c>
      <c r="D21" s="560" t="s">
        <v>818</v>
      </c>
      <c r="E21" s="295">
        <v>-4.4477914632989553</v>
      </c>
      <c r="F21" s="295">
        <v>-2.5573703153797345</v>
      </c>
      <c r="G21" s="296">
        <v>-2.1529597514598131</v>
      </c>
      <c r="H21" s="295">
        <v>-1.265359890056172</v>
      </c>
      <c r="I21" s="295">
        <v>-2.6911798077599611</v>
      </c>
      <c r="J21" s="295">
        <v>-1.9006779982588342</v>
      </c>
      <c r="K21" s="295">
        <v>-1.4077237875931305</v>
      </c>
      <c r="L21" s="291"/>
      <c r="M21" s="291"/>
      <c r="N21" s="291"/>
      <c r="O21" s="291"/>
      <c r="P21" s="291"/>
      <c r="Q21" s="291"/>
      <c r="R21" s="291"/>
      <c r="S21" s="291"/>
      <c r="T21" s="291"/>
      <c r="U21" s="35"/>
      <c r="V21" s="291"/>
      <c r="W21" s="291"/>
      <c r="X21" s="291"/>
      <c r="Y21" s="291"/>
      <c r="Z21" s="291"/>
      <c r="AA21" s="291"/>
      <c r="AB21" s="291"/>
      <c r="AC21" s="291"/>
      <c r="AD21" s="291"/>
      <c r="AE21" s="291"/>
      <c r="AF21" s="291"/>
      <c r="AG21" s="35"/>
      <c r="AH21" s="291"/>
      <c r="AI21" s="291"/>
      <c r="AJ21" s="291"/>
      <c r="AK21" s="291"/>
      <c r="AL21" s="291"/>
      <c r="AM21" s="291"/>
      <c r="AN21" s="291"/>
      <c r="AO21" s="291"/>
      <c r="AP21" s="291"/>
      <c r="AQ21" s="291"/>
      <c r="AR21" s="291"/>
      <c r="AS21" s="35"/>
      <c r="AT21" s="291"/>
      <c r="AU21" s="291"/>
      <c r="AV21" s="291"/>
      <c r="AW21" s="291"/>
      <c r="AX21" s="291"/>
      <c r="AY21" s="291"/>
      <c r="AZ21" s="291"/>
      <c r="BA21" s="291"/>
      <c r="BB21" s="291"/>
      <c r="BC21" s="291"/>
      <c r="BD21" s="291"/>
      <c r="BE21" s="35"/>
      <c r="BF21" s="291"/>
      <c r="BG21" s="291"/>
      <c r="BH21" s="291"/>
      <c r="BI21" s="291"/>
      <c r="BJ21" s="291"/>
      <c r="BK21" s="291"/>
      <c r="BL21" s="291"/>
      <c r="BM21" s="291"/>
      <c r="BN21" s="291"/>
      <c r="BO21" s="291"/>
      <c r="BP21" s="291"/>
      <c r="BQ21" s="35"/>
      <c r="BR21" s="291"/>
      <c r="BS21" s="291"/>
      <c r="BT21" s="291"/>
      <c r="BU21" s="291"/>
      <c r="BV21" s="291"/>
      <c r="BW21" s="291"/>
      <c r="BX21" s="291"/>
      <c r="BY21" s="291"/>
      <c r="BZ21" s="291"/>
      <c r="CA21" s="291"/>
      <c r="CB21" s="291"/>
      <c r="CC21" s="35"/>
      <c r="CD21" s="291"/>
      <c r="CE21" s="291"/>
      <c r="CF21" s="291"/>
      <c r="CG21" s="291"/>
      <c r="CH21" s="291"/>
      <c r="CI21" s="291"/>
      <c r="CJ21" s="291"/>
      <c r="CK21" s="291"/>
      <c r="CL21" s="291"/>
      <c r="CM21" s="291"/>
      <c r="CN21" s="291"/>
      <c r="CO21" s="35"/>
      <c r="CP21" s="291"/>
      <c r="CQ21" s="291"/>
      <c r="CR21" s="291"/>
      <c r="CS21" s="291"/>
      <c r="CT21" s="291"/>
      <c r="CU21" s="291"/>
      <c r="CV21" s="291"/>
      <c r="CW21" s="291"/>
      <c r="CX21" s="291"/>
      <c r="CY21" s="291"/>
      <c r="CZ21" s="291"/>
      <c r="DA21" s="35"/>
      <c r="DB21" s="291"/>
      <c r="DC21" s="291"/>
      <c r="DD21" s="291"/>
      <c r="DE21" s="291"/>
      <c r="DF21" s="291"/>
      <c r="DG21" s="291"/>
      <c r="DH21" s="291"/>
      <c r="DI21" s="291"/>
      <c r="DJ21" s="291"/>
      <c r="DK21" s="291"/>
      <c r="DL21" s="291"/>
      <c r="DM21" s="35"/>
      <c r="DN21" s="291"/>
      <c r="DO21" s="291"/>
      <c r="DP21" s="291"/>
      <c r="DQ21" s="291"/>
      <c r="DR21" s="291"/>
      <c r="DS21" s="291"/>
      <c r="DT21" s="291"/>
      <c r="DU21" s="291"/>
      <c r="DV21" s="291"/>
      <c r="DW21" s="291"/>
      <c r="DX21" s="291"/>
      <c r="DY21" s="35"/>
      <c r="DZ21" s="291"/>
      <c r="EA21" s="291"/>
      <c r="EB21" s="291"/>
      <c r="EC21" s="291"/>
      <c r="ED21" s="291"/>
      <c r="EE21" s="291"/>
      <c r="EF21" s="291"/>
      <c r="EG21" s="291"/>
      <c r="EH21" s="291"/>
      <c r="EI21" s="291"/>
      <c r="EJ21" s="291"/>
      <c r="EK21" s="35"/>
      <c r="EL21" s="291"/>
      <c r="EM21" s="291"/>
      <c r="EN21" s="291"/>
      <c r="EO21" s="291"/>
      <c r="EP21" s="291"/>
      <c r="EQ21" s="291"/>
      <c r="ER21" s="291"/>
      <c r="ES21" s="291"/>
      <c r="ET21" s="291"/>
      <c r="EU21" s="291"/>
      <c r="EV21" s="291"/>
      <c r="EW21" s="35"/>
      <c r="EX21" s="291"/>
      <c r="EY21" s="291"/>
      <c r="EZ21" s="291"/>
      <c r="FA21" s="291"/>
      <c r="FB21" s="291"/>
      <c r="FC21" s="291"/>
      <c r="FD21" s="291"/>
      <c r="FE21" s="291"/>
      <c r="FF21" s="291"/>
      <c r="FG21" s="291"/>
      <c r="FH21" s="291"/>
      <c r="FI21" s="35"/>
      <c r="FJ21" s="291"/>
      <c r="FK21" s="291"/>
      <c r="FL21" s="291"/>
      <c r="FM21" s="291"/>
      <c r="FN21" s="291"/>
      <c r="FO21" s="291"/>
      <c r="FP21" s="291"/>
      <c r="FQ21" s="291"/>
      <c r="FR21" s="291"/>
      <c r="FS21" s="291"/>
      <c r="FT21" s="291"/>
      <c r="FU21" s="35"/>
      <c r="FV21" s="291"/>
      <c r="FW21" s="291"/>
      <c r="FX21" s="291"/>
      <c r="FY21" s="291"/>
      <c r="FZ21" s="291"/>
      <c r="GA21" s="291"/>
      <c r="GB21" s="291"/>
      <c r="GC21" s="291"/>
      <c r="GD21" s="291"/>
      <c r="GE21" s="291"/>
      <c r="GF21" s="291"/>
      <c r="GG21" s="35"/>
      <c r="GH21" s="291"/>
      <c r="GI21" s="291"/>
      <c r="GJ21" s="291"/>
      <c r="GK21" s="291"/>
      <c r="GL21" s="291"/>
      <c r="GM21" s="291"/>
      <c r="GN21" s="291"/>
      <c r="GO21" s="291"/>
      <c r="GP21" s="291"/>
      <c r="GQ21" s="291"/>
      <c r="GR21" s="291"/>
      <c r="GS21" s="35"/>
      <c r="GT21" s="291"/>
      <c r="GU21" s="291"/>
      <c r="GV21" s="291"/>
      <c r="GW21" s="291"/>
      <c r="GX21" s="291"/>
      <c r="GY21" s="291"/>
      <c r="GZ21" s="291"/>
      <c r="HA21" s="291"/>
      <c r="HB21" s="291"/>
      <c r="HC21" s="291"/>
      <c r="HD21" s="291"/>
      <c r="HE21" s="35"/>
      <c r="HF21" s="291"/>
      <c r="HG21" s="291"/>
      <c r="HH21" s="291"/>
      <c r="HI21" s="291"/>
      <c r="HJ21" s="291"/>
      <c r="HK21" s="291"/>
      <c r="HL21" s="291"/>
      <c r="HM21" s="291"/>
      <c r="HN21" s="291"/>
      <c r="HO21" s="291"/>
      <c r="HP21" s="291"/>
      <c r="HQ21" s="35"/>
      <c r="HR21" s="291"/>
      <c r="HS21" s="291"/>
      <c r="HT21" s="291"/>
      <c r="HU21" s="291"/>
      <c r="HV21" s="291"/>
      <c r="HW21" s="291"/>
      <c r="HX21" s="291"/>
      <c r="HY21" s="291"/>
      <c r="HZ21" s="291"/>
      <c r="IA21" s="291"/>
      <c r="IB21" s="291"/>
      <c r="IC21" s="35"/>
      <c r="ID21" s="291"/>
      <c r="IE21" s="291"/>
      <c r="IF21" s="291"/>
      <c r="IG21" s="291"/>
      <c r="IH21" s="291"/>
      <c r="II21" s="291"/>
      <c r="IJ21" s="291"/>
      <c r="IK21" s="291"/>
      <c r="IL21" s="291"/>
      <c r="IM21" s="291"/>
      <c r="IN21" s="291"/>
      <c r="IO21" s="35"/>
      <c r="IP21" s="291"/>
      <c r="IQ21" s="291"/>
      <c r="IR21" s="291"/>
    </row>
    <row r="22" spans="1:252" s="5" customFormat="1" ht="14.25">
      <c r="A22" s="35" t="s">
        <v>17</v>
      </c>
      <c r="B22" s="291">
        <v>-3</v>
      </c>
      <c r="C22" s="291">
        <v>-3.8</v>
      </c>
      <c r="D22" s="291">
        <v>-9.8000000000000007</v>
      </c>
      <c r="E22" s="291">
        <v>-11.2</v>
      </c>
      <c r="F22" s="291">
        <v>-7.4</v>
      </c>
      <c r="G22" s="397">
        <v>-5.6</v>
      </c>
      <c r="H22" s="291">
        <v>-4.8</v>
      </c>
      <c r="I22" s="291">
        <v>-4.5</v>
      </c>
      <c r="J22" s="291">
        <v>-3.1</v>
      </c>
      <c r="K22" s="291">
        <v>-2.8</v>
      </c>
      <c r="L22" s="291"/>
      <c r="M22" s="291"/>
      <c r="N22" s="291"/>
      <c r="O22" s="291"/>
      <c r="P22" s="291"/>
      <c r="Q22" s="291"/>
      <c r="R22" s="291"/>
      <c r="S22" s="397"/>
      <c r="T22" s="397"/>
      <c r="U22" s="35"/>
      <c r="V22" s="291"/>
      <c r="W22" s="291"/>
      <c r="X22" s="291"/>
      <c r="Y22" s="291"/>
      <c r="Z22" s="291"/>
      <c r="AA22" s="291"/>
      <c r="AB22" s="397"/>
      <c r="AC22" s="397"/>
      <c r="AD22" s="397"/>
      <c r="AE22" s="397"/>
      <c r="AF22" s="397"/>
      <c r="AG22" s="35"/>
      <c r="AH22" s="291"/>
      <c r="AI22" s="291"/>
      <c r="AJ22" s="291"/>
      <c r="AK22" s="291"/>
      <c r="AL22" s="291"/>
      <c r="AM22" s="291"/>
      <c r="AN22" s="397"/>
      <c r="AO22" s="397"/>
      <c r="AP22" s="397"/>
      <c r="AQ22" s="397"/>
      <c r="AR22" s="397"/>
      <c r="AS22" s="35"/>
      <c r="AT22" s="291"/>
      <c r="AU22" s="291"/>
      <c r="AV22" s="291"/>
      <c r="AW22" s="291"/>
      <c r="AX22" s="291"/>
      <c r="AY22" s="291"/>
      <c r="AZ22" s="397"/>
      <c r="BA22" s="397"/>
      <c r="BB22" s="397"/>
      <c r="BC22" s="397"/>
      <c r="BD22" s="397"/>
      <c r="BE22" s="35"/>
      <c r="BF22" s="291"/>
      <c r="BG22" s="291"/>
      <c r="BH22" s="291"/>
      <c r="BI22" s="291"/>
      <c r="BJ22" s="291"/>
      <c r="BK22" s="291"/>
      <c r="BL22" s="397"/>
      <c r="BM22" s="397"/>
      <c r="BN22" s="397"/>
      <c r="BO22" s="397"/>
      <c r="BP22" s="397"/>
      <c r="BQ22" s="35"/>
      <c r="BR22" s="291"/>
      <c r="BS22" s="291"/>
      <c r="BT22" s="291"/>
      <c r="BU22" s="291"/>
      <c r="BV22" s="291"/>
      <c r="BW22" s="291"/>
      <c r="BX22" s="397"/>
      <c r="BY22" s="397"/>
      <c r="BZ22" s="397"/>
      <c r="CA22" s="397"/>
      <c r="CB22" s="397"/>
      <c r="CC22" s="35"/>
      <c r="CD22" s="291"/>
      <c r="CE22" s="291"/>
      <c r="CF22" s="291"/>
      <c r="CG22" s="291"/>
      <c r="CH22" s="291"/>
      <c r="CI22" s="291"/>
      <c r="CJ22" s="397"/>
      <c r="CK22" s="397"/>
      <c r="CL22" s="397"/>
      <c r="CM22" s="397"/>
      <c r="CN22" s="397"/>
      <c r="CO22" s="35"/>
      <c r="CP22" s="291"/>
      <c r="CQ22" s="291"/>
      <c r="CR22" s="291"/>
      <c r="CS22" s="291"/>
      <c r="CT22" s="291"/>
      <c r="CU22" s="291"/>
      <c r="CV22" s="397"/>
      <c r="CW22" s="397"/>
      <c r="CX22" s="397"/>
      <c r="CY22" s="397"/>
      <c r="CZ22" s="397"/>
      <c r="DA22" s="35"/>
      <c r="DB22" s="291"/>
      <c r="DC22" s="291"/>
      <c r="DD22" s="291"/>
      <c r="DE22" s="291"/>
      <c r="DF22" s="291"/>
      <c r="DG22" s="291"/>
      <c r="DH22" s="397"/>
      <c r="DI22" s="397"/>
      <c r="DJ22" s="397"/>
      <c r="DK22" s="397"/>
      <c r="DL22" s="397"/>
      <c r="DM22" s="35"/>
      <c r="DN22" s="291"/>
      <c r="DO22" s="291"/>
      <c r="DP22" s="291"/>
      <c r="DQ22" s="291"/>
      <c r="DR22" s="291"/>
      <c r="DS22" s="291"/>
      <c r="DT22" s="397"/>
      <c r="DU22" s="397"/>
      <c r="DV22" s="397"/>
      <c r="DW22" s="397"/>
      <c r="DX22" s="397"/>
      <c r="DY22" s="35"/>
      <c r="DZ22" s="291"/>
      <c r="EA22" s="291"/>
      <c r="EB22" s="291"/>
      <c r="EC22" s="291"/>
      <c r="ED22" s="291"/>
      <c r="EE22" s="291"/>
      <c r="EF22" s="397"/>
      <c r="EG22" s="397"/>
      <c r="EH22" s="397"/>
      <c r="EI22" s="397"/>
      <c r="EJ22" s="397"/>
      <c r="EK22" s="35"/>
      <c r="EL22" s="291"/>
      <c r="EM22" s="291"/>
      <c r="EN22" s="291"/>
      <c r="EO22" s="291"/>
      <c r="EP22" s="291"/>
      <c r="EQ22" s="291"/>
      <c r="ER22" s="397"/>
      <c r="ES22" s="397"/>
      <c r="ET22" s="397"/>
      <c r="EU22" s="397"/>
      <c r="EV22" s="397"/>
      <c r="EW22" s="35"/>
      <c r="EX22" s="291"/>
      <c r="EY22" s="291"/>
      <c r="EZ22" s="291"/>
      <c r="FA22" s="291"/>
      <c r="FB22" s="291"/>
      <c r="FC22" s="291"/>
      <c r="FD22" s="397"/>
      <c r="FE22" s="397"/>
      <c r="FF22" s="397"/>
      <c r="FG22" s="397"/>
      <c r="FH22" s="397"/>
      <c r="FI22" s="35"/>
      <c r="FJ22" s="291"/>
      <c r="FK22" s="291"/>
      <c r="FL22" s="291"/>
      <c r="FM22" s="291"/>
      <c r="FN22" s="291"/>
      <c r="FO22" s="291"/>
      <c r="FP22" s="397"/>
      <c r="FQ22" s="397"/>
      <c r="FR22" s="397"/>
      <c r="FS22" s="397"/>
      <c r="FT22" s="397"/>
      <c r="FU22" s="35"/>
      <c r="FV22" s="291"/>
      <c r="FW22" s="291"/>
      <c r="FX22" s="291"/>
      <c r="FY22" s="291"/>
      <c r="FZ22" s="291"/>
      <c r="GA22" s="291"/>
      <c r="GB22" s="397"/>
      <c r="GC22" s="397"/>
      <c r="GD22" s="397"/>
      <c r="GE22" s="397"/>
      <c r="GF22" s="397"/>
      <c r="GG22" s="35"/>
      <c r="GH22" s="291"/>
      <c r="GI22" s="291"/>
      <c r="GJ22" s="291"/>
      <c r="GK22" s="291"/>
      <c r="GL22" s="291"/>
      <c r="GM22" s="291"/>
      <c r="GN22" s="397"/>
      <c r="GO22" s="397"/>
      <c r="GP22" s="397"/>
      <c r="GQ22" s="397"/>
      <c r="GR22" s="397"/>
      <c r="GS22" s="35"/>
      <c r="GT22" s="291"/>
      <c r="GU22" s="291"/>
      <c r="GV22" s="291"/>
      <c r="GW22" s="291"/>
      <c r="GX22" s="291"/>
      <c r="GY22" s="291"/>
      <c r="GZ22" s="397"/>
      <c r="HA22" s="397"/>
      <c r="HB22" s="397"/>
      <c r="HC22" s="397"/>
      <c r="HD22" s="397"/>
      <c r="HE22" s="35"/>
      <c r="HF22" s="291"/>
      <c r="HG22" s="291"/>
      <c r="HH22" s="291"/>
      <c r="HI22" s="291"/>
      <c r="HJ22" s="291"/>
      <c r="HK22" s="291"/>
      <c r="HL22" s="397"/>
      <c r="HM22" s="397"/>
      <c r="HN22" s="397"/>
      <c r="HO22" s="397"/>
      <c r="HP22" s="397"/>
      <c r="HQ22" s="35"/>
      <c r="HR22" s="291"/>
      <c r="HS22" s="291"/>
      <c r="HT22" s="291"/>
      <c r="HU22" s="291"/>
      <c r="HV22" s="291"/>
      <c r="HW22" s="291"/>
      <c r="HX22" s="397"/>
      <c r="HY22" s="397"/>
      <c r="HZ22" s="397"/>
      <c r="IA22" s="397"/>
      <c r="IB22" s="397"/>
      <c r="IC22" s="35"/>
      <c r="ID22" s="291"/>
      <c r="IE22" s="291"/>
      <c r="IF22" s="291"/>
      <c r="IG22" s="291"/>
      <c r="IH22" s="291"/>
      <c r="II22" s="291"/>
      <c r="IJ22" s="397"/>
      <c r="IK22" s="397"/>
      <c r="IL22" s="397"/>
      <c r="IM22" s="397"/>
      <c r="IN22" s="397"/>
      <c r="IO22" s="35"/>
      <c r="IP22" s="291"/>
      <c r="IQ22" s="291"/>
      <c r="IR22" s="291"/>
    </row>
    <row r="23" spans="1:252" s="5" customFormat="1" ht="14.25">
      <c r="A23" s="35" t="s">
        <v>16</v>
      </c>
      <c r="B23" s="291">
        <v>-0.1</v>
      </c>
      <c r="C23" s="291">
        <v>-1.8</v>
      </c>
      <c r="D23" s="291">
        <v>-6.1</v>
      </c>
      <c r="E23" s="291">
        <v>-5.6</v>
      </c>
      <c r="F23" s="291">
        <v>-6.6</v>
      </c>
      <c r="G23" s="397">
        <v>-4</v>
      </c>
      <c r="H23" s="291">
        <v>-14.9</v>
      </c>
      <c r="I23" s="291">
        <v>-4.9000000000000004</v>
      </c>
      <c r="J23" s="291">
        <v>-2.9</v>
      </c>
      <c r="K23" s="291">
        <v>-2.8</v>
      </c>
      <c r="L23" s="291"/>
      <c r="M23" s="291"/>
      <c r="N23" s="291"/>
      <c r="O23" s="291"/>
      <c r="P23" s="291"/>
      <c r="Q23" s="291"/>
      <c r="R23" s="291"/>
      <c r="S23" s="397"/>
      <c r="T23" s="397"/>
      <c r="U23" s="35"/>
      <c r="V23" s="291"/>
      <c r="W23" s="291"/>
      <c r="X23" s="291"/>
      <c r="Y23" s="291"/>
      <c r="Z23" s="291"/>
      <c r="AA23" s="291"/>
      <c r="AB23" s="397"/>
      <c r="AC23" s="397"/>
      <c r="AD23" s="397"/>
      <c r="AE23" s="397"/>
      <c r="AF23" s="397"/>
      <c r="AG23" s="35"/>
      <c r="AH23" s="291"/>
      <c r="AI23" s="291"/>
      <c r="AJ23" s="291"/>
      <c r="AK23" s="291"/>
      <c r="AL23" s="291"/>
      <c r="AM23" s="291"/>
      <c r="AN23" s="397"/>
      <c r="AO23" s="397"/>
      <c r="AP23" s="397"/>
      <c r="AQ23" s="397"/>
      <c r="AR23" s="397"/>
      <c r="AS23" s="35"/>
      <c r="AT23" s="291"/>
      <c r="AU23" s="291"/>
      <c r="AV23" s="291"/>
      <c r="AW23" s="291"/>
      <c r="AX23" s="291"/>
      <c r="AY23" s="291"/>
      <c r="AZ23" s="397"/>
      <c r="BA23" s="397"/>
      <c r="BB23" s="397"/>
      <c r="BC23" s="397"/>
      <c r="BD23" s="397"/>
      <c r="BE23" s="35"/>
      <c r="BF23" s="291"/>
      <c r="BG23" s="291"/>
      <c r="BH23" s="291"/>
      <c r="BI23" s="291"/>
      <c r="BJ23" s="291"/>
      <c r="BK23" s="291"/>
      <c r="BL23" s="397"/>
      <c r="BM23" s="397"/>
      <c r="BN23" s="397"/>
      <c r="BO23" s="397"/>
      <c r="BP23" s="397"/>
      <c r="BQ23" s="35"/>
      <c r="BR23" s="291"/>
      <c r="BS23" s="291"/>
      <c r="BT23" s="291"/>
      <c r="BU23" s="291"/>
      <c r="BV23" s="291"/>
      <c r="BW23" s="291"/>
      <c r="BX23" s="397"/>
      <c r="BY23" s="397"/>
      <c r="BZ23" s="397"/>
      <c r="CA23" s="397"/>
      <c r="CB23" s="397"/>
      <c r="CC23" s="35"/>
      <c r="CD23" s="291"/>
      <c r="CE23" s="291"/>
      <c r="CF23" s="291"/>
      <c r="CG23" s="291"/>
      <c r="CH23" s="291"/>
      <c r="CI23" s="291"/>
      <c r="CJ23" s="397"/>
      <c r="CK23" s="397"/>
      <c r="CL23" s="397"/>
      <c r="CM23" s="397"/>
      <c r="CN23" s="397"/>
      <c r="CO23" s="35"/>
      <c r="CP23" s="291"/>
      <c r="CQ23" s="291"/>
      <c r="CR23" s="291"/>
      <c r="CS23" s="291"/>
      <c r="CT23" s="291"/>
      <c r="CU23" s="291"/>
      <c r="CV23" s="397"/>
      <c r="CW23" s="397"/>
      <c r="CX23" s="397"/>
      <c r="CY23" s="397"/>
      <c r="CZ23" s="397"/>
      <c r="DA23" s="35"/>
      <c r="DB23" s="291"/>
      <c r="DC23" s="291"/>
      <c r="DD23" s="291"/>
      <c r="DE23" s="291"/>
      <c r="DF23" s="291"/>
      <c r="DG23" s="291"/>
      <c r="DH23" s="397"/>
      <c r="DI23" s="397"/>
      <c r="DJ23" s="397"/>
      <c r="DK23" s="397"/>
      <c r="DL23" s="397"/>
      <c r="DM23" s="35"/>
      <c r="DN23" s="291"/>
      <c r="DO23" s="291"/>
      <c r="DP23" s="291"/>
      <c r="DQ23" s="291"/>
      <c r="DR23" s="291"/>
      <c r="DS23" s="291"/>
      <c r="DT23" s="397"/>
      <c r="DU23" s="397"/>
      <c r="DV23" s="397"/>
      <c r="DW23" s="397"/>
      <c r="DX23" s="397"/>
      <c r="DY23" s="35"/>
      <c r="DZ23" s="291"/>
      <c r="EA23" s="291"/>
      <c r="EB23" s="291"/>
      <c r="EC23" s="291"/>
      <c r="ED23" s="291"/>
      <c r="EE23" s="291"/>
      <c r="EF23" s="397"/>
      <c r="EG23" s="397"/>
      <c r="EH23" s="397"/>
      <c r="EI23" s="397"/>
      <c r="EJ23" s="397"/>
      <c r="EK23" s="35"/>
      <c r="EL23" s="291"/>
      <c r="EM23" s="291"/>
      <c r="EN23" s="291"/>
      <c r="EO23" s="291"/>
      <c r="EP23" s="291"/>
      <c r="EQ23" s="291"/>
      <c r="ER23" s="397"/>
      <c r="ES23" s="397"/>
      <c r="ET23" s="397"/>
      <c r="EU23" s="397"/>
      <c r="EV23" s="397"/>
      <c r="EW23" s="35"/>
      <c r="EX23" s="291"/>
      <c r="EY23" s="291"/>
      <c r="EZ23" s="291"/>
      <c r="FA23" s="291"/>
      <c r="FB23" s="291"/>
      <c r="FC23" s="291"/>
      <c r="FD23" s="397"/>
      <c r="FE23" s="397"/>
      <c r="FF23" s="397"/>
      <c r="FG23" s="397"/>
      <c r="FH23" s="397"/>
      <c r="FI23" s="35"/>
      <c r="FJ23" s="291"/>
      <c r="FK23" s="291"/>
      <c r="FL23" s="291"/>
      <c r="FM23" s="291"/>
      <c r="FN23" s="291"/>
      <c r="FO23" s="291"/>
      <c r="FP23" s="397"/>
      <c r="FQ23" s="397"/>
      <c r="FR23" s="397"/>
      <c r="FS23" s="397"/>
      <c r="FT23" s="397"/>
      <c r="FU23" s="35"/>
      <c r="FV23" s="291"/>
      <c r="FW23" s="291"/>
      <c r="FX23" s="291"/>
      <c r="FY23" s="291"/>
      <c r="FZ23" s="291"/>
      <c r="GA23" s="291"/>
      <c r="GB23" s="397"/>
      <c r="GC23" s="397"/>
      <c r="GD23" s="397"/>
      <c r="GE23" s="397"/>
      <c r="GF23" s="397"/>
      <c r="GG23" s="35"/>
      <c r="GH23" s="291"/>
      <c r="GI23" s="291"/>
      <c r="GJ23" s="291"/>
      <c r="GK23" s="291"/>
      <c r="GL23" s="291"/>
      <c r="GM23" s="291"/>
      <c r="GN23" s="397"/>
      <c r="GO23" s="397"/>
      <c r="GP23" s="397"/>
      <c r="GQ23" s="397"/>
      <c r="GR23" s="397"/>
      <c r="GS23" s="35"/>
      <c r="GT23" s="291"/>
      <c r="GU23" s="291"/>
      <c r="GV23" s="291"/>
      <c r="GW23" s="291"/>
      <c r="GX23" s="291"/>
      <c r="GY23" s="291"/>
      <c r="GZ23" s="397"/>
      <c r="HA23" s="397"/>
      <c r="HB23" s="397"/>
      <c r="HC23" s="397"/>
      <c r="HD23" s="397"/>
      <c r="HE23" s="35"/>
      <c r="HF23" s="291"/>
      <c r="HG23" s="291"/>
      <c r="HH23" s="291"/>
      <c r="HI23" s="291"/>
      <c r="HJ23" s="291"/>
      <c r="HK23" s="291"/>
      <c r="HL23" s="397"/>
      <c r="HM23" s="397"/>
      <c r="HN23" s="397"/>
      <c r="HO23" s="397"/>
      <c r="HP23" s="397"/>
      <c r="HQ23" s="35"/>
      <c r="HR23" s="291"/>
      <c r="HS23" s="291"/>
      <c r="HT23" s="291"/>
      <c r="HU23" s="291"/>
      <c r="HV23" s="291"/>
      <c r="HW23" s="291"/>
      <c r="HX23" s="397"/>
      <c r="HY23" s="397"/>
      <c r="HZ23" s="397"/>
      <c r="IA23" s="397"/>
      <c r="IB23" s="397"/>
      <c r="IC23" s="35"/>
      <c r="ID23" s="291"/>
      <c r="IE23" s="291"/>
      <c r="IF23" s="291"/>
      <c r="IG23" s="291"/>
      <c r="IH23" s="291"/>
      <c r="II23" s="291"/>
      <c r="IJ23" s="397"/>
      <c r="IK23" s="397"/>
      <c r="IL23" s="397"/>
      <c r="IM23" s="397"/>
      <c r="IN23" s="397"/>
      <c r="IO23" s="35"/>
      <c r="IP23" s="291"/>
      <c r="IQ23" s="291"/>
      <c r="IR23" s="291"/>
    </row>
    <row r="24" spans="1:252" s="5" customFormat="1" ht="14.25">
      <c r="A24" s="35" t="s">
        <v>15</v>
      </c>
      <c r="B24" s="291">
        <v>-1.9</v>
      </c>
      <c r="C24" s="291">
        <v>-2.4</v>
      </c>
      <c r="D24" s="291">
        <v>-7.9</v>
      </c>
      <c r="E24" s="291">
        <v>-7.5</v>
      </c>
      <c r="F24" s="291">
        <v>-4.0999999999999996</v>
      </c>
      <c r="G24" s="397">
        <v>-4.2</v>
      </c>
      <c r="H24" s="291">
        <v>-2.6</v>
      </c>
      <c r="I24" s="291">
        <v>-2.9</v>
      </c>
      <c r="J24" s="291">
        <v>-2.7</v>
      </c>
      <c r="K24" s="291">
        <v>-2.5</v>
      </c>
      <c r="L24" s="291"/>
      <c r="M24" s="291"/>
      <c r="N24" s="291"/>
      <c r="O24" s="291"/>
      <c r="P24" s="291"/>
      <c r="Q24" s="291"/>
      <c r="R24" s="291"/>
      <c r="S24" s="397"/>
      <c r="T24" s="397"/>
      <c r="U24" s="35"/>
      <c r="V24" s="291"/>
      <c r="W24" s="291"/>
      <c r="X24" s="291"/>
      <c r="Y24" s="397"/>
      <c r="Z24" s="291"/>
      <c r="AA24" s="291"/>
      <c r="AB24" s="397"/>
      <c r="AC24" s="397"/>
      <c r="AD24" s="397"/>
      <c r="AE24" s="397"/>
      <c r="AF24" s="397"/>
      <c r="AG24" s="35"/>
      <c r="AH24" s="291"/>
      <c r="AI24" s="291"/>
      <c r="AJ24" s="291"/>
      <c r="AK24" s="397"/>
      <c r="AL24" s="291"/>
      <c r="AM24" s="291"/>
      <c r="AN24" s="397"/>
      <c r="AO24" s="397"/>
      <c r="AP24" s="397"/>
      <c r="AQ24" s="397"/>
      <c r="AR24" s="397"/>
      <c r="AS24" s="35"/>
      <c r="AT24" s="291"/>
      <c r="AU24" s="291"/>
      <c r="AV24" s="291"/>
      <c r="AW24" s="397"/>
      <c r="AX24" s="291"/>
      <c r="AY24" s="291"/>
      <c r="AZ24" s="397"/>
      <c r="BA24" s="397"/>
      <c r="BB24" s="397"/>
      <c r="BC24" s="397"/>
      <c r="BD24" s="397"/>
      <c r="BE24" s="35"/>
      <c r="BF24" s="291"/>
      <c r="BG24" s="291"/>
      <c r="BH24" s="291"/>
      <c r="BI24" s="397"/>
      <c r="BJ24" s="291"/>
      <c r="BK24" s="291"/>
      <c r="BL24" s="397"/>
      <c r="BM24" s="397"/>
      <c r="BN24" s="397"/>
      <c r="BO24" s="397"/>
      <c r="BP24" s="397"/>
      <c r="BQ24" s="35"/>
      <c r="BR24" s="291"/>
      <c r="BS24" s="291"/>
      <c r="BT24" s="291"/>
      <c r="BU24" s="397"/>
      <c r="BV24" s="291"/>
      <c r="BW24" s="291"/>
      <c r="BX24" s="397"/>
      <c r="BY24" s="397"/>
      <c r="BZ24" s="397"/>
      <c r="CA24" s="397"/>
      <c r="CB24" s="397"/>
      <c r="CC24" s="35"/>
      <c r="CD24" s="291"/>
      <c r="CE24" s="291"/>
      <c r="CF24" s="291"/>
      <c r="CG24" s="397"/>
      <c r="CH24" s="291"/>
      <c r="CI24" s="291"/>
      <c r="CJ24" s="397"/>
      <c r="CK24" s="397"/>
      <c r="CL24" s="397"/>
      <c r="CM24" s="397"/>
      <c r="CN24" s="397"/>
      <c r="CO24" s="35"/>
      <c r="CP24" s="291"/>
      <c r="CQ24" s="291"/>
      <c r="CR24" s="291"/>
      <c r="CS24" s="397"/>
      <c r="CT24" s="291"/>
      <c r="CU24" s="291"/>
      <c r="CV24" s="397"/>
      <c r="CW24" s="397"/>
      <c r="CX24" s="397"/>
      <c r="CY24" s="397"/>
      <c r="CZ24" s="397"/>
      <c r="DA24" s="35"/>
      <c r="DB24" s="291"/>
      <c r="DC24" s="291"/>
      <c r="DD24" s="291"/>
      <c r="DE24" s="397"/>
      <c r="DF24" s="291"/>
      <c r="DG24" s="291"/>
      <c r="DH24" s="397"/>
      <c r="DI24" s="397"/>
      <c r="DJ24" s="397"/>
      <c r="DK24" s="397"/>
      <c r="DL24" s="397"/>
      <c r="DM24" s="35"/>
      <c r="DN24" s="291"/>
      <c r="DO24" s="291"/>
      <c r="DP24" s="291"/>
      <c r="DQ24" s="397"/>
      <c r="DR24" s="291"/>
      <c r="DS24" s="291"/>
      <c r="DT24" s="397"/>
      <c r="DU24" s="397"/>
      <c r="DV24" s="397"/>
      <c r="DW24" s="397"/>
      <c r="DX24" s="397"/>
      <c r="DY24" s="35"/>
      <c r="DZ24" s="291"/>
      <c r="EA24" s="291"/>
      <c r="EB24" s="291"/>
      <c r="EC24" s="397"/>
      <c r="ED24" s="291"/>
      <c r="EE24" s="291"/>
      <c r="EF24" s="397"/>
      <c r="EG24" s="397"/>
      <c r="EH24" s="397"/>
      <c r="EI24" s="397"/>
      <c r="EJ24" s="397"/>
      <c r="EK24" s="35"/>
      <c r="EL24" s="291"/>
      <c r="EM24" s="291"/>
      <c r="EN24" s="291"/>
      <c r="EO24" s="397"/>
      <c r="EP24" s="291"/>
      <c r="EQ24" s="291"/>
      <c r="ER24" s="397"/>
      <c r="ES24" s="397"/>
      <c r="ET24" s="397"/>
      <c r="EU24" s="397"/>
      <c r="EV24" s="397"/>
      <c r="EW24" s="35"/>
      <c r="EX24" s="291"/>
      <c r="EY24" s="291"/>
      <c r="EZ24" s="291"/>
      <c r="FA24" s="397"/>
      <c r="FB24" s="291"/>
      <c r="FC24" s="291"/>
      <c r="FD24" s="397"/>
      <c r="FE24" s="397"/>
      <c r="FF24" s="397"/>
      <c r="FG24" s="397"/>
      <c r="FH24" s="397"/>
      <c r="FI24" s="35"/>
      <c r="FJ24" s="291"/>
      <c r="FK24" s="291"/>
      <c r="FL24" s="291"/>
      <c r="FM24" s="397"/>
      <c r="FN24" s="291"/>
      <c r="FO24" s="291"/>
      <c r="FP24" s="397"/>
      <c r="FQ24" s="397"/>
      <c r="FR24" s="397"/>
      <c r="FS24" s="397"/>
      <c r="FT24" s="397"/>
      <c r="FU24" s="35"/>
      <c r="FV24" s="291"/>
      <c r="FW24" s="291"/>
      <c r="FX24" s="291"/>
      <c r="FY24" s="397"/>
      <c r="FZ24" s="291"/>
      <c r="GA24" s="291"/>
      <c r="GB24" s="397"/>
      <c r="GC24" s="397"/>
      <c r="GD24" s="397"/>
      <c r="GE24" s="397"/>
      <c r="GF24" s="397"/>
      <c r="GG24" s="35"/>
      <c r="GH24" s="291"/>
      <c r="GI24" s="291"/>
      <c r="GJ24" s="291"/>
      <c r="GK24" s="397"/>
      <c r="GL24" s="291"/>
      <c r="GM24" s="291"/>
      <c r="GN24" s="397"/>
      <c r="GO24" s="397"/>
      <c r="GP24" s="397"/>
      <c r="GQ24" s="397"/>
      <c r="GR24" s="397"/>
      <c r="GS24" s="35"/>
      <c r="GT24" s="291"/>
      <c r="GU24" s="291"/>
      <c r="GV24" s="291"/>
      <c r="GW24" s="397"/>
      <c r="GX24" s="291"/>
      <c r="GY24" s="291"/>
      <c r="GZ24" s="397"/>
      <c r="HA24" s="397"/>
      <c r="HB24" s="397"/>
      <c r="HC24" s="397"/>
      <c r="HD24" s="397"/>
      <c r="HE24" s="35"/>
      <c r="HF24" s="291"/>
      <c r="HG24" s="291"/>
      <c r="HH24" s="291"/>
      <c r="HI24" s="397"/>
      <c r="HJ24" s="291"/>
      <c r="HK24" s="291"/>
      <c r="HL24" s="397"/>
      <c r="HM24" s="397"/>
      <c r="HN24" s="397"/>
      <c r="HO24" s="397"/>
      <c r="HP24" s="397"/>
      <c r="HQ24" s="35"/>
      <c r="HR24" s="291"/>
      <c r="HS24" s="291"/>
      <c r="HT24" s="291"/>
      <c r="HU24" s="397"/>
      <c r="HV24" s="291"/>
      <c r="HW24" s="291"/>
      <c r="HX24" s="397"/>
      <c r="HY24" s="397"/>
      <c r="HZ24" s="397"/>
      <c r="IA24" s="397"/>
      <c r="IB24" s="397"/>
      <c r="IC24" s="35"/>
      <c r="ID24" s="291"/>
      <c r="IE24" s="291"/>
      <c r="IF24" s="291"/>
      <c r="IG24" s="397"/>
      <c r="IH24" s="291"/>
      <c r="II24" s="291"/>
      <c r="IJ24" s="397"/>
      <c r="IK24" s="397"/>
      <c r="IL24" s="397"/>
      <c r="IM24" s="397"/>
      <c r="IN24" s="397"/>
      <c r="IO24" s="35"/>
      <c r="IP24" s="291"/>
      <c r="IQ24" s="291"/>
      <c r="IR24" s="291"/>
    </row>
    <row r="25" spans="1:252" s="38" customFormat="1" ht="14.25">
      <c r="A25" s="35" t="s">
        <v>14</v>
      </c>
      <c r="B25" s="291">
        <v>5.0999999999999996</v>
      </c>
      <c r="C25" s="291">
        <v>4.2</v>
      </c>
      <c r="D25" s="291">
        <v>-2.5</v>
      </c>
      <c r="E25" s="291">
        <v>-2.6</v>
      </c>
      <c r="F25" s="291">
        <v>-1</v>
      </c>
      <c r="G25" s="397">
        <v>-2.1</v>
      </c>
      <c r="H25" s="291">
        <v>-2.5</v>
      </c>
      <c r="I25" s="291">
        <v>-3.2</v>
      </c>
      <c r="J25" s="291">
        <v>-3.3</v>
      </c>
      <c r="K25" s="291">
        <v>-3.2</v>
      </c>
      <c r="L25" s="291"/>
      <c r="M25" s="291"/>
      <c r="N25" s="291"/>
      <c r="O25" s="291"/>
      <c r="P25" s="291"/>
      <c r="Q25" s="291"/>
      <c r="R25" s="291"/>
      <c r="S25" s="295"/>
      <c r="T25" s="295"/>
      <c r="U25" s="39"/>
      <c r="V25" s="295"/>
      <c r="W25" s="295"/>
      <c r="X25" s="295"/>
      <c r="Y25" s="295"/>
      <c r="Z25" s="295"/>
      <c r="AA25" s="295"/>
      <c r="AB25" s="295"/>
      <c r="AC25" s="295"/>
      <c r="AD25" s="295"/>
      <c r="AE25" s="295"/>
      <c r="AF25" s="295"/>
      <c r="AG25" s="39"/>
      <c r="AH25" s="295"/>
      <c r="AI25" s="295"/>
      <c r="AJ25" s="295"/>
      <c r="AK25" s="295"/>
      <c r="AL25" s="295"/>
      <c r="AM25" s="295"/>
      <c r="AN25" s="295"/>
      <c r="AO25" s="295"/>
      <c r="AP25" s="295"/>
      <c r="AQ25" s="295"/>
      <c r="AR25" s="295"/>
      <c r="AS25" s="39"/>
      <c r="AT25" s="295"/>
      <c r="AU25" s="295"/>
      <c r="AV25" s="295"/>
      <c r="AW25" s="295"/>
      <c r="AX25" s="295"/>
      <c r="AY25" s="295"/>
      <c r="AZ25" s="295"/>
      <c r="BA25" s="295"/>
      <c r="BB25" s="295"/>
      <c r="BC25" s="295"/>
      <c r="BD25" s="295"/>
      <c r="BE25" s="39"/>
      <c r="BF25" s="295"/>
      <c r="BG25" s="295"/>
      <c r="BH25" s="295"/>
      <c r="BI25" s="295"/>
      <c r="BJ25" s="295"/>
      <c r="BK25" s="295"/>
      <c r="BL25" s="295"/>
      <c r="BM25" s="295"/>
      <c r="BN25" s="295"/>
      <c r="BO25" s="295"/>
      <c r="BP25" s="295"/>
      <c r="BQ25" s="39"/>
      <c r="BR25" s="295"/>
      <c r="BS25" s="295"/>
      <c r="BT25" s="295"/>
      <c r="BU25" s="295"/>
      <c r="BV25" s="295"/>
      <c r="BW25" s="295"/>
      <c r="BX25" s="295"/>
      <c r="BY25" s="295"/>
      <c r="BZ25" s="295"/>
      <c r="CA25" s="295"/>
      <c r="CB25" s="295"/>
      <c r="CC25" s="39"/>
      <c r="CD25" s="295"/>
      <c r="CE25" s="295"/>
      <c r="CF25" s="295"/>
      <c r="CG25" s="295"/>
      <c r="CH25" s="295"/>
      <c r="CI25" s="295"/>
      <c r="CJ25" s="295"/>
      <c r="CK25" s="295"/>
      <c r="CL25" s="295"/>
      <c r="CM25" s="295"/>
      <c r="CN25" s="295"/>
      <c r="CO25" s="39"/>
      <c r="CP25" s="295"/>
      <c r="CQ25" s="295"/>
      <c r="CR25" s="295"/>
      <c r="CS25" s="295"/>
      <c r="CT25" s="295"/>
      <c r="CU25" s="295"/>
      <c r="CV25" s="295"/>
      <c r="CW25" s="295"/>
      <c r="CX25" s="295"/>
      <c r="CY25" s="295"/>
      <c r="CZ25" s="295"/>
      <c r="DA25" s="39"/>
      <c r="DB25" s="295"/>
      <c r="DC25" s="295"/>
      <c r="DD25" s="295"/>
      <c r="DE25" s="295"/>
      <c r="DF25" s="295"/>
      <c r="DG25" s="295"/>
      <c r="DH25" s="295"/>
      <c r="DI25" s="295"/>
      <c r="DJ25" s="295"/>
      <c r="DK25" s="295"/>
      <c r="DL25" s="295"/>
      <c r="DM25" s="39"/>
      <c r="DN25" s="295"/>
      <c r="DO25" s="295"/>
      <c r="DP25" s="295"/>
      <c r="DQ25" s="295"/>
      <c r="DR25" s="295"/>
      <c r="DS25" s="295"/>
      <c r="DT25" s="295"/>
      <c r="DU25" s="295"/>
      <c r="DV25" s="295"/>
      <c r="DW25" s="295"/>
      <c r="DX25" s="295"/>
      <c r="DY25" s="39"/>
      <c r="DZ25" s="295"/>
      <c r="EA25" s="295"/>
      <c r="EB25" s="295"/>
      <c r="EC25" s="295"/>
      <c r="ED25" s="295"/>
      <c r="EE25" s="295"/>
      <c r="EF25" s="295"/>
      <c r="EG25" s="295"/>
      <c r="EH25" s="295"/>
      <c r="EI25" s="295"/>
      <c r="EJ25" s="295"/>
      <c r="EK25" s="39"/>
      <c r="EL25" s="295"/>
      <c r="EM25" s="295"/>
      <c r="EN25" s="295"/>
      <c r="EO25" s="295"/>
      <c r="EP25" s="295"/>
      <c r="EQ25" s="295"/>
      <c r="ER25" s="295"/>
      <c r="ES25" s="295"/>
      <c r="ET25" s="295"/>
      <c r="EU25" s="295"/>
      <c r="EV25" s="295"/>
      <c r="EW25" s="39"/>
      <c r="EX25" s="295"/>
      <c r="EY25" s="295"/>
      <c r="EZ25" s="295"/>
      <c r="FA25" s="295"/>
      <c r="FB25" s="295"/>
      <c r="FC25" s="295"/>
      <c r="FD25" s="295"/>
      <c r="FE25" s="295"/>
      <c r="FF25" s="295"/>
      <c r="FG25" s="295"/>
      <c r="FH25" s="295"/>
      <c r="FI25" s="39"/>
      <c r="FJ25" s="295"/>
      <c r="FK25" s="295"/>
      <c r="FL25" s="295"/>
      <c r="FM25" s="295"/>
      <c r="FN25" s="295"/>
      <c r="FO25" s="295"/>
      <c r="FP25" s="295"/>
      <c r="FQ25" s="295"/>
      <c r="FR25" s="295"/>
      <c r="FS25" s="295"/>
      <c r="FT25" s="295"/>
      <c r="FU25" s="39"/>
      <c r="FV25" s="295"/>
      <c r="FW25" s="295"/>
      <c r="FX25" s="295"/>
      <c r="FY25" s="295"/>
      <c r="FZ25" s="295"/>
      <c r="GA25" s="295"/>
      <c r="GB25" s="295"/>
      <c r="GC25" s="295"/>
      <c r="GD25" s="295"/>
      <c r="GE25" s="295"/>
      <c r="GF25" s="295"/>
      <c r="GG25" s="39"/>
      <c r="GH25" s="295"/>
      <c r="GI25" s="295"/>
      <c r="GJ25" s="295"/>
      <c r="GK25" s="295"/>
      <c r="GL25" s="295"/>
      <c r="GM25" s="295"/>
      <c r="GN25" s="295"/>
      <c r="GO25" s="295"/>
      <c r="GP25" s="295"/>
      <c r="GQ25" s="295"/>
      <c r="GR25" s="295"/>
      <c r="GS25" s="39"/>
      <c r="GT25" s="295"/>
      <c r="GU25" s="295"/>
      <c r="GV25" s="295"/>
      <c r="GW25" s="295"/>
      <c r="GX25" s="295"/>
      <c r="GY25" s="295"/>
      <c r="GZ25" s="295"/>
      <c r="HA25" s="295"/>
      <c r="HB25" s="295"/>
      <c r="HC25" s="295"/>
      <c r="HD25" s="295"/>
      <c r="HE25" s="39"/>
      <c r="HF25" s="295"/>
      <c r="HG25" s="295"/>
      <c r="HH25" s="295"/>
      <c r="HI25" s="295"/>
      <c r="HJ25" s="295"/>
      <c r="HK25" s="295"/>
      <c r="HL25" s="295"/>
      <c r="HM25" s="295"/>
      <c r="HN25" s="295"/>
      <c r="HO25" s="295"/>
      <c r="HP25" s="295"/>
      <c r="HQ25" s="39"/>
      <c r="HR25" s="295"/>
      <c r="HS25" s="295"/>
      <c r="HT25" s="295"/>
      <c r="HU25" s="295"/>
      <c r="HV25" s="295"/>
      <c r="HW25" s="295"/>
      <c r="HX25" s="295"/>
      <c r="HY25" s="295"/>
      <c r="HZ25" s="295"/>
      <c r="IA25" s="295"/>
      <c r="IB25" s="295"/>
      <c r="IC25" s="39"/>
      <c r="ID25" s="295"/>
      <c r="IE25" s="295"/>
      <c r="IF25" s="295"/>
      <c r="IG25" s="295"/>
      <c r="IH25" s="295"/>
      <c r="II25" s="295"/>
      <c r="IJ25" s="295"/>
      <c r="IK25" s="295"/>
      <c r="IL25" s="295"/>
      <c r="IM25" s="295"/>
      <c r="IN25" s="295"/>
      <c r="IO25" s="39"/>
      <c r="IP25" s="295"/>
      <c r="IQ25" s="295"/>
      <c r="IR25" s="295"/>
    </row>
    <row r="26" spans="1:252" s="5" customFormat="1" ht="14.25">
      <c r="A26" s="34" t="s">
        <v>12</v>
      </c>
      <c r="B26" s="295">
        <v>-0.6</v>
      </c>
      <c r="C26" s="295">
        <v>-2.1</v>
      </c>
      <c r="D26" s="295">
        <v>-6.2</v>
      </c>
      <c r="E26" s="295">
        <v>-6.1</v>
      </c>
      <c r="F26" s="295">
        <v>-4.0999999999999996</v>
      </c>
      <c r="G26" s="296">
        <v>-3.6</v>
      </c>
      <c r="H26" s="295">
        <v>-2.9</v>
      </c>
      <c r="I26" s="295">
        <v>-2.4</v>
      </c>
      <c r="J26" s="295">
        <v>-2</v>
      </c>
      <c r="K26" s="295">
        <v>-1.7</v>
      </c>
      <c r="L26" s="291"/>
      <c r="M26" s="291"/>
      <c r="N26" s="291"/>
      <c r="O26" s="291"/>
      <c r="P26" s="291"/>
      <c r="Q26" s="291"/>
      <c r="R26" s="291"/>
      <c r="S26" s="291"/>
      <c r="T26" s="291"/>
      <c r="U26" s="35"/>
      <c r="V26" s="291"/>
      <c r="W26" s="291"/>
      <c r="X26" s="291"/>
      <c r="Y26" s="291"/>
      <c r="Z26" s="291"/>
      <c r="AA26" s="291"/>
      <c r="AB26" s="291"/>
      <c r="AC26" s="291"/>
      <c r="AD26" s="291"/>
      <c r="AE26" s="291"/>
      <c r="AF26" s="291"/>
      <c r="AG26" s="35"/>
      <c r="AH26" s="291"/>
      <c r="AI26" s="291"/>
      <c r="AJ26" s="291"/>
      <c r="AK26" s="291"/>
      <c r="AL26" s="291"/>
      <c r="AM26" s="291"/>
      <c r="AN26" s="291"/>
      <c r="AO26" s="291"/>
      <c r="AP26" s="291"/>
      <c r="AQ26" s="291"/>
      <c r="AR26" s="291"/>
      <c r="AS26" s="35"/>
      <c r="AT26" s="291"/>
      <c r="AU26" s="291"/>
      <c r="AV26" s="291"/>
      <c r="AW26" s="291"/>
      <c r="AX26" s="291"/>
      <c r="AY26" s="291"/>
      <c r="AZ26" s="291"/>
      <c r="BA26" s="291"/>
      <c r="BB26" s="291"/>
      <c r="BC26" s="291"/>
      <c r="BD26" s="291"/>
      <c r="BE26" s="35"/>
      <c r="BF26" s="291"/>
      <c r="BG26" s="291"/>
      <c r="BH26" s="291"/>
      <c r="BI26" s="291"/>
      <c r="BJ26" s="291"/>
      <c r="BK26" s="291"/>
      <c r="BL26" s="291"/>
      <c r="BM26" s="291"/>
      <c r="BN26" s="291"/>
      <c r="BO26" s="291"/>
      <c r="BP26" s="291"/>
      <c r="BQ26" s="35"/>
      <c r="BR26" s="291"/>
      <c r="BS26" s="291"/>
      <c r="BT26" s="291"/>
      <c r="BU26" s="291"/>
      <c r="BV26" s="291"/>
      <c r="BW26" s="291"/>
      <c r="BX26" s="291"/>
      <c r="BY26" s="291"/>
      <c r="BZ26" s="291"/>
      <c r="CA26" s="291"/>
      <c r="CB26" s="291"/>
      <c r="CC26" s="35"/>
      <c r="CD26" s="291"/>
      <c r="CE26" s="291"/>
      <c r="CF26" s="291"/>
      <c r="CG26" s="291"/>
      <c r="CH26" s="291"/>
      <c r="CI26" s="291"/>
      <c r="CJ26" s="291"/>
      <c r="CK26" s="291"/>
      <c r="CL26" s="291"/>
      <c r="CM26" s="291"/>
      <c r="CN26" s="291"/>
      <c r="CO26" s="35"/>
      <c r="CP26" s="291"/>
      <c r="CQ26" s="291"/>
      <c r="CR26" s="291"/>
      <c r="CS26" s="291"/>
      <c r="CT26" s="291"/>
      <c r="CU26" s="291"/>
      <c r="CV26" s="291"/>
      <c r="CW26" s="291"/>
      <c r="CX26" s="291"/>
      <c r="CY26" s="291"/>
      <c r="CZ26" s="291"/>
      <c r="DA26" s="35"/>
      <c r="DB26" s="291"/>
      <c r="DC26" s="291"/>
      <c r="DD26" s="291"/>
      <c r="DE26" s="291"/>
      <c r="DF26" s="291"/>
      <c r="DG26" s="291"/>
      <c r="DH26" s="291"/>
      <c r="DI26" s="291"/>
      <c r="DJ26" s="291"/>
      <c r="DK26" s="291"/>
      <c r="DL26" s="291"/>
      <c r="DM26" s="35"/>
      <c r="DN26" s="291"/>
      <c r="DO26" s="291"/>
      <c r="DP26" s="291"/>
      <c r="DQ26" s="291"/>
      <c r="DR26" s="291"/>
      <c r="DS26" s="291"/>
      <c r="DT26" s="291"/>
      <c r="DU26" s="291"/>
      <c r="DV26" s="291"/>
      <c r="DW26" s="291"/>
      <c r="DX26" s="291"/>
      <c r="DY26" s="35"/>
      <c r="DZ26" s="291"/>
      <c r="EA26" s="291"/>
      <c r="EB26" s="291"/>
      <c r="EC26" s="291"/>
      <c r="ED26" s="291"/>
      <c r="EE26" s="291"/>
      <c r="EF26" s="291"/>
      <c r="EG26" s="291"/>
      <c r="EH26" s="291"/>
      <c r="EI26" s="291"/>
      <c r="EJ26" s="291"/>
      <c r="EK26" s="35"/>
      <c r="EL26" s="291"/>
      <c r="EM26" s="291"/>
      <c r="EN26" s="291"/>
      <c r="EO26" s="291"/>
      <c r="EP26" s="291"/>
      <c r="EQ26" s="291"/>
      <c r="ER26" s="291"/>
      <c r="ES26" s="291"/>
      <c r="ET26" s="291"/>
      <c r="EU26" s="291"/>
      <c r="EV26" s="291"/>
      <c r="EW26" s="35"/>
      <c r="EX26" s="291"/>
      <c r="EY26" s="291"/>
      <c r="EZ26" s="291"/>
      <c r="FA26" s="291"/>
      <c r="FB26" s="291"/>
      <c r="FC26" s="291"/>
      <c r="FD26" s="291"/>
      <c r="FE26" s="291"/>
      <c r="FF26" s="291"/>
      <c r="FG26" s="291"/>
      <c r="FH26" s="291"/>
      <c r="FI26" s="35"/>
      <c r="FJ26" s="291"/>
      <c r="FK26" s="291"/>
      <c r="FL26" s="291"/>
      <c r="FM26" s="291"/>
      <c r="FN26" s="291"/>
      <c r="FO26" s="291"/>
      <c r="FP26" s="291"/>
      <c r="FQ26" s="291"/>
      <c r="FR26" s="291"/>
      <c r="FS26" s="291"/>
      <c r="FT26" s="291"/>
      <c r="FU26" s="35"/>
      <c r="FV26" s="291"/>
      <c r="FW26" s="291"/>
      <c r="FX26" s="291"/>
      <c r="FY26" s="291"/>
      <c r="FZ26" s="291"/>
      <c r="GA26" s="291"/>
      <c r="GB26" s="291"/>
      <c r="GC26" s="291"/>
      <c r="GD26" s="291"/>
      <c r="GE26" s="291"/>
      <c r="GF26" s="291"/>
      <c r="GG26" s="35"/>
      <c r="GH26" s="291"/>
      <c r="GI26" s="291"/>
      <c r="GJ26" s="291"/>
      <c r="GK26" s="291"/>
      <c r="GL26" s="291"/>
      <c r="GM26" s="291"/>
      <c r="GN26" s="291"/>
      <c r="GO26" s="291"/>
      <c r="GP26" s="291"/>
      <c r="GQ26" s="291"/>
      <c r="GR26" s="291"/>
      <c r="GS26" s="35"/>
      <c r="GT26" s="291"/>
      <c r="GU26" s="291"/>
      <c r="GV26" s="291"/>
      <c r="GW26" s="291"/>
      <c r="GX26" s="291"/>
      <c r="GY26" s="291"/>
      <c r="GZ26" s="291"/>
      <c r="HA26" s="291"/>
      <c r="HB26" s="291"/>
      <c r="HC26" s="291"/>
      <c r="HD26" s="291"/>
      <c r="HE26" s="35"/>
      <c r="HF26" s="291"/>
      <c r="HG26" s="291"/>
      <c r="HH26" s="291"/>
      <c r="HI26" s="291"/>
      <c r="HJ26" s="291"/>
      <c r="HK26" s="291"/>
      <c r="HL26" s="291"/>
      <c r="HM26" s="291"/>
      <c r="HN26" s="291"/>
      <c r="HO26" s="291"/>
      <c r="HP26" s="291"/>
      <c r="HQ26" s="35"/>
      <c r="HR26" s="291"/>
      <c r="HS26" s="291"/>
      <c r="HT26" s="291"/>
      <c r="HU26" s="291"/>
      <c r="HV26" s="291"/>
      <c r="HW26" s="291"/>
      <c r="HX26" s="291"/>
      <c r="HY26" s="291"/>
      <c r="HZ26" s="291"/>
      <c r="IA26" s="291"/>
      <c r="IB26" s="291"/>
      <c r="IC26" s="35"/>
      <c r="ID26" s="291"/>
      <c r="IE26" s="291"/>
      <c r="IF26" s="291"/>
      <c r="IG26" s="291"/>
      <c r="IH26" s="291"/>
      <c r="II26" s="291"/>
      <c r="IJ26" s="291"/>
      <c r="IK26" s="291"/>
      <c r="IL26" s="291"/>
      <c r="IM26" s="291"/>
      <c r="IN26" s="291"/>
      <c r="IO26" s="35"/>
      <c r="IP26" s="291"/>
      <c r="IQ26" s="291"/>
      <c r="IR26" s="291"/>
    </row>
    <row r="27" spans="1:252" s="5" customFormat="1" ht="14.25">
      <c r="A27" s="35" t="s">
        <v>11</v>
      </c>
      <c r="B27" s="291">
        <v>1.1000000000000001</v>
      </c>
      <c r="C27" s="291">
        <v>1.6</v>
      </c>
      <c r="D27" s="291">
        <v>-4.2</v>
      </c>
      <c r="E27" s="291">
        <v>-3.2</v>
      </c>
      <c r="F27" s="291">
        <v>-2</v>
      </c>
      <c r="G27" s="397">
        <v>-0.7</v>
      </c>
      <c r="H27" s="291">
        <v>-0.9</v>
      </c>
      <c r="I27" s="291">
        <v>-2.8</v>
      </c>
      <c r="J27" s="291">
        <v>-2.9</v>
      </c>
      <c r="K27" s="291">
        <v>-2.9</v>
      </c>
      <c r="L27" s="291"/>
      <c r="M27" s="291"/>
      <c r="N27" s="291"/>
      <c r="O27" s="291"/>
      <c r="P27" s="291"/>
      <c r="Q27" s="291"/>
      <c r="R27" s="291"/>
      <c r="S27" s="397"/>
      <c r="T27" s="397"/>
      <c r="U27" s="35"/>
      <c r="V27" s="291"/>
      <c r="W27" s="291"/>
      <c r="X27" s="291"/>
      <c r="Y27" s="291"/>
      <c r="Z27" s="291"/>
      <c r="AA27" s="291"/>
      <c r="AB27" s="397"/>
      <c r="AC27" s="397"/>
      <c r="AD27" s="397"/>
      <c r="AE27" s="397"/>
      <c r="AF27" s="397"/>
      <c r="AG27" s="35"/>
      <c r="AH27" s="291"/>
      <c r="AI27" s="291"/>
      <c r="AJ27" s="291"/>
      <c r="AK27" s="291"/>
      <c r="AL27" s="291"/>
      <c r="AM27" s="291"/>
      <c r="AN27" s="397"/>
      <c r="AO27" s="397"/>
      <c r="AP27" s="397"/>
      <c r="AQ27" s="397"/>
      <c r="AR27" s="397"/>
      <c r="AS27" s="35"/>
      <c r="AT27" s="291"/>
      <c r="AU27" s="291"/>
      <c r="AV27" s="291"/>
      <c r="AW27" s="291"/>
      <c r="AX27" s="291"/>
      <c r="AY27" s="291"/>
      <c r="AZ27" s="397"/>
      <c r="BA27" s="397"/>
      <c r="BB27" s="397"/>
      <c r="BC27" s="397"/>
      <c r="BD27" s="397"/>
      <c r="BE27" s="35"/>
      <c r="BF27" s="291"/>
      <c r="BG27" s="291"/>
      <c r="BH27" s="291"/>
      <c r="BI27" s="291"/>
      <c r="BJ27" s="291"/>
      <c r="BK27" s="291"/>
      <c r="BL27" s="397"/>
      <c r="BM27" s="397"/>
      <c r="BN27" s="397"/>
      <c r="BO27" s="397"/>
      <c r="BP27" s="397"/>
      <c r="BQ27" s="35"/>
      <c r="BR27" s="291"/>
      <c r="BS27" s="291"/>
      <c r="BT27" s="291"/>
      <c r="BU27" s="291"/>
      <c r="BV27" s="291"/>
      <c r="BW27" s="291"/>
      <c r="BX27" s="397"/>
      <c r="BY27" s="397"/>
      <c r="BZ27" s="397"/>
      <c r="CA27" s="397"/>
      <c r="CB27" s="397"/>
      <c r="CC27" s="35"/>
      <c r="CD27" s="291"/>
      <c r="CE27" s="291"/>
      <c r="CF27" s="291"/>
      <c r="CG27" s="291"/>
      <c r="CH27" s="291"/>
      <c r="CI27" s="291"/>
      <c r="CJ27" s="397"/>
      <c r="CK27" s="397"/>
      <c r="CL27" s="397"/>
      <c r="CM27" s="397"/>
      <c r="CN27" s="397"/>
      <c r="CO27" s="35"/>
      <c r="CP27" s="291"/>
      <c r="CQ27" s="291"/>
      <c r="CR27" s="291"/>
      <c r="CS27" s="291"/>
      <c r="CT27" s="291"/>
      <c r="CU27" s="291"/>
      <c r="CV27" s="397"/>
      <c r="CW27" s="397"/>
      <c r="CX27" s="397"/>
      <c r="CY27" s="397"/>
      <c r="CZ27" s="397"/>
      <c r="DA27" s="35"/>
      <c r="DB27" s="291"/>
      <c r="DC27" s="291"/>
      <c r="DD27" s="291"/>
      <c r="DE27" s="291"/>
      <c r="DF27" s="291"/>
      <c r="DG27" s="291"/>
      <c r="DH27" s="397"/>
      <c r="DI27" s="397"/>
      <c r="DJ27" s="397"/>
      <c r="DK27" s="397"/>
      <c r="DL27" s="397"/>
      <c r="DM27" s="35"/>
      <c r="DN27" s="291"/>
      <c r="DO27" s="291"/>
      <c r="DP27" s="291"/>
      <c r="DQ27" s="291"/>
      <c r="DR27" s="291"/>
      <c r="DS27" s="291"/>
      <c r="DT27" s="397"/>
      <c r="DU27" s="397"/>
      <c r="DV27" s="397"/>
      <c r="DW27" s="397"/>
      <c r="DX27" s="397"/>
      <c r="DY27" s="35"/>
      <c r="DZ27" s="291"/>
      <c r="EA27" s="291"/>
      <c r="EB27" s="291"/>
      <c r="EC27" s="291"/>
      <c r="ED27" s="291"/>
      <c r="EE27" s="291"/>
      <c r="EF27" s="397"/>
      <c r="EG27" s="397"/>
      <c r="EH27" s="397"/>
      <c r="EI27" s="397"/>
      <c r="EJ27" s="397"/>
      <c r="EK27" s="35"/>
      <c r="EL27" s="291"/>
      <c r="EM27" s="291"/>
      <c r="EN27" s="291"/>
      <c r="EO27" s="291"/>
      <c r="EP27" s="291"/>
      <c r="EQ27" s="291"/>
      <c r="ER27" s="397"/>
      <c r="ES27" s="397"/>
      <c r="ET27" s="397"/>
      <c r="EU27" s="397"/>
      <c r="EV27" s="397"/>
      <c r="EW27" s="35"/>
      <c r="EX27" s="291"/>
      <c r="EY27" s="291"/>
      <c r="EZ27" s="291"/>
      <c r="FA27" s="291"/>
      <c r="FB27" s="291"/>
      <c r="FC27" s="291"/>
      <c r="FD27" s="397"/>
      <c r="FE27" s="397"/>
      <c r="FF27" s="397"/>
      <c r="FG27" s="397"/>
      <c r="FH27" s="397"/>
      <c r="FI27" s="35"/>
      <c r="FJ27" s="291"/>
      <c r="FK27" s="291"/>
      <c r="FL27" s="291"/>
      <c r="FM27" s="291"/>
      <c r="FN27" s="291"/>
      <c r="FO27" s="291"/>
      <c r="FP27" s="397"/>
      <c r="FQ27" s="397"/>
      <c r="FR27" s="397"/>
      <c r="FS27" s="397"/>
      <c r="FT27" s="397"/>
      <c r="FU27" s="35"/>
      <c r="FV27" s="291"/>
      <c r="FW27" s="291"/>
      <c r="FX27" s="291"/>
      <c r="FY27" s="291"/>
      <c r="FZ27" s="291"/>
      <c r="GA27" s="291"/>
      <c r="GB27" s="397"/>
      <c r="GC27" s="397"/>
      <c r="GD27" s="397"/>
      <c r="GE27" s="397"/>
      <c r="GF27" s="397"/>
      <c r="GG27" s="35"/>
      <c r="GH27" s="291"/>
      <c r="GI27" s="291"/>
      <c r="GJ27" s="291"/>
      <c r="GK27" s="291"/>
      <c r="GL27" s="291"/>
      <c r="GM27" s="291"/>
      <c r="GN27" s="397"/>
      <c r="GO27" s="397"/>
      <c r="GP27" s="397"/>
      <c r="GQ27" s="397"/>
      <c r="GR27" s="397"/>
      <c r="GS27" s="35"/>
      <c r="GT27" s="291"/>
      <c r="GU27" s="291"/>
      <c r="GV27" s="291"/>
      <c r="GW27" s="291"/>
      <c r="GX27" s="291"/>
      <c r="GY27" s="291"/>
      <c r="GZ27" s="397"/>
      <c r="HA27" s="397"/>
      <c r="HB27" s="397"/>
      <c r="HC27" s="397"/>
      <c r="HD27" s="397"/>
      <c r="HE27" s="35"/>
      <c r="HF27" s="291"/>
      <c r="HG27" s="291"/>
      <c r="HH27" s="291"/>
      <c r="HI27" s="291"/>
      <c r="HJ27" s="291"/>
      <c r="HK27" s="291"/>
      <c r="HL27" s="397"/>
      <c r="HM27" s="397"/>
      <c r="HN27" s="397"/>
      <c r="HO27" s="397"/>
      <c r="HP27" s="397"/>
      <c r="HQ27" s="35"/>
      <c r="HR27" s="291"/>
      <c r="HS27" s="291"/>
      <c r="HT27" s="291"/>
      <c r="HU27" s="291"/>
      <c r="HV27" s="291"/>
      <c r="HW27" s="291"/>
      <c r="HX27" s="397"/>
      <c r="HY27" s="397"/>
      <c r="HZ27" s="397"/>
      <c r="IA27" s="397"/>
      <c r="IB27" s="397"/>
      <c r="IC27" s="35"/>
      <c r="ID27" s="291"/>
      <c r="IE27" s="291"/>
      <c r="IF27" s="291"/>
      <c r="IG27" s="291"/>
      <c r="IH27" s="291"/>
      <c r="II27" s="291"/>
      <c r="IJ27" s="397"/>
      <c r="IK27" s="397"/>
      <c r="IL27" s="397"/>
      <c r="IM27" s="397"/>
      <c r="IN27" s="397"/>
      <c r="IO27" s="35"/>
      <c r="IP27" s="291"/>
      <c r="IQ27" s="291"/>
      <c r="IR27" s="291"/>
    </row>
    <row r="28" spans="1:252" s="5" customFormat="1" ht="14.25">
      <c r="A28" s="35" t="s">
        <v>33</v>
      </c>
      <c r="B28" s="291">
        <v>-0.7</v>
      </c>
      <c r="C28" s="291">
        <v>-2.1</v>
      </c>
      <c r="D28" s="291">
        <v>-5.5</v>
      </c>
      <c r="E28" s="291">
        <v>-4.4000000000000004</v>
      </c>
      <c r="F28" s="291">
        <v>-2.7</v>
      </c>
      <c r="G28" s="397">
        <v>-3.9</v>
      </c>
      <c r="H28" s="291">
        <v>-1.2</v>
      </c>
      <c r="I28" s="291">
        <v>-2</v>
      </c>
      <c r="J28" s="291">
        <v>-2</v>
      </c>
      <c r="K28" s="291">
        <v>-1.5</v>
      </c>
      <c r="L28" s="291"/>
      <c r="M28" s="291"/>
      <c r="N28" s="291"/>
      <c r="O28" s="291"/>
      <c r="P28" s="291"/>
      <c r="Q28" s="291"/>
      <c r="R28" s="291"/>
      <c r="S28" s="397"/>
      <c r="T28" s="397"/>
      <c r="U28" s="35"/>
      <c r="V28" s="291"/>
      <c r="W28" s="291"/>
      <c r="X28" s="291"/>
      <c r="Y28" s="291"/>
      <c r="Z28" s="291"/>
      <c r="AA28" s="291"/>
      <c r="AB28" s="397"/>
      <c r="AC28" s="397"/>
      <c r="AD28" s="397"/>
      <c r="AE28" s="397"/>
      <c r="AF28" s="397"/>
      <c r="AG28" s="35"/>
      <c r="AH28" s="291"/>
      <c r="AI28" s="291"/>
      <c r="AJ28" s="291"/>
      <c r="AK28" s="291"/>
      <c r="AL28" s="291"/>
      <c r="AM28" s="291"/>
      <c r="AN28" s="397"/>
      <c r="AO28" s="397"/>
      <c r="AP28" s="397"/>
      <c r="AQ28" s="397"/>
      <c r="AR28" s="397"/>
      <c r="AS28" s="35"/>
      <c r="AT28" s="291"/>
      <c r="AU28" s="291"/>
      <c r="AV28" s="291"/>
      <c r="AW28" s="291"/>
      <c r="AX28" s="291"/>
      <c r="AY28" s="291"/>
      <c r="AZ28" s="397"/>
      <c r="BA28" s="397"/>
      <c r="BB28" s="397"/>
      <c r="BC28" s="397"/>
      <c r="BD28" s="397"/>
      <c r="BE28" s="35"/>
      <c r="BF28" s="291"/>
      <c r="BG28" s="291"/>
      <c r="BH28" s="291"/>
      <c r="BI28" s="291"/>
      <c r="BJ28" s="291"/>
      <c r="BK28" s="291"/>
      <c r="BL28" s="397"/>
      <c r="BM28" s="397"/>
      <c r="BN28" s="397"/>
      <c r="BO28" s="397"/>
      <c r="BP28" s="397"/>
      <c r="BQ28" s="35"/>
      <c r="BR28" s="291"/>
      <c r="BS28" s="291"/>
      <c r="BT28" s="291"/>
      <c r="BU28" s="291"/>
      <c r="BV28" s="291"/>
      <c r="BW28" s="291"/>
      <c r="BX28" s="397"/>
      <c r="BY28" s="397"/>
      <c r="BZ28" s="397"/>
      <c r="CA28" s="397"/>
      <c r="CB28" s="397"/>
      <c r="CC28" s="35"/>
      <c r="CD28" s="291"/>
      <c r="CE28" s="291"/>
      <c r="CF28" s="291"/>
      <c r="CG28" s="291"/>
      <c r="CH28" s="291"/>
      <c r="CI28" s="291"/>
      <c r="CJ28" s="397"/>
      <c r="CK28" s="397"/>
      <c r="CL28" s="397"/>
      <c r="CM28" s="397"/>
      <c r="CN28" s="397"/>
      <c r="CO28" s="35"/>
      <c r="CP28" s="291"/>
      <c r="CQ28" s="291"/>
      <c r="CR28" s="291"/>
      <c r="CS28" s="291"/>
      <c r="CT28" s="291"/>
      <c r="CU28" s="291"/>
      <c r="CV28" s="397"/>
      <c r="CW28" s="397"/>
      <c r="CX28" s="397"/>
      <c r="CY28" s="397"/>
      <c r="CZ28" s="397"/>
      <c r="DA28" s="35"/>
      <c r="DB28" s="291"/>
      <c r="DC28" s="291"/>
      <c r="DD28" s="291"/>
      <c r="DE28" s="291"/>
      <c r="DF28" s="291"/>
      <c r="DG28" s="291"/>
      <c r="DH28" s="397"/>
      <c r="DI28" s="397"/>
      <c r="DJ28" s="397"/>
      <c r="DK28" s="397"/>
      <c r="DL28" s="397"/>
      <c r="DM28" s="35"/>
      <c r="DN28" s="291"/>
      <c r="DO28" s="291"/>
      <c r="DP28" s="291"/>
      <c r="DQ28" s="291"/>
      <c r="DR28" s="291"/>
      <c r="DS28" s="291"/>
      <c r="DT28" s="397"/>
      <c r="DU28" s="397"/>
      <c r="DV28" s="397"/>
      <c r="DW28" s="397"/>
      <c r="DX28" s="397"/>
      <c r="DY28" s="35"/>
      <c r="DZ28" s="291"/>
      <c r="EA28" s="291"/>
      <c r="EB28" s="291"/>
      <c r="EC28" s="291"/>
      <c r="ED28" s="291"/>
      <c r="EE28" s="291"/>
      <c r="EF28" s="397"/>
      <c r="EG28" s="397"/>
      <c r="EH28" s="397"/>
      <c r="EI28" s="397"/>
      <c r="EJ28" s="397"/>
      <c r="EK28" s="35"/>
      <c r="EL28" s="291"/>
      <c r="EM28" s="291"/>
      <c r="EN28" s="291"/>
      <c r="EO28" s="291"/>
      <c r="EP28" s="291"/>
      <c r="EQ28" s="291"/>
      <c r="ER28" s="397"/>
      <c r="ES28" s="397"/>
      <c r="ET28" s="397"/>
      <c r="EU28" s="397"/>
      <c r="EV28" s="397"/>
      <c r="EW28" s="35"/>
      <c r="EX28" s="291"/>
      <c r="EY28" s="291"/>
      <c r="EZ28" s="291"/>
      <c r="FA28" s="291"/>
      <c r="FB28" s="291"/>
      <c r="FC28" s="291"/>
      <c r="FD28" s="397"/>
      <c r="FE28" s="397"/>
      <c r="FF28" s="397"/>
      <c r="FG28" s="397"/>
      <c r="FH28" s="397"/>
      <c r="FI28" s="35"/>
      <c r="FJ28" s="291"/>
      <c r="FK28" s="291"/>
      <c r="FL28" s="291"/>
      <c r="FM28" s="291"/>
      <c r="FN28" s="291"/>
      <c r="FO28" s="291"/>
      <c r="FP28" s="397"/>
      <c r="FQ28" s="397"/>
      <c r="FR28" s="397"/>
      <c r="FS28" s="397"/>
      <c r="FT28" s="397"/>
      <c r="FU28" s="35"/>
      <c r="FV28" s="291"/>
      <c r="FW28" s="291"/>
      <c r="FX28" s="291"/>
      <c r="FY28" s="291"/>
      <c r="FZ28" s="291"/>
      <c r="GA28" s="291"/>
      <c r="GB28" s="397"/>
      <c r="GC28" s="397"/>
      <c r="GD28" s="397"/>
      <c r="GE28" s="397"/>
      <c r="GF28" s="397"/>
      <c r="GG28" s="35"/>
      <c r="GH28" s="291"/>
      <c r="GI28" s="291"/>
      <c r="GJ28" s="291"/>
      <c r="GK28" s="291"/>
      <c r="GL28" s="291"/>
      <c r="GM28" s="291"/>
      <c r="GN28" s="397"/>
      <c r="GO28" s="397"/>
      <c r="GP28" s="397"/>
      <c r="GQ28" s="397"/>
      <c r="GR28" s="397"/>
      <c r="GS28" s="35"/>
      <c r="GT28" s="291"/>
      <c r="GU28" s="291"/>
      <c r="GV28" s="291"/>
      <c r="GW28" s="291"/>
      <c r="GX28" s="291"/>
      <c r="GY28" s="291"/>
      <c r="GZ28" s="397"/>
      <c r="HA28" s="397"/>
      <c r="HB28" s="397"/>
      <c r="HC28" s="397"/>
      <c r="HD28" s="397"/>
      <c r="HE28" s="35"/>
      <c r="HF28" s="291"/>
      <c r="HG28" s="291"/>
      <c r="HH28" s="291"/>
      <c r="HI28" s="291"/>
      <c r="HJ28" s="291"/>
      <c r="HK28" s="291"/>
      <c r="HL28" s="397"/>
      <c r="HM28" s="397"/>
      <c r="HN28" s="397"/>
      <c r="HO28" s="397"/>
      <c r="HP28" s="397"/>
      <c r="HQ28" s="35"/>
      <c r="HR28" s="291"/>
      <c r="HS28" s="291"/>
      <c r="HT28" s="291"/>
      <c r="HU28" s="291"/>
      <c r="HV28" s="291"/>
      <c r="HW28" s="291"/>
      <c r="HX28" s="397"/>
      <c r="HY28" s="397"/>
      <c r="HZ28" s="397"/>
      <c r="IA28" s="397"/>
      <c r="IB28" s="397"/>
      <c r="IC28" s="35"/>
      <c r="ID28" s="291"/>
      <c r="IE28" s="291"/>
      <c r="IF28" s="291"/>
      <c r="IG28" s="291"/>
      <c r="IH28" s="291"/>
      <c r="II28" s="291"/>
      <c r="IJ28" s="397"/>
      <c r="IK28" s="397"/>
      <c r="IL28" s="397"/>
      <c r="IM28" s="397"/>
      <c r="IN28" s="397"/>
      <c r="IO28" s="35"/>
      <c r="IP28" s="291"/>
      <c r="IQ28" s="291"/>
      <c r="IR28" s="291"/>
    </row>
    <row r="29" spans="1:252" s="5" customFormat="1" ht="14.25">
      <c r="A29" s="35" t="s">
        <v>10</v>
      </c>
      <c r="B29" s="291">
        <v>5</v>
      </c>
      <c r="C29" s="291">
        <v>3.2</v>
      </c>
      <c r="D29" s="291">
        <v>-2.8</v>
      </c>
      <c r="E29" s="291">
        <v>-2.7</v>
      </c>
      <c r="F29" s="291">
        <v>-2.1</v>
      </c>
      <c r="G29" s="397">
        <v>-3.7</v>
      </c>
      <c r="H29" s="291">
        <v>-1.1000000000000001</v>
      </c>
      <c r="I29" s="291">
        <v>1.2</v>
      </c>
      <c r="J29" s="291">
        <v>-1.5</v>
      </c>
      <c r="K29" s="291">
        <v>-2.6</v>
      </c>
      <c r="L29" s="291"/>
      <c r="M29" s="291"/>
      <c r="N29" s="291"/>
      <c r="O29" s="291"/>
      <c r="P29" s="291"/>
      <c r="Q29" s="291"/>
      <c r="R29" s="291"/>
      <c r="S29" s="397"/>
      <c r="T29" s="397"/>
      <c r="U29" s="35"/>
      <c r="V29" s="291"/>
      <c r="W29" s="291"/>
      <c r="X29" s="291"/>
      <c r="Y29" s="291"/>
      <c r="Z29" s="291"/>
      <c r="AA29" s="291"/>
      <c r="AB29" s="397"/>
      <c r="AC29" s="397"/>
      <c r="AD29" s="397"/>
      <c r="AE29" s="397"/>
      <c r="AF29" s="397"/>
      <c r="AG29" s="35"/>
      <c r="AH29" s="291"/>
      <c r="AI29" s="291"/>
      <c r="AJ29" s="291"/>
      <c r="AK29" s="291"/>
      <c r="AL29" s="291"/>
      <c r="AM29" s="291"/>
      <c r="AN29" s="397"/>
      <c r="AO29" s="397"/>
      <c r="AP29" s="397"/>
      <c r="AQ29" s="397"/>
      <c r="AR29" s="397"/>
      <c r="AS29" s="35"/>
      <c r="AT29" s="291"/>
      <c r="AU29" s="291"/>
      <c r="AV29" s="291"/>
      <c r="AW29" s="291"/>
      <c r="AX29" s="291"/>
      <c r="AY29" s="291"/>
      <c r="AZ29" s="397"/>
      <c r="BA29" s="397"/>
      <c r="BB29" s="397"/>
      <c r="BC29" s="397"/>
      <c r="BD29" s="397"/>
      <c r="BE29" s="35"/>
      <c r="BF29" s="291"/>
      <c r="BG29" s="291"/>
      <c r="BH29" s="291"/>
      <c r="BI29" s="291"/>
      <c r="BJ29" s="291"/>
      <c r="BK29" s="291"/>
      <c r="BL29" s="397"/>
      <c r="BM29" s="397"/>
      <c r="BN29" s="397"/>
      <c r="BO29" s="397"/>
      <c r="BP29" s="397"/>
      <c r="BQ29" s="35"/>
      <c r="BR29" s="291"/>
      <c r="BS29" s="291"/>
      <c r="BT29" s="291"/>
      <c r="BU29" s="291"/>
      <c r="BV29" s="291"/>
      <c r="BW29" s="291"/>
      <c r="BX29" s="397"/>
      <c r="BY29" s="397"/>
      <c r="BZ29" s="397"/>
      <c r="CA29" s="397"/>
      <c r="CB29" s="397"/>
      <c r="CC29" s="35"/>
      <c r="CD29" s="291"/>
      <c r="CE29" s="291"/>
      <c r="CF29" s="291"/>
      <c r="CG29" s="291"/>
      <c r="CH29" s="291"/>
      <c r="CI29" s="291"/>
      <c r="CJ29" s="397"/>
      <c r="CK29" s="397"/>
      <c r="CL29" s="397"/>
      <c r="CM29" s="397"/>
      <c r="CN29" s="397"/>
      <c r="CO29" s="35"/>
      <c r="CP29" s="291"/>
      <c r="CQ29" s="291"/>
      <c r="CR29" s="291"/>
      <c r="CS29" s="291"/>
      <c r="CT29" s="291"/>
      <c r="CU29" s="291"/>
      <c r="CV29" s="397"/>
      <c r="CW29" s="397"/>
      <c r="CX29" s="397"/>
      <c r="CY29" s="397"/>
      <c r="CZ29" s="397"/>
      <c r="DA29" s="35"/>
      <c r="DB29" s="291"/>
      <c r="DC29" s="291"/>
      <c r="DD29" s="291"/>
      <c r="DE29" s="291"/>
      <c r="DF29" s="291"/>
      <c r="DG29" s="291"/>
      <c r="DH29" s="397"/>
      <c r="DI29" s="397"/>
      <c r="DJ29" s="397"/>
      <c r="DK29" s="397"/>
      <c r="DL29" s="397"/>
      <c r="DM29" s="35"/>
      <c r="DN29" s="291"/>
      <c r="DO29" s="291"/>
      <c r="DP29" s="291"/>
      <c r="DQ29" s="291"/>
      <c r="DR29" s="291"/>
      <c r="DS29" s="291"/>
      <c r="DT29" s="397"/>
      <c r="DU29" s="397"/>
      <c r="DV29" s="397"/>
      <c r="DW29" s="397"/>
      <c r="DX29" s="397"/>
      <c r="DY29" s="35"/>
      <c r="DZ29" s="291"/>
      <c r="EA29" s="291"/>
      <c r="EB29" s="291"/>
      <c r="EC29" s="291"/>
      <c r="ED29" s="291"/>
      <c r="EE29" s="291"/>
      <c r="EF29" s="397"/>
      <c r="EG29" s="397"/>
      <c r="EH29" s="397"/>
      <c r="EI29" s="397"/>
      <c r="EJ29" s="397"/>
      <c r="EK29" s="35"/>
      <c r="EL29" s="291"/>
      <c r="EM29" s="291"/>
      <c r="EN29" s="291"/>
      <c r="EO29" s="291"/>
      <c r="EP29" s="291"/>
      <c r="EQ29" s="291"/>
      <c r="ER29" s="397"/>
      <c r="ES29" s="397"/>
      <c r="ET29" s="397"/>
      <c r="EU29" s="397"/>
      <c r="EV29" s="397"/>
      <c r="EW29" s="35"/>
      <c r="EX29" s="291"/>
      <c r="EY29" s="291"/>
      <c r="EZ29" s="291"/>
      <c r="FA29" s="291"/>
      <c r="FB29" s="291"/>
      <c r="FC29" s="291"/>
      <c r="FD29" s="397"/>
      <c r="FE29" s="397"/>
      <c r="FF29" s="397"/>
      <c r="FG29" s="397"/>
      <c r="FH29" s="397"/>
      <c r="FI29" s="35"/>
      <c r="FJ29" s="291"/>
      <c r="FK29" s="291"/>
      <c r="FL29" s="291"/>
      <c r="FM29" s="291"/>
      <c r="FN29" s="291"/>
      <c r="FO29" s="291"/>
      <c r="FP29" s="397"/>
      <c r="FQ29" s="397"/>
      <c r="FR29" s="397"/>
      <c r="FS29" s="397"/>
      <c r="FT29" s="397"/>
      <c r="FU29" s="35"/>
      <c r="FV29" s="291"/>
      <c r="FW29" s="291"/>
      <c r="FX29" s="291"/>
      <c r="FY29" s="291"/>
      <c r="FZ29" s="291"/>
      <c r="GA29" s="291"/>
      <c r="GB29" s="397"/>
      <c r="GC29" s="397"/>
      <c r="GD29" s="397"/>
      <c r="GE29" s="397"/>
      <c r="GF29" s="397"/>
      <c r="GG29" s="35"/>
      <c r="GH29" s="291"/>
      <c r="GI29" s="291"/>
      <c r="GJ29" s="291"/>
      <c r="GK29" s="291"/>
      <c r="GL29" s="291"/>
      <c r="GM29" s="291"/>
      <c r="GN29" s="397"/>
      <c r="GO29" s="397"/>
      <c r="GP29" s="397"/>
      <c r="GQ29" s="397"/>
      <c r="GR29" s="397"/>
      <c r="GS29" s="35"/>
      <c r="GT29" s="291"/>
      <c r="GU29" s="291"/>
      <c r="GV29" s="291"/>
      <c r="GW29" s="291"/>
      <c r="GX29" s="291"/>
      <c r="GY29" s="291"/>
      <c r="GZ29" s="397"/>
      <c r="HA29" s="397"/>
      <c r="HB29" s="397"/>
      <c r="HC29" s="397"/>
      <c r="HD29" s="397"/>
      <c r="HE29" s="35"/>
      <c r="HF29" s="291"/>
      <c r="HG29" s="291"/>
      <c r="HH29" s="291"/>
      <c r="HI29" s="291"/>
      <c r="HJ29" s="291"/>
      <c r="HK29" s="291"/>
      <c r="HL29" s="397"/>
      <c r="HM29" s="397"/>
      <c r="HN29" s="397"/>
      <c r="HO29" s="397"/>
      <c r="HP29" s="397"/>
      <c r="HQ29" s="35"/>
      <c r="HR29" s="291"/>
      <c r="HS29" s="291"/>
      <c r="HT29" s="291"/>
      <c r="HU29" s="291"/>
      <c r="HV29" s="291"/>
      <c r="HW29" s="291"/>
      <c r="HX29" s="397"/>
      <c r="HY29" s="397"/>
      <c r="HZ29" s="397"/>
      <c r="IA29" s="397"/>
      <c r="IB29" s="397"/>
      <c r="IC29" s="35"/>
      <c r="ID29" s="291"/>
      <c r="IE29" s="291"/>
      <c r="IF29" s="291"/>
      <c r="IG29" s="291"/>
      <c r="IH29" s="291"/>
      <c r="II29" s="291"/>
      <c r="IJ29" s="397"/>
      <c r="IK29" s="397"/>
      <c r="IL29" s="397"/>
      <c r="IM29" s="397"/>
      <c r="IN29" s="397"/>
      <c r="IO29" s="35"/>
      <c r="IP29" s="291"/>
      <c r="IQ29" s="291"/>
      <c r="IR29" s="291"/>
    </row>
    <row r="30" spans="1:252" s="5" customFormat="1" ht="14.25">
      <c r="A30" s="35" t="s">
        <v>816</v>
      </c>
      <c r="B30" s="389" t="s">
        <v>818</v>
      </c>
      <c r="C30" s="389" t="s">
        <v>818</v>
      </c>
      <c r="D30" s="389" t="s">
        <v>818</v>
      </c>
      <c r="E30" s="389" t="s">
        <v>818</v>
      </c>
      <c r="F30" s="291">
        <v>-7.5</v>
      </c>
      <c r="G30" s="397">
        <v>-5.3</v>
      </c>
      <c r="H30" s="291">
        <v>-5.4</v>
      </c>
      <c r="I30" s="291">
        <v>-5.7</v>
      </c>
      <c r="J30" s="291">
        <v>-5.6</v>
      </c>
      <c r="K30" s="291">
        <v>-5.7</v>
      </c>
      <c r="L30" s="291"/>
      <c r="M30" s="291"/>
      <c r="N30" s="291"/>
      <c r="O30" s="291"/>
      <c r="P30" s="291"/>
      <c r="Q30" s="291"/>
      <c r="R30" s="291"/>
      <c r="S30" s="291"/>
      <c r="T30" s="291"/>
      <c r="U30" s="36"/>
      <c r="V30" s="291"/>
      <c r="W30" s="291"/>
      <c r="X30" s="291"/>
      <c r="Y30" s="291"/>
      <c r="Z30" s="291"/>
      <c r="AA30" s="291"/>
      <c r="AB30" s="291"/>
      <c r="AC30" s="291"/>
      <c r="AD30" s="291"/>
      <c r="AE30" s="291"/>
      <c r="AF30" s="291"/>
      <c r="AG30" s="36"/>
      <c r="AH30" s="291"/>
      <c r="AI30" s="291"/>
      <c r="AJ30" s="291"/>
      <c r="AK30" s="291"/>
      <c r="AL30" s="291"/>
      <c r="AM30" s="291"/>
      <c r="AN30" s="291"/>
      <c r="AO30" s="291"/>
      <c r="AP30" s="291"/>
      <c r="AQ30" s="291"/>
      <c r="AR30" s="291"/>
      <c r="AS30" s="36"/>
      <c r="AT30" s="291"/>
      <c r="AU30" s="291"/>
      <c r="AV30" s="291"/>
      <c r="AW30" s="291"/>
      <c r="AX30" s="291"/>
      <c r="AY30" s="291"/>
      <c r="AZ30" s="291"/>
      <c r="BA30" s="291"/>
      <c r="BB30" s="291"/>
      <c r="BC30" s="291"/>
      <c r="BD30" s="291"/>
      <c r="BE30" s="36"/>
      <c r="BF30" s="291"/>
      <c r="BG30" s="291"/>
      <c r="BH30" s="291"/>
      <c r="BI30" s="291"/>
      <c r="BJ30" s="291"/>
      <c r="BK30" s="291"/>
      <c r="BL30" s="291"/>
      <c r="BM30" s="291"/>
      <c r="BN30" s="291"/>
      <c r="BO30" s="291"/>
      <c r="BP30" s="291"/>
      <c r="BQ30" s="36"/>
      <c r="BR30" s="291"/>
      <c r="BS30" s="291"/>
      <c r="BT30" s="291"/>
      <c r="BU30" s="291"/>
      <c r="BV30" s="291"/>
      <c r="BW30" s="291"/>
      <c r="BX30" s="291"/>
      <c r="BY30" s="291"/>
      <c r="BZ30" s="291"/>
      <c r="CA30" s="291"/>
      <c r="CB30" s="291"/>
      <c r="CC30" s="36"/>
      <c r="CD30" s="291"/>
      <c r="CE30" s="291"/>
      <c r="CF30" s="291"/>
      <c r="CG30" s="291"/>
      <c r="CH30" s="291"/>
      <c r="CI30" s="291"/>
      <c r="CJ30" s="291"/>
      <c r="CK30" s="291"/>
      <c r="CL30" s="291"/>
      <c r="CM30" s="291"/>
      <c r="CN30" s="291"/>
      <c r="CO30" s="36"/>
      <c r="CP30" s="291"/>
      <c r="CQ30" s="291"/>
      <c r="CR30" s="291"/>
      <c r="CS30" s="291"/>
      <c r="CT30" s="291"/>
      <c r="CU30" s="291"/>
      <c r="CV30" s="291"/>
      <c r="CW30" s="291"/>
      <c r="CX30" s="291"/>
      <c r="CY30" s="291"/>
      <c r="CZ30" s="291"/>
      <c r="DA30" s="36"/>
      <c r="DB30" s="291"/>
      <c r="DC30" s="291"/>
      <c r="DD30" s="291"/>
      <c r="DE30" s="291"/>
      <c r="DF30" s="291"/>
      <c r="DG30" s="291"/>
      <c r="DH30" s="291"/>
      <c r="DI30" s="291"/>
      <c r="DJ30" s="291"/>
      <c r="DK30" s="291"/>
      <c r="DL30" s="291"/>
      <c r="DM30" s="36"/>
      <c r="DN30" s="291"/>
      <c r="DO30" s="291"/>
      <c r="DP30" s="291"/>
      <c r="DQ30" s="291"/>
      <c r="DR30" s="291"/>
      <c r="DS30" s="291"/>
      <c r="DT30" s="291"/>
      <c r="DU30" s="291"/>
      <c r="DV30" s="291"/>
      <c r="DW30" s="291"/>
      <c r="DX30" s="291"/>
      <c r="DY30" s="36"/>
      <c r="DZ30" s="291"/>
      <c r="EA30" s="291"/>
      <c r="EB30" s="291"/>
      <c r="EC30" s="291"/>
      <c r="ED30" s="291"/>
      <c r="EE30" s="291"/>
      <c r="EF30" s="291"/>
      <c r="EG30" s="291"/>
      <c r="EH30" s="291"/>
      <c r="EI30" s="291"/>
      <c r="EJ30" s="291"/>
      <c r="EK30" s="36"/>
      <c r="EL30" s="291"/>
      <c r="EM30" s="291"/>
      <c r="EN30" s="291"/>
      <c r="EO30" s="291"/>
      <c r="EP30" s="291"/>
      <c r="EQ30" s="291"/>
      <c r="ER30" s="291"/>
      <c r="ES30" s="291"/>
      <c r="ET30" s="291"/>
      <c r="EU30" s="291"/>
      <c r="EV30" s="291"/>
      <c r="EW30" s="36"/>
      <c r="EX30" s="291"/>
      <c r="EY30" s="291"/>
      <c r="EZ30" s="291"/>
      <c r="FA30" s="291"/>
      <c r="FB30" s="291"/>
      <c r="FC30" s="291"/>
      <c r="FD30" s="291"/>
      <c r="FE30" s="291"/>
      <c r="FF30" s="291"/>
      <c r="FG30" s="291"/>
      <c r="FH30" s="291"/>
      <c r="FI30" s="36"/>
      <c r="FJ30" s="291"/>
      <c r="FK30" s="291"/>
      <c r="FL30" s="291"/>
      <c r="FM30" s="291"/>
      <c r="FN30" s="291"/>
      <c r="FO30" s="291"/>
      <c r="FP30" s="291"/>
      <c r="FQ30" s="291"/>
      <c r="FR30" s="291"/>
      <c r="FS30" s="291"/>
      <c r="FT30" s="291"/>
      <c r="FU30" s="36"/>
      <c r="FV30" s="291"/>
      <c r="FW30" s="291"/>
      <c r="FX30" s="291"/>
      <c r="FY30" s="291"/>
      <c r="FZ30" s="291"/>
      <c r="GA30" s="291"/>
      <c r="GB30" s="291"/>
      <c r="GC30" s="291"/>
      <c r="GD30" s="291"/>
      <c r="GE30" s="291"/>
      <c r="GF30" s="291"/>
      <c r="GG30" s="36"/>
      <c r="GH30" s="291"/>
      <c r="GI30" s="291"/>
      <c r="GJ30" s="291"/>
      <c r="GK30" s="291"/>
      <c r="GL30" s="291"/>
      <c r="GM30" s="291"/>
      <c r="GN30" s="291"/>
      <c r="GO30" s="291"/>
      <c r="GP30" s="291"/>
      <c r="GQ30" s="291"/>
      <c r="GR30" s="291"/>
      <c r="GS30" s="36"/>
      <c r="GT30" s="291"/>
      <c r="GU30" s="291"/>
      <c r="GV30" s="291"/>
      <c r="GW30" s="291"/>
      <c r="GX30" s="291"/>
      <c r="GY30" s="291"/>
      <c r="GZ30" s="291"/>
      <c r="HA30" s="291"/>
      <c r="HB30" s="291"/>
      <c r="HC30" s="291"/>
      <c r="HD30" s="291"/>
      <c r="HE30" s="36"/>
      <c r="HF30" s="291"/>
      <c r="HG30" s="291"/>
      <c r="HH30" s="291"/>
      <c r="HI30" s="291"/>
      <c r="HJ30" s="291"/>
      <c r="HK30" s="291"/>
      <c r="HL30" s="291"/>
      <c r="HM30" s="291"/>
      <c r="HN30" s="291"/>
      <c r="HO30" s="291"/>
      <c r="HP30" s="291"/>
      <c r="HQ30" s="36"/>
      <c r="HR30" s="291"/>
      <c r="HS30" s="291"/>
      <c r="HT30" s="291"/>
      <c r="HU30" s="291"/>
      <c r="HV30" s="291"/>
      <c r="HW30" s="291"/>
      <c r="HX30" s="291"/>
      <c r="HY30" s="291"/>
      <c r="HZ30" s="291"/>
      <c r="IA30" s="291"/>
      <c r="IB30" s="291"/>
      <c r="IC30" s="36"/>
      <c r="ID30" s="291"/>
      <c r="IE30" s="291"/>
      <c r="IF30" s="291"/>
      <c r="IG30" s="291"/>
      <c r="IH30" s="291"/>
      <c r="II30" s="291"/>
      <c r="IJ30" s="291"/>
      <c r="IK30" s="291"/>
      <c r="IL30" s="291"/>
      <c r="IM30" s="291"/>
      <c r="IN30" s="291"/>
      <c r="IO30" s="36"/>
      <c r="IP30" s="291"/>
      <c r="IQ30" s="291"/>
      <c r="IR30" s="291"/>
    </row>
    <row r="31" spans="1:252" s="5" customFormat="1" ht="14.25">
      <c r="A31" s="35" t="s">
        <v>7</v>
      </c>
      <c r="B31" s="291">
        <v>-5.0999999999999996</v>
      </c>
      <c r="C31" s="291">
        <v>-3.7</v>
      </c>
      <c r="D31" s="291">
        <v>-4.5999999999999996</v>
      </c>
      <c r="E31" s="291">
        <v>-4.5</v>
      </c>
      <c r="F31" s="291">
        <v>-5.5</v>
      </c>
      <c r="G31" s="397">
        <v>-2.2999999999999998</v>
      </c>
      <c r="H31" s="291">
        <v>-2.5</v>
      </c>
      <c r="I31" s="291">
        <v>-2.6</v>
      </c>
      <c r="J31" s="291">
        <v>-2.5</v>
      </c>
      <c r="K31" s="291">
        <v>-2.2000000000000002</v>
      </c>
      <c r="L31" s="291"/>
      <c r="M31" s="291"/>
      <c r="N31" s="291"/>
      <c r="O31" s="291"/>
      <c r="P31" s="291"/>
      <c r="Q31" s="291"/>
      <c r="R31" s="291"/>
      <c r="S31" s="291"/>
      <c r="T31" s="291"/>
      <c r="U31" s="35"/>
      <c r="V31" s="291"/>
      <c r="W31" s="291"/>
      <c r="X31" s="291"/>
      <c r="Y31" s="291"/>
      <c r="Z31" s="291"/>
      <c r="AA31" s="291"/>
      <c r="AB31" s="291"/>
      <c r="AC31" s="291"/>
      <c r="AD31" s="291"/>
      <c r="AE31" s="291"/>
      <c r="AF31" s="291"/>
      <c r="AG31" s="35"/>
      <c r="AH31" s="291"/>
      <c r="AI31" s="291"/>
      <c r="AJ31" s="291"/>
      <c r="AK31" s="291"/>
      <c r="AL31" s="291"/>
      <c r="AM31" s="291"/>
      <c r="AN31" s="291"/>
      <c r="AO31" s="291"/>
      <c r="AP31" s="291"/>
      <c r="AQ31" s="291"/>
      <c r="AR31" s="291"/>
      <c r="AS31" s="35"/>
      <c r="AT31" s="291"/>
      <c r="AU31" s="291"/>
      <c r="AV31" s="291"/>
      <c r="AW31" s="291"/>
      <c r="AX31" s="291"/>
      <c r="AY31" s="291"/>
      <c r="AZ31" s="291"/>
      <c r="BA31" s="291"/>
      <c r="BB31" s="291"/>
      <c r="BC31" s="291"/>
      <c r="BD31" s="291"/>
      <c r="BE31" s="35"/>
      <c r="BF31" s="291"/>
      <c r="BG31" s="291"/>
      <c r="BH31" s="291"/>
      <c r="BI31" s="291"/>
      <c r="BJ31" s="291"/>
      <c r="BK31" s="291"/>
      <c r="BL31" s="291"/>
      <c r="BM31" s="291"/>
      <c r="BN31" s="291"/>
      <c r="BO31" s="291"/>
      <c r="BP31" s="291"/>
      <c r="BQ31" s="35"/>
      <c r="BR31" s="291"/>
      <c r="BS31" s="291"/>
      <c r="BT31" s="291"/>
      <c r="BU31" s="291"/>
      <c r="BV31" s="291"/>
      <c r="BW31" s="291"/>
      <c r="BX31" s="291"/>
      <c r="BY31" s="291"/>
      <c r="BZ31" s="291"/>
      <c r="CA31" s="291"/>
      <c r="CB31" s="291"/>
      <c r="CC31" s="35"/>
      <c r="CD31" s="291"/>
      <c r="CE31" s="291"/>
      <c r="CF31" s="291"/>
      <c r="CG31" s="291"/>
      <c r="CH31" s="291"/>
      <c r="CI31" s="291"/>
      <c r="CJ31" s="291"/>
      <c r="CK31" s="291"/>
      <c r="CL31" s="291"/>
      <c r="CM31" s="291"/>
      <c r="CN31" s="291"/>
      <c r="CO31" s="35"/>
      <c r="CP31" s="291"/>
      <c r="CQ31" s="291"/>
      <c r="CR31" s="291"/>
      <c r="CS31" s="291"/>
      <c r="CT31" s="291"/>
      <c r="CU31" s="291"/>
      <c r="CV31" s="291"/>
      <c r="CW31" s="291"/>
      <c r="CX31" s="291"/>
      <c r="CY31" s="291"/>
      <c r="CZ31" s="291"/>
      <c r="DA31" s="35"/>
      <c r="DB31" s="291"/>
      <c r="DC31" s="291"/>
      <c r="DD31" s="291"/>
      <c r="DE31" s="291"/>
      <c r="DF31" s="291"/>
      <c r="DG31" s="291"/>
      <c r="DH31" s="291"/>
      <c r="DI31" s="291"/>
      <c r="DJ31" s="291"/>
      <c r="DK31" s="291"/>
      <c r="DL31" s="291"/>
      <c r="DM31" s="35"/>
      <c r="DN31" s="291"/>
      <c r="DO31" s="291"/>
      <c r="DP31" s="291"/>
      <c r="DQ31" s="291"/>
      <c r="DR31" s="291"/>
      <c r="DS31" s="291"/>
      <c r="DT31" s="291"/>
      <c r="DU31" s="291"/>
      <c r="DV31" s="291"/>
      <c r="DW31" s="291"/>
      <c r="DX31" s="291"/>
      <c r="DY31" s="35"/>
      <c r="DZ31" s="291"/>
      <c r="EA31" s="291"/>
      <c r="EB31" s="291"/>
      <c r="EC31" s="291"/>
      <c r="ED31" s="291"/>
      <c r="EE31" s="291"/>
      <c r="EF31" s="291"/>
      <c r="EG31" s="291"/>
      <c r="EH31" s="291"/>
      <c r="EI31" s="291"/>
      <c r="EJ31" s="291"/>
      <c r="EK31" s="35"/>
      <c r="EL31" s="291"/>
      <c r="EM31" s="291"/>
      <c r="EN31" s="291"/>
      <c r="EO31" s="291"/>
      <c r="EP31" s="291"/>
      <c r="EQ31" s="291"/>
      <c r="ER31" s="291"/>
      <c r="ES31" s="291"/>
      <c r="ET31" s="291"/>
      <c r="EU31" s="291"/>
      <c r="EV31" s="291"/>
      <c r="EW31" s="35"/>
      <c r="EX31" s="291"/>
      <c r="EY31" s="291"/>
      <c r="EZ31" s="291"/>
      <c r="FA31" s="291"/>
      <c r="FB31" s="291"/>
      <c r="FC31" s="291"/>
      <c r="FD31" s="291"/>
      <c r="FE31" s="291"/>
      <c r="FF31" s="291"/>
      <c r="FG31" s="291"/>
      <c r="FH31" s="291"/>
      <c r="FI31" s="35"/>
      <c r="FJ31" s="291"/>
      <c r="FK31" s="291"/>
      <c r="FL31" s="291"/>
      <c r="FM31" s="291"/>
      <c r="FN31" s="291"/>
      <c r="FO31" s="291"/>
      <c r="FP31" s="291"/>
      <c r="FQ31" s="291"/>
      <c r="FR31" s="291"/>
      <c r="FS31" s="291"/>
      <c r="FT31" s="291"/>
      <c r="FU31" s="35"/>
      <c r="FV31" s="291"/>
      <c r="FW31" s="291"/>
      <c r="FX31" s="291"/>
      <c r="FY31" s="291"/>
      <c r="FZ31" s="291"/>
      <c r="GA31" s="291"/>
      <c r="GB31" s="291"/>
      <c r="GC31" s="291"/>
      <c r="GD31" s="291"/>
      <c r="GE31" s="291"/>
      <c r="GF31" s="291"/>
      <c r="GG31" s="35"/>
      <c r="GH31" s="291"/>
      <c r="GI31" s="291"/>
      <c r="GJ31" s="291"/>
      <c r="GK31" s="291"/>
      <c r="GL31" s="291"/>
      <c r="GM31" s="291"/>
      <c r="GN31" s="291"/>
      <c r="GO31" s="291"/>
      <c r="GP31" s="291"/>
      <c r="GQ31" s="291"/>
      <c r="GR31" s="291"/>
      <c r="GS31" s="35"/>
      <c r="GT31" s="291"/>
      <c r="GU31" s="291"/>
      <c r="GV31" s="291"/>
      <c r="GW31" s="291"/>
      <c r="GX31" s="291"/>
      <c r="GY31" s="291"/>
      <c r="GZ31" s="291"/>
      <c r="HA31" s="291"/>
      <c r="HB31" s="291"/>
      <c r="HC31" s="291"/>
      <c r="HD31" s="291"/>
      <c r="HE31" s="35"/>
      <c r="HF31" s="291"/>
      <c r="HG31" s="291"/>
      <c r="HH31" s="291"/>
      <c r="HI31" s="291"/>
      <c r="HJ31" s="291"/>
      <c r="HK31" s="291"/>
      <c r="HL31" s="291"/>
      <c r="HM31" s="291"/>
      <c r="HN31" s="291"/>
      <c r="HO31" s="291"/>
      <c r="HP31" s="291"/>
      <c r="HQ31" s="35"/>
      <c r="HR31" s="291"/>
      <c r="HS31" s="291"/>
      <c r="HT31" s="291"/>
      <c r="HU31" s="291"/>
      <c r="HV31" s="291"/>
      <c r="HW31" s="291"/>
      <c r="HX31" s="291"/>
      <c r="HY31" s="291"/>
      <c r="HZ31" s="291"/>
      <c r="IA31" s="291"/>
      <c r="IB31" s="291"/>
      <c r="IC31" s="35"/>
      <c r="ID31" s="291"/>
      <c r="IE31" s="291"/>
      <c r="IF31" s="291"/>
      <c r="IG31" s="291"/>
      <c r="IH31" s="291"/>
      <c r="II31" s="291"/>
      <c r="IJ31" s="291"/>
      <c r="IK31" s="291"/>
      <c r="IL31" s="291"/>
      <c r="IM31" s="291"/>
      <c r="IN31" s="291"/>
      <c r="IO31" s="35"/>
      <c r="IP31" s="291"/>
      <c r="IQ31" s="291"/>
      <c r="IR31" s="291"/>
    </row>
    <row r="32" spans="1:252" s="5" customFormat="1" ht="14.25">
      <c r="A32" s="35" t="s">
        <v>6</v>
      </c>
      <c r="B32" s="291">
        <v>-1.9</v>
      </c>
      <c r="C32" s="291">
        <v>-3.6</v>
      </c>
      <c r="D32" s="291">
        <v>-7.3</v>
      </c>
      <c r="E32" s="291">
        <v>-7.6</v>
      </c>
      <c r="F32" s="291">
        <v>-4.9000000000000004</v>
      </c>
      <c r="G32" s="397">
        <v>-3.7</v>
      </c>
      <c r="H32" s="291">
        <v>-4</v>
      </c>
      <c r="I32" s="291">
        <v>-3.2</v>
      </c>
      <c r="J32" s="291">
        <v>-2.8</v>
      </c>
      <c r="K32" s="291">
        <v>-2.6</v>
      </c>
      <c r="L32" s="291"/>
      <c r="M32" s="291"/>
      <c r="N32" s="291"/>
      <c r="O32" s="291"/>
      <c r="P32" s="291"/>
      <c r="Q32" s="291"/>
      <c r="R32" s="291"/>
      <c r="S32" s="397"/>
      <c r="T32" s="397"/>
      <c r="U32" s="35"/>
      <c r="V32" s="291"/>
      <c r="W32" s="291"/>
      <c r="X32" s="291"/>
      <c r="Y32" s="291"/>
      <c r="Z32" s="291"/>
      <c r="AA32" s="291"/>
      <c r="AB32" s="397"/>
      <c r="AC32" s="397"/>
      <c r="AD32" s="397"/>
      <c r="AE32" s="397"/>
      <c r="AF32" s="397"/>
      <c r="AG32" s="35"/>
      <c r="AH32" s="291"/>
      <c r="AI32" s="291"/>
      <c r="AJ32" s="291"/>
      <c r="AK32" s="291"/>
      <c r="AL32" s="291"/>
      <c r="AM32" s="291"/>
      <c r="AN32" s="397"/>
      <c r="AO32" s="397"/>
      <c r="AP32" s="397"/>
      <c r="AQ32" s="397"/>
      <c r="AR32" s="397"/>
      <c r="AS32" s="35"/>
      <c r="AT32" s="291"/>
      <c r="AU32" s="291"/>
      <c r="AV32" s="291"/>
      <c r="AW32" s="291"/>
      <c r="AX32" s="291"/>
      <c r="AY32" s="291"/>
      <c r="AZ32" s="397"/>
      <c r="BA32" s="397"/>
      <c r="BB32" s="397"/>
      <c r="BC32" s="397"/>
      <c r="BD32" s="397"/>
      <c r="BE32" s="35"/>
      <c r="BF32" s="291"/>
      <c r="BG32" s="291"/>
      <c r="BH32" s="291"/>
      <c r="BI32" s="291"/>
      <c r="BJ32" s="291"/>
      <c r="BK32" s="291"/>
      <c r="BL32" s="397"/>
      <c r="BM32" s="397"/>
      <c r="BN32" s="397"/>
      <c r="BO32" s="397"/>
      <c r="BP32" s="397"/>
      <c r="BQ32" s="35"/>
      <c r="BR32" s="291"/>
      <c r="BS32" s="291"/>
      <c r="BT32" s="291"/>
      <c r="BU32" s="291"/>
      <c r="BV32" s="291"/>
      <c r="BW32" s="291"/>
      <c r="BX32" s="397"/>
      <c r="BY32" s="397"/>
      <c r="BZ32" s="397"/>
      <c r="CA32" s="397"/>
      <c r="CB32" s="397"/>
      <c r="CC32" s="35"/>
      <c r="CD32" s="291"/>
      <c r="CE32" s="291"/>
      <c r="CF32" s="291"/>
      <c r="CG32" s="291"/>
      <c r="CH32" s="291"/>
      <c r="CI32" s="291"/>
      <c r="CJ32" s="397"/>
      <c r="CK32" s="397"/>
      <c r="CL32" s="397"/>
      <c r="CM32" s="397"/>
      <c r="CN32" s="397"/>
      <c r="CO32" s="35"/>
      <c r="CP32" s="291"/>
      <c r="CQ32" s="291"/>
      <c r="CR32" s="291"/>
      <c r="CS32" s="291"/>
      <c r="CT32" s="291"/>
      <c r="CU32" s="291"/>
      <c r="CV32" s="397"/>
      <c r="CW32" s="397"/>
      <c r="CX32" s="397"/>
      <c r="CY32" s="397"/>
      <c r="CZ32" s="397"/>
      <c r="DA32" s="35"/>
      <c r="DB32" s="291"/>
      <c r="DC32" s="291"/>
      <c r="DD32" s="291"/>
      <c r="DE32" s="291"/>
      <c r="DF32" s="291"/>
      <c r="DG32" s="291"/>
      <c r="DH32" s="397"/>
      <c r="DI32" s="397"/>
      <c r="DJ32" s="397"/>
      <c r="DK32" s="397"/>
      <c r="DL32" s="397"/>
      <c r="DM32" s="35"/>
      <c r="DN32" s="291"/>
      <c r="DO32" s="291"/>
      <c r="DP32" s="291"/>
      <c r="DQ32" s="291"/>
      <c r="DR32" s="291"/>
      <c r="DS32" s="291"/>
      <c r="DT32" s="397"/>
      <c r="DU32" s="397"/>
      <c r="DV32" s="397"/>
      <c r="DW32" s="397"/>
      <c r="DX32" s="397"/>
      <c r="DY32" s="35"/>
      <c r="DZ32" s="291"/>
      <c r="EA32" s="291"/>
      <c r="EB32" s="291"/>
      <c r="EC32" s="291"/>
      <c r="ED32" s="291"/>
      <c r="EE32" s="291"/>
      <c r="EF32" s="397"/>
      <c r="EG32" s="397"/>
      <c r="EH32" s="397"/>
      <c r="EI32" s="397"/>
      <c r="EJ32" s="397"/>
      <c r="EK32" s="35"/>
      <c r="EL32" s="291"/>
      <c r="EM32" s="291"/>
      <c r="EN32" s="291"/>
      <c r="EO32" s="291"/>
      <c r="EP32" s="291"/>
      <c r="EQ32" s="291"/>
      <c r="ER32" s="397"/>
      <c r="ES32" s="397"/>
      <c r="ET32" s="397"/>
      <c r="EU32" s="397"/>
      <c r="EV32" s="397"/>
      <c r="EW32" s="35"/>
      <c r="EX32" s="291"/>
      <c r="EY32" s="291"/>
      <c r="EZ32" s="291"/>
      <c r="FA32" s="291"/>
      <c r="FB32" s="291"/>
      <c r="FC32" s="291"/>
      <c r="FD32" s="397"/>
      <c r="FE32" s="397"/>
      <c r="FF32" s="397"/>
      <c r="FG32" s="397"/>
      <c r="FH32" s="397"/>
      <c r="FI32" s="35"/>
      <c r="FJ32" s="291"/>
      <c r="FK32" s="291"/>
      <c r="FL32" s="291"/>
      <c r="FM32" s="291"/>
      <c r="FN32" s="291"/>
      <c r="FO32" s="291"/>
      <c r="FP32" s="397"/>
      <c r="FQ32" s="397"/>
      <c r="FR32" s="397"/>
      <c r="FS32" s="397"/>
      <c r="FT32" s="397"/>
      <c r="FU32" s="35"/>
      <c r="FV32" s="291"/>
      <c r="FW32" s="291"/>
      <c r="FX32" s="291"/>
      <c r="FY32" s="291"/>
      <c r="FZ32" s="291"/>
      <c r="GA32" s="291"/>
      <c r="GB32" s="397"/>
      <c r="GC32" s="397"/>
      <c r="GD32" s="397"/>
      <c r="GE32" s="397"/>
      <c r="GF32" s="397"/>
      <c r="GG32" s="35"/>
      <c r="GH32" s="291"/>
      <c r="GI32" s="291"/>
      <c r="GJ32" s="291"/>
      <c r="GK32" s="291"/>
      <c r="GL32" s="291"/>
      <c r="GM32" s="291"/>
      <c r="GN32" s="397"/>
      <c r="GO32" s="397"/>
      <c r="GP32" s="397"/>
      <c r="GQ32" s="397"/>
      <c r="GR32" s="397"/>
      <c r="GS32" s="35"/>
      <c r="GT32" s="291"/>
      <c r="GU32" s="291"/>
      <c r="GV32" s="291"/>
      <c r="GW32" s="291"/>
      <c r="GX32" s="291"/>
      <c r="GY32" s="291"/>
      <c r="GZ32" s="397"/>
      <c r="HA32" s="397"/>
      <c r="HB32" s="397"/>
      <c r="HC32" s="397"/>
      <c r="HD32" s="397"/>
      <c r="HE32" s="35"/>
      <c r="HF32" s="291"/>
      <c r="HG32" s="291"/>
      <c r="HH32" s="291"/>
      <c r="HI32" s="291"/>
      <c r="HJ32" s="291"/>
      <c r="HK32" s="291"/>
      <c r="HL32" s="397"/>
      <c r="HM32" s="397"/>
      <c r="HN32" s="397"/>
      <c r="HO32" s="397"/>
      <c r="HP32" s="397"/>
      <c r="HQ32" s="35"/>
      <c r="HR32" s="291"/>
      <c r="HS32" s="291"/>
      <c r="HT32" s="291"/>
      <c r="HU32" s="291"/>
      <c r="HV32" s="291"/>
      <c r="HW32" s="291"/>
      <c r="HX32" s="397"/>
      <c r="HY32" s="397"/>
      <c r="HZ32" s="397"/>
      <c r="IA32" s="397"/>
      <c r="IB32" s="397"/>
      <c r="IC32" s="35"/>
      <c r="ID32" s="291"/>
      <c r="IE32" s="291"/>
      <c r="IF32" s="291"/>
      <c r="IG32" s="291"/>
      <c r="IH32" s="291"/>
      <c r="II32" s="291"/>
      <c r="IJ32" s="397"/>
      <c r="IK32" s="397"/>
      <c r="IL32" s="397"/>
      <c r="IM32" s="397"/>
      <c r="IN32" s="397"/>
      <c r="IO32" s="35"/>
      <c r="IP32" s="291"/>
      <c r="IQ32" s="291"/>
      <c r="IR32" s="291"/>
    </row>
    <row r="33" spans="1:252" s="5" customFormat="1" ht="14.25">
      <c r="A33" s="35" t="s">
        <v>5</v>
      </c>
      <c r="B33" s="291">
        <v>-2.9</v>
      </c>
      <c r="C33" s="291">
        <v>-5.6</v>
      </c>
      <c r="D33" s="291">
        <v>-8.9</v>
      </c>
      <c r="E33" s="291">
        <v>-6.6</v>
      </c>
      <c r="F33" s="291">
        <v>-5.3</v>
      </c>
      <c r="G33" s="397">
        <v>-2.9</v>
      </c>
      <c r="H33" s="291">
        <v>-2.2000000000000002</v>
      </c>
      <c r="I33" s="291">
        <v>-1.5</v>
      </c>
      <c r="J33" s="291">
        <v>-1.6</v>
      </c>
      <c r="K33" s="291">
        <v>-3.5</v>
      </c>
      <c r="L33" s="291"/>
      <c r="M33" s="291"/>
      <c r="N33" s="291"/>
      <c r="O33" s="291"/>
      <c r="P33" s="291"/>
      <c r="Q33" s="291"/>
      <c r="R33" s="291"/>
      <c r="S33" s="397"/>
      <c r="T33" s="397"/>
      <c r="U33" s="35"/>
      <c r="V33" s="291"/>
      <c r="W33" s="291"/>
      <c r="X33" s="291"/>
      <c r="Y33" s="291"/>
      <c r="Z33" s="291"/>
      <c r="AA33" s="291"/>
      <c r="AB33" s="397"/>
      <c r="AC33" s="397"/>
      <c r="AD33" s="397"/>
      <c r="AE33" s="397"/>
      <c r="AF33" s="397"/>
      <c r="AG33" s="35"/>
      <c r="AH33" s="291"/>
      <c r="AI33" s="291"/>
      <c r="AJ33" s="291"/>
      <c r="AK33" s="291"/>
      <c r="AL33" s="291"/>
      <c r="AM33" s="291"/>
      <c r="AN33" s="397"/>
      <c r="AO33" s="397"/>
      <c r="AP33" s="397"/>
      <c r="AQ33" s="397"/>
      <c r="AR33" s="397"/>
      <c r="AS33" s="35"/>
      <c r="AT33" s="291"/>
      <c r="AU33" s="291"/>
      <c r="AV33" s="291"/>
      <c r="AW33" s="291"/>
      <c r="AX33" s="291"/>
      <c r="AY33" s="291"/>
      <c r="AZ33" s="397"/>
      <c r="BA33" s="397"/>
      <c r="BB33" s="397"/>
      <c r="BC33" s="397"/>
      <c r="BD33" s="397"/>
      <c r="BE33" s="35"/>
      <c r="BF33" s="291"/>
      <c r="BG33" s="291"/>
      <c r="BH33" s="291"/>
      <c r="BI33" s="291"/>
      <c r="BJ33" s="291"/>
      <c r="BK33" s="291"/>
      <c r="BL33" s="397"/>
      <c r="BM33" s="397"/>
      <c r="BN33" s="397"/>
      <c r="BO33" s="397"/>
      <c r="BP33" s="397"/>
      <c r="BQ33" s="35"/>
      <c r="BR33" s="291"/>
      <c r="BS33" s="291"/>
      <c r="BT33" s="291"/>
      <c r="BU33" s="291"/>
      <c r="BV33" s="291"/>
      <c r="BW33" s="291"/>
      <c r="BX33" s="397"/>
      <c r="BY33" s="397"/>
      <c r="BZ33" s="397"/>
      <c r="CA33" s="397"/>
      <c r="CB33" s="397"/>
      <c r="CC33" s="35"/>
      <c r="CD33" s="291"/>
      <c r="CE33" s="291"/>
      <c r="CF33" s="291"/>
      <c r="CG33" s="291"/>
      <c r="CH33" s="291"/>
      <c r="CI33" s="291"/>
      <c r="CJ33" s="397"/>
      <c r="CK33" s="397"/>
      <c r="CL33" s="397"/>
      <c r="CM33" s="397"/>
      <c r="CN33" s="397"/>
      <c r="CO33" s="35"/>
      <c r="CP33" s="291"/>
      <c r="CQ33" s="291"/>
      <c r="CR33" s="291"/>
      <c r="CS33" s="291"/>
      <c r="CT33" s="291"/>
      <c r="CU33" s="291"/>
      <c r="CV33" s="397"/>
      <c r="CW33" s="397"/>
      <c r="CX33" s="397"/>
      <c r="CY33" s="397"/>
      <c r="CZ33" s="397"/>
      <c r="DA33" s="35"/>
      <c r="DB33" s="291"/>
      <c r="DC33" s="291"/>
      <c r="DD33" s="291"/>
      <c r="DE33" s="291"/>
      <c r="DF33" s="291"/>
      <c r="DG33" s="291"/>
      <c r="DH33" s="397"/>
      <c r="DI33" s="397"/>
      <c r="DJ33" s="397"/>
      <c r="DK33" s="397"/>
      <c r="DL33" s="397"/>
      <c r="DM33" s="35"/>
      <c r="DN33" s="291"/>
      <c r="DO33" s="291"/>
      <c r="DP33" s="291"/>
      <c r="DQ33" s="291"/>
      <c r="DR33" s="291"/>
      <c r="DS33" s="291"/>
      <c r="DT33" s="397"/>
      <c r="DU33" s="397"/>
      <c r="DV33" s="397"/>
      <c r="DW33" s="397"/>
      <c r="DX33" s="397"/>
      <c r="DY33" s="35"/>
      <c r="DZ33" s="291"/>
      <c r="EA33" s="291"/>
      <c r="EB33" s="291"/>
      <c r="EC33" s="291"/>
      <c r="ED33" s="291"/>
      <c r="EE33" s="291"/>
      <c r="EF33" s="397"/>
      <c r="EG33" s="397"/>
      <c r="EH33" s="397"/>
      <c r="EI33" s="397"/>
      <c r="EJ33" s="397"/>
      <c r="EK33" s="35"/>
      <c r="EL33" s="291"/>
      <c r="EM33" s="291"/>
      <c r="EN33" s="291"/>
      <c r="EO33" s="291"/>
      <c r="EP33" s="291"/>
      <c r="EQ33" s="291"/>
      <c r="ER33" s="397"/>
      <c r="ES33" s="397"/>
      <c r="ET33" s="397"/>
      <c r="EU33" s="397"/>
      <c r="EV33" s="397"/>
      <c r="EW33" s="35"/>
      <c r="EX33" s="291"/>
      <c r="EY33" s="291"/>
      <c r="EZ33" s="291"/>
      <c r="FA33" s="291"/>
      <c r="FB33" s="291"/>
      <c r="FC33" s="291"/>
      <c r="FD33" s="397"/>
      <c r="FE33" s="397"/>
      <c r="FF33" s="397"/>
      <c r="FG33" s="397"/>
      <c r="FH33" s="397"/>
      <c r="FI33" s="35"/>
      <c r="FJ33" s="291"/>
      <c r="FK33" s="291"/>
      <c r="FL33" s="291"/>
      <c r="FM33" s="291"/>
      <c r="FN33" s="291"/>
      <c r="FO33" s="291"/>
      <c r="FP33" s="397"/>
      <c r="FQ33" s="397"/>
      <c r="FR33" s="397"/>
      <c r="FS33" s="397"/>
      <c r="FT33" s="397"/>
      <c r="FU33" s="35"/>
      <c r="FV33" s="291"/>
      <c r="FW33" s="291"/>
      <c r="FX33" s="291"/>
      <c r="FY33" s="291"/>
      <c r="FZ33" s="291"/>
      <c r="GA33" s="291"/>
      <c r="GB33" s="397"/>
      <c r="GC33" s="397"/>
      <c r="GD33" s="397"/>
      <c r="GE33" s="397"/>
      <c r="GF33" s="397"/>
      <c r="GG33" s="35"/>
      <c r="GH33" s="291"/>
      <c r="GI33" s="291"/>
      <c r="GJ33" s="291"/>
      <c r="GK33" s="291"/>
      <c r="GL33" s="291"/>
      <c r="GM33" s="291"/>
      <c r="GN33" s="397"/>
      <c r="GO33" s="397"/>
      <c r="GP33" s="397"/>
      <c r="GQ33" s="397"/>
      <c r="GR33" s="397"/>
      <c r="GS33" s="35"/>
      <c r="GT33" s="291"/>
      <c r="GU33" s="291"/>
      <c r="GV33" s="291"/>
      <c r="GW33" s="291"/>
      <c r="GX33" s="291"/>
      <c r="GY33" s="291"/>
      <c r="GZ33" s="397"/>
      <c r="HA33" s="397"/>
      <c r="HB33" s="397"/>
      <c r="HC33" s="397"/>
      <c r="HD33" s="397"/>
      <c r="HE33" s="35"/>
      <c r="HF33" s="291"/>
      <c r="HG33" s="291"/>
      <c r="HH33" s="291"/>
      <c r="HI33" s="291"/>
      <c r="HJ33" s="291"/>
      <c r="HK33" s="291"/>
      <c r="HL33" s="397"/>
      <c r="HM33" s="397"/>
      <c r="HN33" s="397"/>
      <c r="HO33" s="397"/>
      <c r="HP33" s="397"/>
      <c r="HQ33" s="35"/>
      <c r="HR33" s="291"/>
      <c r="HS33" s="291"/>
      <c r="HT33" s="291"/>
      <c r="HU33" s="291"/>
      <c r="HV33" s="291"/>
      <c r="HW33" s="291"/>
      <c r="HX33" s="397"/>
      <c r="HY33" s="397"/>
      <c r="HZ33" s="397"/>
      <c r="IA33" s="397"/>
      <c r="IB33" s="397"/>
      <c r="IC33" s="35"/>
      <c r="ID33" s="291"/>
      <c r="IE33" s="291"/>
      <c r="IF33" s="291"/>
      <c r="IG33" s="291"/>
      <c r="IH33" s="291"/>
      <c r="II33" s="291"/>
      <c r="IJ33" s="397"/>
      <c r="IK33" s="397"/>
      <c r="IL33" s="397"/>
      <c r="IM33" s="397"/>
      <c r="IN33" s="397"/>
      <c r="IO33" s="35"/>
      <c r="IP33" s="291"/>
      <c r="IQ33" s="291"/>
      <c r="IR33" s="291"/>
    </row>
    <row r="34" spans="1:252" s="5" customFormat="1" ht="14.25">
      <c r="A34" s="36" t="s">
        <v>4</v>
      </c>
      <c r="B34" s="291">
        <v>3.3</v>
      </c>
      <c r="C34" s="291">
        <v>2</v>
      </c>
      <c r="D34" s="291">
        <v>-0.7</v>
      </c>
      <c r="E34" s="291">
        <v>0</v>
      </c>
      <c r="F34" s="291">
        <v>-0.1</v>
      </c>
      <c r="G34" s="291">
        <v>-0.9</v>
      </c>
      <c r="H34" s="291">
        <v>-1.4</v>
      </c>
      <c r="I34" s="291">
        <v>-1.9</v>
      </c>
      <c r="J34" s="291">
        <v>-1.5</v>
      </c>
      <c r="K34" s="291">
        <v>-1</v>
      </c>
      <c r="L34" s="291"/>
      <c r="M34" s="291"/>
      <c r="N34" s="291"/>
      <c r="O34" s="291"/>
      <c r="P34" s="291"/>
      <c r="Q34" s="291"/>
      <c r="R34" s="291"/>
      <c r="S34" s="397"/>
      <c r="T34" s="397"/>
      <c r="U34" s="35"/>
      <c r="V34" s="291"/>
      <c r="W34" s="291"/>
      <c r="X34" s="291"/>
      <c r="Y34" s="397"/>
      <c r="Z34" s="291"/>
      <c r="AA34" s="291"/>
      <c r="AB34" s="397"/>
      <c r="AC34" s="397"/>
      <c r="AD34" s="397"/>
      <c r="AE34" s="397"/>
      <c r="AF34" s="397"/>
      <c r="AG34" s="35"/>
      <c r="AH34" s="291"/>
      <c r="AI34" s="291"/>
      <c r="AJ34" s="291"/>
      <c r="AK34" s="397"/>
      <c r="AL34" s="291"/>
      <c r="AM34" s="291"/>
      <c r="AN34" s="397"/>
      <c r="AO34" s="397"/>
      <c r="AP34" s="397"/>
      <c r="AQ34" s="397"/>
      <c r="AR34" s="397"/>
      <c r="AS34" s="35"/>
      <c r="AT34" s="291"/>
      <c r="AU34" s="291"/>
      <c r="AV34" s="291"/>
      <c r="AW34" s="397"/>
      <c r="AX34" s="291"/>
      <c r="AY34" s="291"/>
      <c r="AZ34" s="397"/>
      <c r="BA34" s="397"/>
      <c r="BB34" s="397"/>
      <c r="BC34" s="397"/>
      <c r="BD34" s="397"/>
      <c r="BE34" s="35"/>
      <c r="BF34" s="291"/>
      <c r="BG34" s="291"/>
      <c r="BH34" s="291"/>
      <c r="BI34" s="397"/>
      <c r="BJ34" s="291"/>
      <c r="BK34" s="291"/>
      <c r="BL34" s="397"/>
      <c r="BM34" s="397"/>
      <c r="BN34" s="397"/>
      <c r="BO34" s="397"/>
      <c r="BP34" s="397"/>
      <c r="BQ34" s="35"/>
      <c r="BR34" s="291"/>
      <c r="BS34" s="291"/>
      <c r="BT34" s="291"/>
      <c r="BU34" s="397"/>
      <c r="BV34" s="291"/>
      <c r="BW34" s="291"/>
      <c r="BX34" s="397"/>
      <c r="BY34" s="397"/>
      <c r="BZ34" s="397"/>
      <c r="CA34" s="397"/>
      <c r="CB34" s="397"/>
      <c r="CC34" s="35"/>
      <c r="CD34" s="291"/>
      <c r="CE34" s="291"/>
      <c r="CF34" s="291"/>
      <c r="CG34" s="397"/>
      <c r="CH34" s="291"/>
      <c r="CI34" s="291"/>
      <c r="CJ34" s="397"/>
      <c r="CK34" s="397"/>
      <c r="CL34" s="397"/>
      <c r="CM34" s="397"/>
      <c r="CN34" s="397"/>
      <c r="CO34" s="35"/>
      <c r="CP34" s="291"/>
      <c r="CQ34" s="291"/>
      <c r="CR34" s="291"/>
      <c r="CS34" s="397"/>
      <c r="CT34" s="291"/>
      <c r="CU34" s="291"/>
      <c r="CV34" s="397"/>
      <c r="CW34" s="397"/>
      <c r="CX34" s="397"/>
      <c r="CY34" s="397"/>
      <c r="CZ34" s="397"/>
      <c r="DA34" s="35"/>
      <c r="DB34" s="291"/>
      <c r="DC34" s="291"/>
      <c r="DD34" s="291"/>
      <c r="DE34" s="397"/>
      <c r="DF34" s="291"/>
      <c r="DG34" s="291"/>
      <c r="DH34" s="397"/>
      <c r="DI34" s="397"/>
      <c r="DJ34" s="397"/>
      <c r="DK34" s="397"/>
      <c r="DL34" s="397"/>
      <c r="DM34" s="35"/>
      <c r="DN34" s="291"/>
      <c r="DO34" s="291"/>
      <c r="DP34" s="291"/>
      <c r="DQ34" s="397"/>
      <c r="DR34" s="291"/>
      <c r="DS34" s="291"/>
      <c r="DT34" s="397"/>
      <c r="DU34" s="397"/>
      <c r="DV34" s="397"/>
      <c r="DW34" s="397"/>
      <c r="DX34" s="397"/>
      <c r="DY34" s="35"/>
      <c r="DZ34" s="291"/>
      <c r="EA34" s="291"/>
      <c r="EB34" s="291"/>
      <c r="EC34" s="397"/>
      <c r="ED34" s="291"/>
      <c r="EE34" s="291"/>
      <c r="EF34" s="397"/>
      <c r="EG34" s="397"/>
      <c r="EH34" s="397"/>
      <c r="EI34" s="397"/>
      <c r="EJ34" s="397"/>
      <c r="EK34" s="35"/>
      <c r="EL34" s="291"/>
      <c r="EM34" s="291"/>
      <c r="EN34" s="291"/>
      <c r="EO34" s="397"/>
      <c r="EP34" s="291"/>
      <c r="EQ34" s="291"/>
      <c r="ER34" s="397"/>
      <c r="ES34" s="397"/>
      <c r="ET34" s="397"/>
      <c r="EU34" s="397"/>
      <c r="EV34" s="397"/>
      <c r="EW34" s="35"/>
      <c r="EX34" s="291"/>
      <c r="EY34" s="291"/>
      <c r="EZ34" s="291"/>
      <c r="FA34" s="397"/>
      <c r="FB34" s="291"/>
      <c r="FC34" s="291"/>
      <c r="FD34" s="397"/>
      <c r="FE34" s="397"/>
      <c r="FF34" s="397"/>
      <c r="FG34" s="397"/>
      <c r="FH34" s="397"/>
      <c r="FI34" s="35"/>
      <c r="FJ34" s="291"/>
      <c r="FK34" s="291"/>
      <c r="FL34" s="291"/>
      <c r="FM34" s="397"/>
      <c r="FN34" s="291"/>
      <c r="FO34" s="291"/>
      <c r="FP34" s="397"/>
      <c r="FQ34" s="397"/>
      <c r="FR34" s="397"/>
      <c r="FS34" s="397"/>
      <c r="FT34" s="397"/>
      <c r="FU34" s="35"/>
      <c r="FV34" s="291"/>
      <c r="FW34" s="291"/>
      <c r="FX34" s="291"/>
      <c r="FY34" s="397"/>
      <c r="FZ34" s="291"/>
      <c r="GA34" s="291"/>
      <c r="GB34" s="397"/>
      <c r="GC34" s="397"/>
      <c r="GD34" s="397"/>
      <c r="GE34" s="397"/>
      <c r="GF34" s="397"/>
      <c r="GG34" s="35"/>
      <c r="GH34" s="291"/>
      <c r="GI34" s="291"/>
      <c r="GJ34" s="291"/>
      <c r="GK34" s="397"/>
      <c r="GL34" s="291"/>
      <c r="GM34" s="291"/>
      <c r="GN34" s="397"/>
      <c r="GO34" s="397"/>
      <c r="GP34" s="397"/>
      <c r="GQ34" s="397"/>
      <c r="GR34" s="397"/>
      <c r="GS34" s="35"/>
      <c r="GT34" s="291"/>
      <c r="GU34" s="291"/>
      <c r="GV34" s="291"/>
      <c r="GW34" s="397"/>
      <c r="GX34" s="291"/>
      <c r="GY34" s="291"/>
      <c r="GZ34" s="397"/>
      <c r="HA34" s="397"/>
      <c r="HB34" s="397"/>
      <c r="HC34" s="397"/>
      <c r="HD34" s="397"/>
      <c r="HE34" s="35"/>
      <c r="HF34" s="291"/>
      <c r="HG34" s="291"/>
      <c r="HH34" s="291"/>
      <c r="HI34" s="397"/>
      <c r="HJ34" s="291"/>
      <c r="HK34" s="291"/>
      <c r="HL34" s="397"/>
      <c r="HM34" s="397"/>
      <c r="HN34" s="397"/>
      <c r="HO34" s="397"/>
      <c r="HP34" s="397"/>
      <c r="HQ34" s="35"/>
      <c r="HR34" s="291"/>
      <c r="HS34" s="291"/>
      <c r="HT34" s="291"/>
      <c r="HU34" s="397"/>
      <c r="HV34" s="291"/>
      <c r="HW34" s="291"/>
      <c r="HX34" s="397"/>
      <c r="HY34" s="397"/>
      <c r="HZ34" s="397"/>
      <c r="IA34" s="397"/>
      <c r="IB34" s="397"/>
      <c r="IC34" s="35"/>
      <c r="ID34" s="291"/>
      <c r="IE34" s="291"/>
      <c r="IF34" s="291"/>
      <c r="IG34" s="397"/>
      <c r="IH34" s="291"/>
      <c r="II34" s="291"/>
      <c r="IJ34" s="397"/>
      <c r="IK34" s="397"/>
      <c r="IL34" s="397"/>
      <c r="IM34" s="397"/>
      <c r="IN34" s="397"/>
      <c r="IO34" s="35"/>
      <c r="IP34" s="291"/>
      <c r="IQ34" s="291"/>
      <c r="IR34" s="291"/>
    </row>
    <row r="35" spans="1:252" s="5" customFormat="1" ht="14.25">
      <c r="A35" s="35" t="s">
        <v>1022</v>
      </c>
      <c r="B35" s="291">
        <v>-3</v>
      </c>
      <c r="C35" s="291">
        <v>-5.0999999999999996</v>
      </c>
      <c r="D35" s="291">
        <v>-10.8</v>
      </c>
      <c r="E35" s="291">
        <v>-9.6999999999999993</v>
      </c>
      <c r="F35" s="291">
        <v>-7.6</v>
      </c>
      <c r="G35" s="291">
        <v>-8.3000000000000007</v>
      </c>
      <c r="H35" s="291">
        <v>-5.7</v>
      </c>
      <c r="I35" s="291">
        <v>-5.7</v>
      </c>
      <c r="J35" s="291">
        <v>-4.5</v>
      </c>
      <c r="K35" s="291">
        <v>-3.1</v>
      </c>
      <c r="L35" s="291"/>
      <c r="M35" s="291"/>
      <c r="N35" s="291"/>
      <c r="O35" s="291"/>
      <c r="P35" s="291"/>
      <c r="Q35" s="291"/>
      <c r="R35" s="291"/>
      <c r="S35" s="291"/>
      <c r="T35" s="291"/>
      <c r="U35" s="36"/>
      <c r="V35" s="291"/>
      <c r="W35" s="291"/>
      <c r="X35" s="291"/>
      <c r="Y35" s="291"/>
      <c r="Z35" s="291"/>
      <c r="AA35" s="291"/>
      <c r="AB35" s="291"/>
      <c r="AC35" s="291"/>
      <c r="AD35" s="291"/>
      <c r="AE35" s="291"/>
      <c r="AF35" s="291"/>
      <c r="AG35" s="36"/>
      <c r="AH35" s="291"/>
      <c r="AI35" s="291"/>
      <c r="AJ35" s="291"/>
      <c r="AK35" s="291"/>
      <c r="AL35" s="291"/>
      <c r="AM35" s="291"/>
      <c r="AN35" s="291"/>
      <c r="AO35" s="291"/>
      <c r="AP35" s="291"/>
      <c r="AQ35" s="291"/>
      <c r="AR35" s="291"/>
      <c r="AS35" s="36"/>
      <c r="AT35" s="291"/>
      <c r="AU35" s="291"/>
      <c r="AV35" s="291"/>
      <c r="AW35" s="291"/>
      <c r="AX35" s="291"/>
      <c r="AY35" s="291"/>
      <c r="AZ35" s="291"/>
      <c r="BA35" s="291"/>
      <c r="BB35" s="291"/>
      <c r="BC35" s="291"/>
      <c r="BD35" s="291"/>
      <c r="BE35" s="36"/>
      <c r="BF35" s="291"/>
      <c r="BG35" s="291"/>
      <c r="BH35" s="291"/>
      <c r="BI35" s="291"/>
      <c r="BJ35" s="291"/>
      <c r="BK35" s="291"/>
      <c r="BL35" s="291"/>
      <c r="BM35" s="291"/>
      <c r="BN35" s="291"/>
      <c r="BO35" s="291"/>
      <c r="BP35" s="291"/>
      <c r="BQ35" s="36"/>
      <c r="BR35" s="291"/>
      <c r="BS35" s="291"/>
      <c r="BT35" s="291"/>
      <c r="BU35" s="291"/>
      <c r="BV35" s="291"/>
      <c r="BW35" s="291"/>
      <c r="BX35" s="291"/>
      <c r="BY35" s="291"/>
      <c r="BZ35" s="291"/>
      <c r="CA35" s="291"/>
      <c r="CB35" s="291"/>
      <c r="CC35" s="36"/>
      <c r="CD35" s="291"/>
      <c r="CE35" s="291"/>
      <c r="CF35" s="291"/>
      <c r="CG35" s="291"/>
      <c r="CH35" s="291"/>
      <c r="CI35" s="291"/>
      <c r="CJ35" s="291"/>
      <c r="CK35" s="291"/>
      <c r="CL35" s="291"/>
      <c r="CM35" s="291"/>
      <c r="CN35" s="291"/>
      <c r="CO35" s="36"/>
      <c r="CP35" s="291"/>
      <c r="CQ35" s="291"/>
      <c r="CR35" s="291"/>
      <c r="CS35" s="291"/>
      <c r="CT35" s="291"/>
      <c r="CU35" s="291"/>
      <c r="CV35" s="291"/>
      <c r="CW35" s="291"/>
      <c r="CX35" s="291"/>
      <c r="CY35" s="291"/>
      <c r="CZ35" s="291"/>
      <c r="DA35" s="36"/>
      <c r="DB35" s="291"/>
      <c r="DC35" s="291"/>
      <c r="DD35" s="291"/>
      <c r="DE35" s="291"/>
      <c r="DF35" s="291"/>
      <c r="DG35" s="291"/>
      <c r="DH35" s="291"/>
      <c r="DI35" s="291"/>
      <c r="DJ35" s="291"/>
      <c r="DK35" s="291"/>
      <c r="DL35" s="291"/>
      <c r="DM35" s="36"/>
      <c r="DN35" s="291"/>
      <c r="DO35" s="291"/>
      <c r="DP35" s="291"/>
      <c r="DQ35" s="291"/>
      <c r="DR35" s="291"/>
      <c r="DS35" s="291"/>
      <c r="DT35" s="291"/>
      <c r="DU35" s="291"/>
      <c r="DV35" s="291"/>
      <c r="DW35" s="291"/>
      <c r="DX35" s="291"/>
      <c r="DY35" s="36"/>
      <c r="DZ35" s="291"/>
      <c r="EA35" s="291"/>
      <c r="EB35" s="291"/>
      <c r="EC35" s="291"/>
      <c r="ED35" s="291"/>
      <c r="EE35" s="291"/>
      <c r="EF35" s="291"/>
      <c r="EG35" s="291"/>
      <c r="EH35" s="291"/>
      <c r="EI35" s="291"/>
      <c r="EJ35" s="291"/>
      <c r="EK35" s="36"/>
      <c r="EL35" s="291"/>
      <c r="EM35" s="291"/>
      <c r="EN35" s="291"/>
      <c r="EO35" s="291"/>
      <c r="EP35" s="291"/>
      <c r="EQ35" s="291"/>
      <c r="ER35" s="291"/>
      <c r="ES35" s="291"/>
      <c r="ET35" s="291"/>
      <c r="EU35" s="291"/>
      <c r="EV35" s="291"/>
      <c r="EW35" s="36"/>
      <c r="EX35" s="291"/>
      <c r="EY35" s="291"/>
      <c r="EZ35" s="291"/>
      <c r="FA35" s="291"/>
      <c r="FB35" s="291"/>
      <c r="FC35" s="291"/>
      <c r="FD35" s="291"/>
      <c r="FE35" s="291"/>
      <c r="FF35" s="291"/>
      <c r="FG35" s="291"/>
      <c r="FH35" s="291"/>
      <c r="FI35" s="36"/>
      <c r="FJ35" s="291"/>
      <c r="FK35" s="291"/>
      <c r="FL35" s="291"/>
      <c r="FM35" s="291"/>
      <c r="FN35" s="291"/>
      <c r="FO35" s="291"/>
      <c r="FP35" s="291"/>
      <c r="FQ35" s="291"/>
      <c r="FR35" s="291"/>
      <c r="FS35" s="291"/>
      <c r="FT35" s="291"/>
      <c r="FU35" s="36"/>
      <c r="FV35" s="291"/>
      <c r="FW35" s="291"/>
      <c r="FX35" s="291"/>
      <c r="FY35" s="291"/>
      <c r="FZ35" s="291"/>
      <c r="GA35" s="291"/>
      <c r="GB35" s="291"/>
      <c r="GC35" s="291"/>
      <c r="GD35" s="291"/>
      <c r="GE35" s="291"/>
      <c r="GF35" s="291"/>
      <c r="GG35" s="36"/>
      <c r="GH35" s="291"/>
      <c r="GI35" s="291"/>
      <c r="GJ35" s="291"/>
      <c r="GK35" s="291"/>
      <c r="GL35" s="291"/>
      <c r="GM35" s="291"/>
      <c r="GN35" s="291"/>
      <c r="GO35" s="291"/>
      <c r="GP35" s="291"/>
      <c r="GQ35" s="291"/>
      <c r="GR35" s="291"/>
      <c r="GS35" s="36"/>
      <c r="GT35" s="291"/>
      <c r="GU35" s="291"/>
      <c r="GV35" s="291"/>
      <c r="GW35" s="291"/>
      <c r="GX35" s="291"/>
      <c r="GY35" s="291"/>
      <c r="GZ35" s="291"/>
      <c r="HA35" s="291"/>
      <c r="HB35" s="291"/>
      <c r="HC35" s="291"/>
      <c r="HD35" s="291"/>
      <c r="HE35" s="36"/>
      <c r="HF35" s="291"/>
      <c r="HG35" s="291"/>
      <c r="HH35" s="291"/>
      <c r="HI35" s="291"/>
      <c r="HJ35" s="291"/>
      <c r="HK35" s="291"/>
      <c r="HL35" s="291"/>
      <c r="HM35" s="291"/>
      <c r="HN35" s="291"/>
      <c r="HO35" s="291"/>
      <c r="HP35" s="291"/>
      <c r="HQ35" s="36"/>
      <c r="HR35" s="291"/>
      <c r="HS35" s="291"/>
      <c r="HT35" s="291"/>
      <c r="HU35" s="291"/>
      <c r="HV35" s="291"/>
      <c r="HW35" s="291"/>
      <c r="HX35" s="291"/>
      <c r="HY35" s="291"/>
      <c r="HZ35" s="291"/>
      <c r="IA35" s="291"/>
      <c r="IB35" s="291"/>
      <c r="IC35" s="36"/>
      <c r="ID35" s="291"/>
      <c r="IE35" s="291"/>
      <c r="IF35" s="291"/>
      <c r="IG35" s="291"/>
      <c r="IH35" s="291"/>
      <c r="II35" s="291"/>
      <c r="IJ35" s="291"/>
      <c r="IK35" s="291"/>
      <c r="IL35" s="291"/>
      <c r="IM35" s="291"/>
      <c r="IN35" s="291"/>
      <c r="IO35" s="36"/>
      <c r="IP35" s="291"/>
      <c r="IQ35" s="291"/>
      <c r="IR35" s="291"/>
    </row>
    <row r="36" spans="1:252" s="401" customFormat="1" ht="14.25">
      <c r="A36" s="34" t="s">
        <v>817</v>
      </c>
      <c r="B36" s="560" t="s">
        <v>818</v>
      </c>
      <c r="C36" s="560" t="s">
        <v>818</v>
      </c>
      <c r="D36" s="560" t="s">
        <v>818</v>
      </c>
      <c r="E36" s="560" t="s">
        <v>818</v>
      </c>
      <c r="F36" s="295">
        <v>-4.5</v>
      </c>
      <c r="G36" s="296">
        <v>-4.2</v>
      </c>
      <c r="H36" s="295">
        <v>-3.2</v>
      </c>
      <c r="I36" s="295">
        <v>-2.9</v>
      </c>
      <c r="J36" s="295">
        <v>-2.5</v>
      </c>
      <c r="K36" s="295">
        <v>-2</v>
      </c>
      <c r="L36" s="291"/>
      <c r="M36" s="291"/>
      <c r="N36" s="291"/>
      <c r="O36" s="291"/>
      <c r="P36" s="291"/>
      <c r="Q36" s="291"/>
      <c r="R36" s="291"/>
      <c r="S36" s="296"/>
      <c r="T36" s="296"/>
      <c r="U36" s="400"/>
      <c r="V36" s="296"/>
      <c r="W36" s="296"/>
      <c r="X36" s="296"/>
      <c r="Y36" s="296"/>
      <c r="Z36" s="296"/>
      <c r="AA36" s="296"/>
      <c r="AB36" s="296"/>
      <c r="AC36" s="296"/>
      <c r="AD36" s="296"/>
      <c r="AE36" s="296"/>
      <c r="AF36" s="296"/>
      <c r="AG36" s="400"/>
      <c r="AH36" s="296"/>
      <c r="AI36" s="296"/>
      <c r="AJ36" s="296"/>
      <c r="AK36" s="296"/>
      <c r="AL36" s="296"/>
      <c r="AM36" s="296"/>
      <c r="AN36" s="296"/>
      <c r="AO36" s="296"/>
      <c r="AP36" s="296"/>
      <c r="AQ36" s="296"/>
      <c r="AR36" s="296"/>
      <c r="AS36" s="400"/>
      <c r="AT36" s="296"/>
      <c r="AU36" s="296"/>
      <c r="AV36" s="296"/>
      <c r="AW36" s="296"/>
      <c r="AX36" s="296"/>
      <c r="AY36" s="296"/>
      <c r="AZ36" s="296"/>
      <c r="BA36" s="296"/>
      <c r="BB36" s="296"/>
      <c r="BC36" s="296"/>
      <c r="BD36" s="296"/>
      <c r="BE36" s="400"/>
      <c r="BF36" s="296"/>
      <c r="BG36" s="296"/>
      <c r="BH36" s="296"/>
      <c r="BI36" s="296"/>
      <c r="BJ36" s="296"/>
      <c r="BK36" s="296"/>
      <c r="BL36" s="296"/>
      <c r="BM36" s="296"/>
      <c r="BN36" s="296"/>
      <c r="BO36" s="296"/>
      <c r="BP36" s="296"/>
      <c r="BQ36" s="400"/>
      <c r="BR36" s="296"/>
      <c r="BS36" s="296"/>
      <c r="BT36" s="296"/>
      <c r="BU36" s="296"/>
      <c r="BV36" s="296"/>
      <c r="BW36" s="296"/>
      <c r="BX36" s="296"/>
      <c r="BY36" s="296"/>
      <c r="BZ36" s="296"/>
      <c r="CA36" s="296"/>
      <c r="CB36" s="296"/>
      <c r="CC36" s="400"/>
      <c r="CD36" s="296"/>
      <c r="CE36" s="296"/>
      <c r="CF36" s="296"/>
      <c r="CG36" s="296"/>
      <c r="CH36" s="296"/>
      <c r="CI36" s="296"/>
      <c r="CJ36" s="296"/>
      <c r="CK36" s="296"/>
      <c r="CL36" s="296"/>
      <c r="CM36" s="296"/>
      <c r="CN36" s="296"/>
      <c r="CO36" s="400"/>
      <c r="CP36" s="296"/>
      <c r="CQ36" s="296"/>
      <c r="CR36" s="296"/>
      <c r="CS36" s="296"/>
      <c r="CT36" s="296"/>
      <c r="CU36" s="296"/>
      <c r="CV36" s="296"/>
      <c r="CW36" s="296"/>
      <c r="CX36" s="296"/>
      <c r="CY36" s="296"/>
      <c r="CZ36" s="296"/>
      <c r="DA36" s="400"/>
      <c r="DB36" s="296"/>
      <c r="DC36" s="296"/>
      <c r="DD36" s="296"/>
      <c r="DE36" s="296"/>
      <c r="DF36" s="296"/>
      <c r="DG36" s="296"/>
      <c r="DH36" s="296"/>
      <c r="DI36" s="296"/>
      <c r="DJ36" s="296"/>
      <c r="DK36" s="296"/>
      <c r="DL36" s="296"/>
      <c r="DM36" s="400"/>
      <c r="DN36" s="296"/>
      <c r="DO36" s="296"/>
      <c r="DP36" s="296"/>
      <c r="DQ36" s="296"/>
      <c r="DR36" s="296"/>
      <c r="DS36" s="296"/>
      <c r="DT36" s="296"/>
      <c r="DU36" s="296"/>
      <c r="DV36" s="296"/>
      <c r="DW36" s="296"/>
      <c r="DX36" s="296"/>
      <c r="DY36" s="400"/>
      <c r="DZ36" s="296"/>
      <c r="EA36" s="296"/>
      <c r="EB36" s="296"/>
      <c r="EC36" s="296"/>
      <c r="ED36" s="296"/>
      <c r="EE36" s="296"/>
      <c r="EF36" s="296"/>
      <c r="EG36" s="296"/>
      <c r="EH36" s="296"/>
      <c r="EI36" s="296"/>
      <c r="EJ36" s="296"/>
      <c r="EK36" s="400"/>
      <c r="EL36" s="296"/>
      <c r="EM36" s="296"/>
      <c r="EN36" s="296"/>
      <c r="EO36" s="296"/>
      <c r="EP36" s="296"/>
      <c r="EQ36" s="296"/>
      <c r="ER36" s="296"/>
      <c r="ES36" s="296"/>
      <c r="ET36" s="296"/>
      <c r="EU36" s="296"/>
      <c r="EV36" s="296"/>
      <c r="EW36" s="400"/>
      <c r="EX36" s="296"/>
      <c r="EY36" s="296"/>
      <c r="EZ36" s="296"/>
      <c r="FA36" s="296"/>
      <c r="FB36" s="296"/>
      <c r="FC36" s="296"/>
      <c r="FD36" s="296"/>
      <c r="FE36" s="296"/>
      <c r="FF36" s="296"/>
      <c r="FG36" s="296"/>
      <c r="FH36" s="296"/>
      <c r="FI36" s="400"/>
      <c r="FJ36" s="296"/>
      <c r="FK36" s="296"/>
      <c r="FL36" s="296"/>
      <c r="FM36" s="296"/>
      <c r="FN36" s="296"/>
      <c r="FO36" s="296"/>
      <c r="FP36" s="296"/>
      <c r="FQ36" s="296"/>
      <c r="FR36" s="296"/>
      <c r="FS36" s="296"/>
      <c r="FT36" s="296"/>
      <c r="FU36" s="400"/>
      <c r="FV36" s="296"/>
      <c r="FW36" s="296"/>
      <c r="FX36" s="296"/>
      <c r="FY36" s="296"/>
      <c r="FZ36" s="296"/>
      <c r="GA36" s="296"/>
      <c r="GB36" s="296"/>
      <c r="GC36" s="296"/>
      <c r="GD36" s="296"/>
      <c r="GE36" s="296"/>
      <c r="GF36" s="296"/>
      <c r="GG36" s="400"/>
      <c r="GH36" s="296"/>
      <c r="GI36" s="296"/>
      <c r="GJ36" s="296"/>
      <c r="GK36" s="296"/>
      <c r="GL36" s="296"/>
      <c r="GM36" s="296"/>
      <c r="GN36" s="296"/>
      <c r="GO36" s="296"/>
      <c r="GP36" s="296"/>
      <c r="GQ36" s="296"/>
      <c r="GR36" s="296"/>
      <c r="GS36" s="400"/>
      <c r="GT36" s="296"/>
      <c r="GU36" s="296"/>
      <c r="GV36" s="296"/>
      <c r="GW36" s="296"/>
      <c r="GX36" s="296"/>
      <c r="GY36" s="296"/>
      <c r="GZ36" s="296"/>
      <c r="HA36" s="296"/>
      <c r="HB36" s="296"/>
      <c r="HC36" s="296"/>
      <c r="HD36" s="296"/>
      <c r="HE36" s="400"/>
      <c r="HF36" s="296"/>
      <c r="HG36" s="296"/>
      <c r="HH36" s="296"/>
      <c r="HI36" s="296"/>
      <c r="HJ36" s="296"/>
      <c r="HK36" s="296"/>
      <c r="HL36" s="296"/>
      <c r="HM36" s="296"/>
      <c r="HN36" s="296"/>
      <c r="HO36" s="296"/>
      <c r="HP36" s="296"/>
      <c r="HQ36" s="400"/>
      <c r="HR36" s="296"/>
      <c r="HS36" s="296"/>
      <c r="HT36" s="296"/>
      <c r="HU36" s="296"/>
      <c r="HV36" s="296"/>
      <c r="HW36" s="296"/>
      <c r="HX36" s="296"/>
      <c r="HY36" s="296"/>
      <c r="HZ36" s="296"/>
      <c r="IA36" s="296"/>
      <c r="IB36" s="296"/>
      <c r="IC36" s="400"/>
      <c r="ID36" s="296"/>
      <c r="IE36" s="296"/>
      <c r="IF36" s="296"/>
      <c r="IG36" s="296"/>
      <c r="IH36" s="296"/>
      <c r="II36" s="296"/>
      <c r="IJ36" s="296"/>
      <c r="IK36" s="296"/>
      <c r="IL36" s="296"/>
      <c r="IM36" s="296"/>
      <c r="IN36" s="296"/>
      <c r="IO36" s="400"/>
      <c r="IP36" s="296"/>
      <c r="IQ36" s="296"/>
      <c r="IR36" s="296"/>
    </row>
    <row r="37" spans="1:252" s="5" customFormat="1" ht="14.25">
      <c r="A37" s="35" t="s">
        <v>2</v>
      </c>
      <c r="B37" s="291">
        <v>-3.5</v>
      </c>
      <c r="C37" s="397">
        <v>-7</v>
      </c>
      <c r="D37" s="397">
        <v>-12.7</v>
      </c>
      <c r="E37" s="397">
        <v>-12</v>
      </c>
      <c r="F37" s="397">
        <v>-10.6</v>
      </c>
      <c r="G37" s="397">
        <v>-8.9</v>
      </c>
      <c r="H37" s="291">
        <v>-5.6</v>
      </c>
      <c r="I37" s="291">
        <v>-4.9000000000000004</v>
      </c>
      <c r="J37" s="291">
        <v>-4.2</v>
      </c>
      <c r="K37" s="291">
        <v>-3.8</v>
      </c>
      <c r="L37" s="291"/>
      <c r="M37" s="291"/>
      <c r="N37" s="291"/>
      <c r="O37" s="291"/>
      <c r="P37" s="291"/>
      <c r="Q37" s="291"/>
      <c r="R37" s="291"/>
      <c r="S37" s="397"/>
      <c r="T37" s="397"/>
      <c r="U37" s="35"/>
      <c r="V37" s="291"/>
      <c r="W37" s="291"/>
      <c r="X37" s="291"/>
      <c r="Y37" s="291"/>
      <c r="Z37" s="291"/>
      <c r="AA37" s="291"/>
      <c r="AB37" s="397"/>
      <c r="AC37" s="397"/>
      <c r="AD37" s="397"/>
      <c r="AE37" s="397"/>
      <c r="AF37" s="397"/>
      <c r="AG37" s="35"/>
      <c r="AH37" s="291"/>
      <c r="AI37" s="291"/>
      <c r="AJ37" s="291"/>
      <c r="AK37" s="291"/>
      <c r="AL37" s="291"/>
      <c r="AM37" s="291"/>
      <c r="AN37" s="397"/>
      <c r="AO37" s="397"/>
      <c r="AP37" s="397"/>
      <c r="AQ37" s="397"/>
      <c r="AR37" s="397"/>
      <c r="AS37" s="35"/>
      <c r="AT37" s="291"/>
      <c r="AU37" s="291"/>
      <c r="AV37" s="291"/>
      <c r="AW37" s="291"/>
      <c r="AX37" s="291"/>
      <c r="AY37" s="291"/>
      <c r="AZ37" s="397"/>
      <c r="BA37" s="397"/>
      <c r="BB37" s="397"/>
      <c r="BC37" s="397"/>
      <c r="BD37" s="397"/>
      <c r="BE37" s="35"/>
      <c r="BF37" s="291"/>
      <c r="BG37" s="291"/>
      <c r="BH37" s="291"/>
      <c r="BI37" s="291"/>
      <c r="BJ37" s="291"/>
      <c r="BK37" s="291"/>
      <c r="BL37" s="397"/>
      <c r="BM37" s="397"/>
      <c r="BN37" s="397"/>
      <c r="BO37" s="397"/>
      <c r="BP37" s="397"/>
      <c r="BQ37" s="35"/>
      <c r="BR37" s="291"/>
      <c r="BS37" s="291"/>
      <c r="BT37" s="291"/>
      <c r="BU37" s="291"/>
      <c r="BV37" s="291"/>
      <c r="BW37" s="291"/>
      <c r="BX37" s="397"/>
      <c r="BY37" s="397"/>
      <c r="BZ37" s="397"/>
      <c r="CA37" s="397"/>
      <c r="CB37" s="397"/>
      <c r="CC37" s="35"/>
      <c r="CD37" s="291"/>
      <c r="CE37" s="291"/>
      <c r="CF37" s="291"/>
      <c r="CG37" s="291"/>
      <c r="CH37" s="291"/>
      <c r="CI37" s="291"/>
      <c r="CJ37" s="397"/>
      <c r="CK37" s="397"/>
      <c r="CL37" s="397"/>
      <c r="CM37" s="397"/>
      <c r="CN37" s="397"/>
      <c r="CO37" s="35"/>
      <c r="CP37" s="291"/>
      <c r="CQ37" s="291"/>
      <c r="CR37" s="291"/>
      <c r="CS37" s="291"/>
      <c r="CT37" s="291"/>
      <c r="CU37" s="291"/>
      <c r="CV37" s="397"/>
      <c r="CW37" s="397"/>
      <c r="CX37" s="397"/>
      <c r="CY37" s="397"/>
      <c r="CZ37" s="397"/>
      <c r="DA37" s="35"/>
      <c r="DB37" s="291"/>
      <c r="DC37" s="291"/>
      <c r="DD37" s="291"/>
      <c r="DE37" s="291"/>
      <c r="DF37" s="291"/>
      <c r="DG37" s="291"/>
      <c r="DH37" s="397"/>
      <c r="DI37" s="397"/>
      <c r="DJ37" s="397"/>
      <c r="DK37" s="397"/>
      <c r="DL37" s="397"/>
      <c r="DM37" s="35"/>
      <c r="DN37" s="291"/>
      <c r="DO37" s="291"/>
      <c r="DP37" s="291"/>
      <c r="DQ37" s="291"/>
      <c r="DR37" s="291"/>
      <c r="DS37" s="291"/>
      <c r="DT37" s="397"/>
      <c r="DU37" s="397"/>
      <c r="DV37" s="397"/>
      <c r="DW37" s="397"/>
      <c r="DX37" s="397"/>
      <c r="DY37" s="35"/>
      <c r="DZ37" s="291"/>
      <c r="EA37" s="291"/>
      <c r="EB37" s="291"/>
      <c r="EC37" s="291"/>
      <c r="ED37" s="291"/>
      <c r="EE37" s="291"/>
      <c r="EF37" s="397"/>
      <c r="EG37" s="397"/>
      <c r="EH37" s="397"/>
      <c r="EI37" s="397"/>
      <c r="EJ37" s="397"/>
      <c r="EK37" s="35"/>
      <c r="EL37" s="291"/>
      <c r="EM37" s="291"/>
      <c r="EN37" s="291"/>
      <c r="EO37" s="291"/>
      <c r="EP37" s="291"/>
      <c r="EQ37" s="291"/>
      <c r="ER37" s="397"/>
      <c r="ES37" s="397"/>
      <c r="ET37" s="397"/>
      <c r="EU37" s="397"/>
      <c r="EV37" s="397"/>
      <c r="EW37" s="35"/>
      <c r="EX37" s="291"/>
      <c r="EY37" s="291"/>
      <c r="EZ37" s="291"/>
      <c r="FA37" s="291"/>
      <c r="FB37" s="291"/>
      <c r="FC37" s="291"/>
      <c r="FD37" s="397"/>
      <c r="FE37" s="397"/>
      <c r="FF37" s="397"/>
      <c r="FG37" s="397"/>
      <c r="FH37" s="397"/>
      <c r="FI37" s="35"/>
      <c r="FJ37" s="291"/>
      <c r="FK37" s="291"/>
      <c r="FL37" s="291"/>
      <c r="FM37" s="291"/>
      <c r="FN37" s="291"/>
      <c r="FO37" s="291"/>
      <c r="FP37" s="397"/>
      <c r="FQ37" s="397"/>
      <c r="FR37" s="397"/>
      <c r="FS37" s="397"/>
      <c r="FT37" s="397"/>
      <c r="FU37" s="35"/>
      <c r="FV37" s="291"/>
      <c r="FW37" s="291"/>
      <c r="FX37" s="291"/>
      <c r="FY37" s="291"/>
      <c r="FZ37" s="291"/>
      <c r="GA37" s="291"/>
      <c r="GB37" s="397"/>
      <c r="GC37" s="397"/>
      <c r="GD37" s="397"/>
      <c r="GE37" s="397"/>
      <c r="GF37" s="397"/>
      <c r="GG37" s="35"/>
      <c r="GH37" s="291"/>
      <c r="GI37" s="291"/>
      <c r="GJ37" s="291"/>
      <c r="GK37" s="291"/>
      <c r="GL37" s="291"/>
      <c r="GM37" s="291"/>
      <c r="GN37" s="397"/>
      <c r="GO37" s="397"/>
      <c r="GP37" s="397"/>
      <c r="GQ37" s="397"/>
      <c r="GR37" s="397"/>
      <c r="GS37" s="35"/>
      <c r="GT37" s="291"/>
      <c r="GU37" s="291"/>
      <c r="GV37" s="291"/>
      <c r="GW37" s="291"/>
      <c r="GX37" s="291"/>
      <c r="GY37" s="291"/>
      <c r="GZ37" s="397"/>
      <c r="HA37" s="397"/>
      <c r="HB37" s="397"/>
      <c r="HC37" s="397"/>
      <c r="HD37" s="397"/>
      <c r="HE37" s="35"/>
      <c r="HF37" s="291"/>
      <c r="HG37" s="291"/>
      <c r="HH37" s="291"/>
      <c r="HI37" s="291"/>
      <c r="HJ37" s="291"/>
      <c r="HK37" s="291"/>
      <c r="HL37" s="397"/>
      <c r="HM37" s="397"/>
      <c r="HN37" s="397"/>
      <c r="HO37" s="397"/>
      <c r="HP37" s="397"/>
      <c r="HQ37" s="35"/>
      <c r="HR37" s="291"/>
      <c r="HS37" s="291"/>
      <c r="HT37" s="291"/>
      <c r="HU37" s="291"/>
      <c r="HV37" s="291"/>
      <c r="HW37" s="291"/>
      <c r="HX37" s="397"/>
      <c r="HY37" s="397"/>
      <c r="HZ37" s="397"/>
      <c r="IA37" s="397"/>
      <c r="IB37" s="397"/>
      <c r="IC37" s="35"/>
      <c r="ID37" s="291"/>
      <c r="IE37" s="291"/>
      <c r="IF37" s="291"/>
      <c r="IG37" s="291"/>
      <c r="IH37" s="291"/>
      <c r="II37" s="291"/>
      <c r="IJ37" s="397"/>
      <c r="IK37" s="397"/>
      <c r="IL37" s="397"/>
      <c r="IM37" s="397"/>
      <c r="IN37" s="397"/>
      <c r="IO37" s="35"/>
      <c r="IP37" s="291"/>
      <c r="IQ37" s="291"/>
      <c r="IR37" s="291"/>
    </row>
    <row r="38" spans="1:252" s="5" customFormat="1" ht="14.25">
      <c r="A38" s="35" t="s">
        <v>763</v>
      </c>
      <c r="B38" s="389">
        <v>0.9</v>
      </c>
      <c r="C38" s="389">
        <v>2</v>
      </c>
      <c r="D38" s="389">
        <v>0.8</v>
      </c>
      <c r="E38" s="389">
        <v>0.3</v>
      </c>
      <c r="F38" s="389">
        <v>0.8</v>
      </c>
      <c r="G38" s="389">
        <v>0.3</v>
      </c>
      <c r="H38" s="389">
        <v>0.1</v>
      </c>
      <c r="I38" s="291">
        <v>0.7</v>
      </c>
      <c r="J38" s="291">
        <v>0.2</v>
      </c>
      <c r="K38" s="291">
        <v>-0.2</v>
      </c>
      <c r="L38" s="291"/>
      <c r="M38" s="291"/>
      <c r="N38" s="291"/>
      <c r="O38" s="291"/>
      <c r="P38" s="291"/>
      <c r="Q38" s="291"/>
      <c r="R38" s="291"/>
      <c r="S38" s="397"/>
      <c r="T38" s="397"/>
      <c r="U38" s="35"/>
      <c r="V38" s="291"/>
      <c r="W38" s="291"/>
      <c r="X38" s="291"/>
      <c r="Y38" s="291"/>
      <c r="Z38" s="291"/>
      <c r="AA38" s="291"/>
      <c r="AB38" s="397"/>
      <c r="AC38" s="397"/>
      <c r="AD38" s="397"/>
      <c r="AE38" s="397"/>
      <c r="AF38" s="397"/>
      <c r="AG38" s="35"/>
      <c r="AH38" s="291"/>
      <c r="AI38" s="291"/>
      <c r="AJ38" s="291"/>
      <c r="AK38" s="291"/>
      <c r="AL38" s="291"/>
      <c r="AM38" s="291"/>
      <c r="AN38" s="397"/>
      <c r="AO38" s="397"/>
      <c r="AP38" s="397"/>
      <c r="AQ38" s="397"/>
      <c r="AR38" s="397"/>
      <c r="AS38" s="35"/>
      <c r="AT38" s="291"/>
      <c r="AU38" s="291"/>
      <c r="AV38" s="291"/>
      <c r="AW38" s="291"/>
      <c r="AX38" s="291"/>
      <c r="AY38" s="291"/>
      <c r="AZ38" s="397"/>
      <c r="BA38" s="397"/>
      <c r="BB38" s="397"/>
      <c r="BC38" s="397"/>
      <c r="BD38" s="397"/>
      <c r="BE38" s="35"/>
      <c r="BF38" s="291"/>
      <c r="BG38" s="291"/>
      <c r="BH38" s="291"/>
      <c r="BI38" s="291"/>
      <c r="BJ38" s="291"/>
      <c r="BK38" s="291"/>
      <c r="BL38" s="397"/>
      <c r="BM38" s="397"/>
      <c r="BN38" s="397"/>
      <c r="BO38" s="397"/>
      <c r="BP38" s="397"/>
      <c r="BQ38" s="35"/>
      <c r="BR38" s="291"/>
      <c r="BS38" s="291"/>
      <c r="BT38" s="291"/>
      <c r="BU38" s="291"/>
      <c r="BV38" s="291"/>
      <c r="BW38" s="291"/>
      <c r="BX38" s="397"/>
      <c r="BY38" s="397"/>
      <c r="BZ38" s="397"/>
      <c r="CA38" s="397"/>
      <c r="CB38" s="397"/>
      <c r="CC38" s="35"/>
      <c r="CD38" s="291"/>
      <c r="CE38" s="291"/>
      <c r="CF38" s="291"/>
      <c r="CG38" s="291"/>
      <c r="CH38" s="291"/>
      <c r="CI38" s="291"/>
      <c r="CJ38" s="397"/>
      <c r="CK38" s="397"/>
      <c r="CL38" s="397"/>
      <c r="CM38" s="397"/>
      <c r="CN38" s="397"/>
      <c r="CO38" s="35"/>
      <c r="CP38" s="291"/>
      <c r="CQ38" s="291"/>
      <c r="CR38" s="291"/>
      <c r="CS38" s="291"/>
      <c r="CT38" s="291"/>
      <c r="CU38" s="291"/>
      <c r="CV38" s="397"/>
      <c r="CW38" s="397"/>
      <c r="CX38" s="397"/>
      <c r="CY38" s="397"/>
      <c r="CZ38" s="397"/>
      <c r="DA38" s="35"/>
      <c r="DB38" s="291"/>
      <c r="DC38" s="291"/>
      <c r="DD38" s="291"/>
      <c r="DE38" s="291"/>
      <c r="DF38" s="291"/>
      <c r="DG38" s="291"/>
      <c r="DH38" s="397"/>
      <c r="DI38" s="397"/>
      <c r="DJ38" s="397"/>
      <c r="DK38" s="397"/>
      <c r="DL38" s="397"/>
      <c r="DM38" s="35"/>
      <c r="DN38" s="291"/>
      <c r="DO38" s="291"/>
      <c r="DP38" s="291"/>
      <c r="DQ38" s="291"/>
      <c r="DR38" s="291"/>
      <c r="DS38" s="291"/>
      <c r="DT38" s="397"/>
      <c r="DU38" s="397"/>
      <c r="DV38" s="397"/>
      <c r="DW38" s="397"/>
      <c r="DX38" s="397"/>
      <c r="DY38" s="35"/>
      <c r="DZ38" s="291"/>
      <c r="EA38" s="291"/>
      <c r="EB38" s="291"/>
      <c r="EC38" s="291"/>
      <c r="ED38" s="291"/>
      <c r="EE38" s="291"/>
      <c r="EF38" s="397"/>
      <c r="EG38" s="397"/>
      <c r="EH38" s="397"/>
      <c r="EI38" s="397"/>
      <c r="EJ38" s="397"/>
      <c r="EK38" s="35"/>
      <c r="EL38" s="291"/>
      <c r="EM38" s="291"/>
      <c r="EN38" s="291"/>
      <c r="EO38" s="291"/>
      <c r="EP38" s="291"/>
      <c r="EQ38" s="291"/>
      <c r="ER38" s="397"/>
      <c r="ES38" s="397"/>
      <c r="ET38" s="397"/>
      <c r="EU38" s="397"/>
      <c r="EV38" s="397"/>
      <c r="EW38" s="35"/>
      <c r="EX38" s="291"/>
      <c r="EY38" s="291"/>
      <c r="EZ38" s="291"/>
      <c r="FA38" s="291"/>
      <c r="FB38" s="291"/>
      <c r="FC38" s="291"/>
      <c r="FD38" s="397"/>
      <c r="FE38" s="397"/>
      <c r="FF38" s="397"/>
      <c r="FG38" s="397"/>
      <c r="FH38" s="397"/>
      <c r="FI38" s="35"/>
      <c r="FJ38" s="291"/>
      <c r="FK38" s="291"/>
      <c r="FL38" s="291"/>
      <c r="FM38" s="291"/>
      <c r="FN38" s="291"/>
      <c r="FO38" s="291"/>
      <c r="FP38" s="397"/>
      <c r="FQ38" s="397"/>
      <c r="FR38" s="397"/>
      <c r="FS38" s="397"/>
      <c r="FT38" s="397"/>
      <c r="FU38" s="35"/>
      <c r="FV38" s="291"/>
      <c r="FW38" s="291"/>
      <c r="FX38" s="291"/>
      <c r="FY38" s="291"/>
      <c r="FZ38" s="291"/>
      <c r="GA38" s="291"/>
      <c r="GB38" s="397"/>
      <c r="GC38" s="397"/>
      <c r="GD38" s="397"/>
      <c r="GE38" s="397"/>
      <c r="GF38" s="397"/>
      <c r="GG38" s="35"/>
      <c r="GH38" s="291"/>
      <c r="GI38" s="291"/>
      <c r="GJ38" s="291"/>
      <c r="GK38" s="291"/>
      <c r="GL38" s="291"/>
      <c r="GM38" s="291"/>
      <c r="GN38" s="397"/>
      <c r="GO38" s="397"/>
      <c r="GP38" s="397"/>
      <c r="GQ38" s="397"/>
      <c r="GR38" s="397"/>
      <c r="GS38" s="35"/>
      <c r="GT38" s="291"/>
      <c r="GU38" s="291"/>
      <c r="GV38" s="291"/>
      <c r="GW38" s="291"/>
      <c r="GX38" s="291"/>
      <c r="GY38" s="291"/>
      <c r="GZ38" s="397"/>
      <c r="HA38" s="397"/>
      <c r="HB38" s="397"/>
      <c r="HC38" s="397"/>
      <c r="HD38" s="397"/>
      <c r="HE38" s="35"/>
      <c r="HF38" s="291"/>
      <c r="HG38" s="291"/>
      <c r="HH38" s="291"/>
      <c r="HI38" s="291"/>
      <c r="HJ38" s="291"/>
      <c r="HK38" s="291"/>
      <c r="HL38" s="397"/>
      <c r="HM38" s="397"/>
      <c r="HN38" s="397"/>
      <c r="HO38" s="397"/>
      <c r="HP38" s="397"/>
      <c r="HQ38" s="35"/>
      <c r="HR38" s="291"/>
      <c r="HS38" s="291"/>
      <c r="HT38" s="291"/>
      <c r="HU38" s="291"/>
      <c r="HV38" s="291"/>
      <c r="HW38" s="291"/>
      <c r="HX38" s="397"/>
      <c r="HY38" s="397"/>
      <c r="HZ38" s="397"/>
      <c r="IA38" s="397"/>
      <c r="IB38" s="397"/>
      <c r="IC38" s="35"/>
      <c r="ID38" s="291"/>
      <c r="IE38" s="291"/>
      <c r="IF38" s="291"/>
      <c r="IG38" s="291"/>
      <c r="IH38" s="291"/>
      <c r="II38" s="291"/>
      <c r="IJ38" s="397"/>
      <c r="IK38" s="397"/>
      <c r="IL38" s="397"/>
      <c r="IM38" s="397"/>
      <c r="IN38" s="397"/>
      <c r="IO38" s="35"/>
      <c r="IP38" s="291"/>
      <c r="IQ38" s="291"/>
      <c r="IR38" s="291"/>
    </row>
    <row r="39" spans="1:252" s="5" customFormat="1" ht="14.25">
      <c r="A39" s="35" t="s">
        <v>1</v>
      </c>
      <c r="B39" s="389">
        <v>-2.1</v>
      </c>
      <c r="C39" s="389">
        <v>-1.9</v>
      </c>
      <c r="D39" s="389">
        <v>-8.8000000000000007</v>
      </c>
      <c r="E39" s="389">
        <v>-8.3000000000000007</v>
      </c>
      <c r="F39" s="389">
        <v>-8.8000000000000007</v>
      </c>
      <c r="G39" s="389">
        <v>-8.6999999999999993</v>
      </c>
      <c r="H39" s="389">
        <v>-8.5</v>
      </c>
      <c r="I39" s="291">
        <v>-7.8</v>
      </c>
      <c r="J39" s="291">
        <v>-7.1</v>
      </c>
      <c r="K39" s="291">
        <v>-6.5</v>
      </c>
      <c r="L39" s="291"/>
      <c r="M39" s="291"/>
      <c r="N39" s="291"/>
      <c r="O39" s="291"/>
      <c r="P39" s="397"/>
      <c r="Q39" s="397"/>
      <c r="R39" s="397"/>
      <c r="S39" s="397"/>
      <c r="T39" s="397"/>
      <c r="U39" s="35"/>
      <c r="V39" s="291"/>
      <c r="W39" s="291"/>
      <c r="X39" s="291"/>
      <c r="Y39" s="291"/>
      <c r="Z39" s="291"/>
      <c r="AA39" s="291"/>
      <c r="AB39" s="397"/>
      <c r="AC39" s="397"/>
      <c r="AD39" s="397"/>
      <c r="AE39" s="397"/>
      <c r="AF39" s="397"/>
      <c r="AG39" s="35"/>
      <c r="AH39" s="291"/>
      <c r="AI39" s="291"/>
      <c r="AJ39" s="291"/>
      <c r="AK39" s="291"/>
      <c r="AL39" s="291"/>
      <c r="AM39" s="291"/>
      <c r="AN39" s="397"/>
      <c r="AO39" s="397"/>
      <c r="AP39" s="397"/>
      <c r="AQ39" s="397"/>
      <c r="AR39" s="397"/>
      <c r="AS39" s="35"/>
      <c r="AT39" s="291"/>
      <c r="AU39" s="291"/>
      <c r="AV39" s="291"/>
      <c r="AW39" s="291"/>
      <c r="AX39" s="291"/>
      <c r="AY39" s="291"/>
      <c r="AZ39" s="397"/>
      <c r="BA39" s="397"/>
      <c r="BB39" s="397"/>
      <c r="BC39" s="397"/>
      <c r="BD39" s="397"/>
      <c r="BE39" s="35"/>
      <c r="BF39" s="291"/>
      <c r="BG39" s="291"/>
      <c r="BH39" s="291"/>
      <c r="BI39" s="291"/>
      <c r="BJ39" s="291"/>
      <c r="BK39" s="291"/>
      <c r="BL39" s="397"/>
      <c r="BM39" s="397"/>
      <c r="BN39" s="397"/>
      <c r="BO39" s="397"/>
      <c r="BP39" s="397"/>
      <c r="BQ39" s="35"/>
      <c r="BR39" s="291"/>
      <c r="BS39" s="291"/>
      <c r="BT39" s="291"/>
      <c r="BU39" s="291"/>
      <c r="BV39" s="291"/>
      <c r="BW39" s="291"/>
      <c r="BX39" s="397"/>
      <c r="BY39" s="397"/>
      <c r="BZ39" s="397"/>
      <c r="CA39" s="397"/>
      <c r="CB39" s="397"/>
      <c r="CC39" s="35"/>
      <c r="CD39" s="291"/>
      <c r="CE39" s="291"/>
      <c r="CF39" s="291"/>
      <c r="CG39" s="291"/>
      <c r="CH39" s="291"/>
      <c r="CI39" s="291"/>
      <c r="CJ39" s="397"/>
      <c r="CK39" s="397"/>
      <c r="CL39" s="397"/>
      <c r="CM39" s="397"/>
      <c r="CN39" s="397"/>
      <c r="CO39" s="35"/>
      <c r="CP39" s="291"/>
      <c r="CQ39" s="291"/>
      <c r="CR39" s="291"/>
      <c r="CS39" s="291"/>
      <c r="CT39" s="291"/>
      <c r="CU39" s="291"/>
      <c r="CV39" s="397"/>
      <c r="CW39" s="397"/>
      <c r="CX39" s="397"/>
      <c r="CY39" s="397"/>
      <c r="CZ39" s="397"/>
      <c r="DA39" s="35"/>
      <c r="DB39" s="291"/>
      <c r="DC39" s="291"/>
      <c r="DD39" s="291"/>
      <c r="DE39" s="291"/>
      <c r="DF39" s="291"/>
      <c r="DG39" s="291"/>
      <c r="DH39" s="397"/>
      <c r="DI39" s="397"/>
      <c r="DJ39" s="397"/>
      <c r="DK39" s="397"/>
      <c r="DL39" s="397"/>
      <c r="DM39" s="35"/>
      <c r="DN39" s="291"/>
      <c r="DO39" s="291"/>
      <c r="DP39" s="291"/>
      <c r="DQ39" s="291"/>
      <c r="DR39" s="291"/>
      <c r="DS39" s="291"/>
      <c r="DT39" s="397"/>
      <c r="DU39" s="397"/>
      <c r="DV39" s="397"/>
      <c r="DW39" s="397"/>
      <c r="DX39" s="397"/>
      <c r="DY39" s="35"/>
      <c r="DZ39" s="291"/>
      <c r="EA39" s="291"/>
      <c r="EB39" s="291"/>
      <c r="EC39" s="291"/>
      <c r="ED39" s="291"/>
      <c r="EE39" s="291"/>
      <c r="EF39" s="397"/>
      <c r="EG39" s="397"/>
      <c r="EH39" s="397"/>
      <c r="EI39" s="397"/>
      <c r="EJ39" s="397"/>
      <c r="EK39" s="35"/>
      <c r="EL39" s="291"/>
      <c r="EM39" s="291"/>
      <c r="EN39" s="291"/>
      <c r="EO39" s="291"/>
      <c r="EP39" s="291"/>
      <c r="EQ39" s="291"/>
      <c r="ER39" s="397"/>
      <c r="ES39" s="397"/>
      <c r="ET39" s="397"/>
      <c r="EU39" s="397"/>
      <c r="EV39" s="397"/>
      <c r="EW39" s="35"/>
      <c r="EX39" s="291"/>
      <c r="EY39" s="291"/>
      <c r="EZ39" s="291"/>
      <c r="FA39" s="291"/>
      <c r="FB39" s="291"/>
      <c r="FC39" s="291"/>
      <c r="FD39" s="397"/>
      <c r="FE39" s="397"/>
      <c r="FF39" s="397"/>
      <c r="FG39" s="397"/>
      <c r="FH39" s="397"/>
      <c r="FI39" s="35"/>
      <c r="FJ39" s="291"/>
      <c r="FK39" s="291"/>
      <c r="FL39" s="291"/>
      <c r="FM39" s="291"/>
      <c r="FN39" s="291"/>
      <c r="FO39" s="291"/>
      <c r="FP39" s="397"/>
      <c r="FQ39" s="397"/>
      <c r="FR39" s="397"/>
      <c r="FS39" s="397"/>
      <c r="FT39" s="397"/>
      <c r="FU39" s="35"/>
      <c r="FV39" s="291"/>
      <c r="FW39" s="291"/>
      <c r="FX39" s="291"/>
      <c r="FY39" s="291"/>
      <c r="FZ39" s="291"/>
      <c r="GA39" s="291"/>
      <c r="GB39" s="397"/>
      <c r="GC39" s="397"/>
      <c r="GD39" s="397"/>
      <c r="GE39" s="397"/>
      <c r="GF39" s="397"/>
      <c r="GG39" s="35"/>
      <c r="GH39" s="291"/>
      <c r="GI39" s="291"/>
      <c r="GJ39" s="291"/>
      <c r="GK39" s="291"/>
      <c r="GL39" s="291"/>
      <c r="GM39" s="291"/>
      <c r="GN39" s="397"/>
      <c r="GO39" s="397"/>
      <c r="GP39" s="397"/>
      <c r="GQ39" s="397"/>
      <c r="GR39" s="397"/>
      <c r="GS39" s="35"/>
      <c r="GT39" s="291"/>
      <c r="GU39" s="291"/>
      <c r="GV39" s="291"/>
      <c r="GW39" s="291"/>
      <c r="GX39" s="291"/>
      <c r="GY39" s="291"/>
      <c r="GZ39" s="397"/>
      <c r="HA39" s="397"/>
      <c r="HB39" s="397"/>
      <c r="HC39" s="397"/>
      <c r="HD39" s="397"/>
      <c r="HE39" s="35"/>
      <c r="HF39" s="291"/>
      <c r="HG39" s="291"/>
      <c r="HH39" s="291"/>
      <c r="HI39" s="291"/>
      <c r="HJ39" s="291"/>
      <c r="HK39" s="291"/>
      <c r="HL39" s="397"/>
      <c r="HM39" s="397"/>
      <c r="HN39" s="397"/>
      <c r="HO39" s="397"/>
      <c r="HP39" s="397"/>
      <c r="HQ39" s="35"/>
      <c r="HR39" s="291"/>
      <c r="HS39" s="291"/>
      <c r="HT39" s="291"/>
      <c r="HU39" s="291"/>
      <c r="HV39" s="291"/>
      <c r="HW39" s="291"/>
      <c r="HX39" s="397"/>
      <c r="HY39" s="397"/>
      <c r="HZ39" s="397"/>
      <c r="IA39" s="397"/>
      <c r="IB39" s="397"/>
      <c r="IC39" s="35"/>
      <c r="ID39" s="291"/>
      <c r="IE39" s="291"/>
      <c r="IF39" s="291"/>
      <c r="IG39" s="291"/>
      <c r="IH39" s="291"/>
      <c r="II39" s="291"/>
      <c r="IJ39" s="397"/>
      <c r="IK39" s="397"/>
      <c r="IL39" s="397"/>
      <c r="IM39" s="397"/>
      <c r="IN39" s="397"/>
      <c r="IO39" s="35"/>
      <c r="IP39" s="291"/>
      <c r="IQ39" s="291"/>
      <c r="IR39" s="291"/>
    </row>
    <row r="40" spans="1:252" s="5" customFormat="1" ht="14.25">
      <c r="A40" s="396"/>
      <c r="B40" s="396"/>
      <c r="C40" s="396"/>
      <c r="D40" s="396"/>
      <c r="E40" s="396"/>
      <c r="F40" s="396"/>
      <c r="G40" s="396"/>
      <c r="H40" s="396"/>
      <c r="I40" s="396"/>
      <c r="J40" s="396"/>
      <c r="K40" s="396"/>
      <c r="L40" s="291"/>
      <c r="M40" s="291"/>
      <c r="N40" s="291"/>
      <c r="O40" s="291"/>
      <c r="P40" s="397"/>
      <c r="Q40" s="397"/>
      <c r="R40" s="397"/>
      <c r="S40" s="397"/>
      <c r="T40" s="397"/>
      <c r="U40" s="35"/>
      <c r="V40" s="291"/>
      <c r="W40" s="291"/>
      <c r="X40" s="291"/>
      <c r="Y40" s="291"/>
      <c r="Z40" s="291"/>
      <c r="AA40" s="291"/>
      <c r="AB40" s="397"/>
      <c r="AC40" s="397"/>
      <c r="AD40" s="397"/>
      <c r="AE40" s="397"/>
      <c r="AF40" s="397"/>
      <c r="AG40" s="35"/>
      <c r="AH40" s="291"/>
      <c r="AI40" s="291"/>
      <c r="AJ40" s="291"/>
      <c r="AK40" s="291"/>
      <c r="AL40" s="291"/>
      <c r="AM40" s="291"/>
      <c r="AN40" s="397"/>
      <c r="AO40" s="397"/>
      <c r="AP40" s="397"/>
      <c r="AQ40" s="397"/>
      <c r="AR40" s="397"/>
      <c r="AS40" s="35"/>
      <c r="AT40" s="291"/>
      <c r="AU40" s="291"/>
      <c r="AV40" s="291"/>
      <c r="AW40" s="291"/>
      <c r="AX40" s="291"/>
      <c r="AY40" s="291"/>
      <c r="AZ40" s="397"/>
      <c r="BA40" s="397"/>
      <c r="BB40" s="397"/>
      <c r="BC40" s="397"/>
      <c r="BD40" s="397"/>
      <c r="BE40" s="35"/>
      <c r="BF40" s="291"/>
      <c r="BG40" s="291"/>
      <c r="BH40" s="291"/>
      <c r="BI40" s="291"/>
      <c r="BJ40" s="291"/>
      <c r="BK40" s="291"/>
      <c r="BL40" s="397"/>
      <c r="BM40" s="397"/>
      <c r="BN40" s="397"/>
      <c r="BO40" s="397"/>
      <c r="BP40" s="397"/>
      <c r="BQ40" s="35"/>
      <c r="BR40" s="291"/>
      <c r="BS40" s="291"/>
      <c r="BT40" s="291"/>
      <c r="BU40" s="291"/>
      <c r="BV40" s="291"/>
      <c r="BW40" s="291"/>
      <c r="BX40" s="397"/>
      <c r="BY40" s="397"/>
      <c r="BZ40" s="397"/>
      <c r="CA40" s="397"/>
      <c r="CB40" s="397"/>
      <c r="CC40" s="35"/>
      <c r="CD40" s="291"/>
      <c r="CE40" s="291"/>
      <c r="CF40" s="291"/>
      <c r="CG40" s="291"/>
      <c r="CH40" s="291"/>
      <c r="CI40" s="291"/>
      <c r="CJ40" s="397"/>
      <c r="CK40" s="397"/>
      <c r="CL40" s="397"/>
      <c r="CM40" s="397"/>
      <c r="CN40" s="397"/>
      <c r="CO40" s="35"/>
      <c r="CP40" s="291"/>
      <c r="CQ40" s="291"/>
      <c r="CR40" s="291"/>
      <c r="CS40" s="291"/>
      <c r="CT40" s="291"/>
      <c r="CU40" s="291"/>
      <c r="CV40" s="397"/>
      <c r="CW40" s="397"/>
      <c r="CX40" s="397"/>
      <c r="CY40" s="397"/>
      <c r="CZ40" s="397"/>
      <c r="DA40" s="35"/>
      <c r="DB40" s="291"/>
      <c r="DC40" s="291"/>
      <c r="DD40" s="291"/>
      <c r="DE40" s="291"/>
      <c r="DF40" s="291"/>
      <c r="DG40" s="291"/>
      <c r="DH40" s="397"/>
      <c r="DI40" s="397"/>
      <c r="DJ40" s="397"/>
      <c r="DK40" s="397"/>
      <c r="DL40" s="397"/>
      <c r="DM40" s="35"/>
      <c r="DN40" s="291"/>
      <c r="DO40" s="291"/>
      <c r="DP40" s="291"/>
      <c r="DQ40" s="291"/>
      <c r="DR40" s="291"/>
      <c r="DS40" s="291"/>
      <c r="DT40" s="397"/>
      <c r="DU40" s="397"/>
      <c r="DV40" s="397"/>
      <c r="DW40" s="397"/>
      <c r="DX40" s="397"/>
      <c r="DY40" s="35"/>
      <c r="DZ40" s="291"/>
      <c r="EA40" s="291"/>
      <c r="EB40" s="291"/>
      <c r="EC40" s="291"/>
      <c r="ED40" s="291"/>
      <c r="EE40" s="291"/>
      <c r="EF40" s="397"/>
      <c r="EG40" s="397"/>
      <c r="EH40" s="397"/>
      <c r="EI40" s="397"/>
      <c r="EJ40" s="397"/>
      <c r="EK40" s="35"/>
      <c r="EL40" s="291"/>
      <c r="EM40" s="291"/>
      <c r="EN40" s="291"/>
      <c r="EO40" s="291"/>
      <c r="EP40" s="291"/>
      <c r="EQ40" s="291"/>
      <c r="ER40" s="397"/>
      <c r="ES40" s="397"/>
      <c r="ET40" s="397"/>
      <c r="EU40" s="397"/>
      <c r="EV40" s="397"/>
      <c r="EW40" s="35"/>
      <c r="EX40" s="291"/>
      <c r="EY40" s="291"/>
      <c r="EZ40" s="291"/>
      <c r="FA40" s="291"/>
      <c r="FB40" s="291"/>
      <c r="FC40" s="291"/>
      <c r="FD40" s="397"/>
      <c r="FE40" s="397"/>
      <c r="FF40" s="397"/>
      <c r="FG40" s="397"/>
      <c r="FH40" s="397"/>
      <c r="FI40" s="35"/>
      <c r="FJ40" s="291"/>
      <c r="FK40" s="291"/>
      <c r="FL40" s="291"/>
      <c r="FM40" s="291"/>
      <c r="FN40" s="291"/>
      <c r="FO40" s="291"/>
      <c r="FP40" s="397"/>
      <c r="FQ40" s="397"/>
      <c r="FR40" s="397"/>
      <c r="FS40" s="397"/>
      <c r="FT40" s="397"/>
      <c r="FU40" s="35"/>
      <c r="FV40" s="291"/>
      <c r="FW40" s="291"/>
      <c r="FX40" s="291"/>
      <c r="FY40" s="291"/>
      <c r="FZ40" s="291"/>
      <c r="GA40" s="291"/>
      <c r="GB40" s="397"/>
      <c r="GC40" s="397"/>
      <c r="GD40" s="397"/>
      <c r="GE40" s="397"/>
      <c r="GF40" s="397"/>
      <c r="GG40" s="35"/>
      <c r="GH40" s="291"/>
      <c r="GI40" s="291"/>
      <c r="GJ40" s="291"/>
      <c r="GK40" s="291"/>
      <c r="GL40" s="291"/>
      <c r="GM40" s="291"/>
      <c r="GN40" s="397"/>
      <c r="GO40" s="397"/>
      <c r="GP40" s="397"/>
      <c r="GQ40" s="397"/>
      <c r="GR40" s="397"/>
      <c r="GS40" s="35"/>
      <c r="GT40" s="291"/>
      <c r="GU40" s="291"/>
      <c r="GV40" s="291"/>
      <c r="GW40" s="291"/>
      <c r="GX40" s="291"/>
      <c r="GY40" s="291"/>
      <c r="GZ40" s="397"/>
      <c r="HA40" s="397"/>
      <c r="HB40" s="397"/>
      <c r="HC40" s="397"/>
      <c r="HD40" s="397"/>
      <c r="HE40" s="35"/>
      <c r="HF40" s="291"/>
      <c r="HG40" s="291"/>
      <c r="HH40" s="291"/>
      <c r="HI40" s="291"/>
      <c r="HJ40" s="291"/>
      <c r="HK40" s="291"/>
      <c r="HL40" s="397"/>
      <c r="HM40" s="397"/>
      <c r="HN40" s="397"/>
      <c r="HO40" s="397"/>
      <c r="HP40" s="397"/>
      <c r="HQ40" s="35"/>
      <c r="HR40" s="291"/>
      <c r="HS40" s="291"/>
      <c r="HT40" s="291"/>
      <c r="HU40" s="291"/>
      <c r="HV40" s="291"/>
      <c r="HW40" s="291"/>
      <c r="HX40" s="397"/>
      <c r="HY40" s="397"/>
      <c r="HZ40" s="397"/>
      <c r="IA40" s="397"/>
      <c r="IB40" s="397"/>
      <c r="IC40" s="35"/>
      <c r="ID40" s="291"/>
      <c r="IE40" s="291"/>
      <c r="IF40" s="291"/>
      <c r="IG40" s="291"/>
      <c r="IH40" s="291"/>
      <c r="II40" s="291"/>
      <c r="IJ40" s="397"/>
      <c r="IK40" s="397"/>
      <c r="IL40" s="397"/>
      <c r="IM40" s="397"/>
      <c r="IN40" s="397"/>
      <c r="IO40" s="35"/>
      <c r="IP40" s="291"/>
      <c r="IQ40" s="291"/>
      <c r="IR40" s="291"/>
    </row>
    <row r="41" spans="1:252" s="5" customFormat="1" ht="14.25">
      <c r="A41" s="391"/>
      <c r="B41" s="391"/>
      <c r="C41" s="391"/>
      <c r="D41" s="391"/>
      <c r="E41" s="391"/>
      <c r="F41" s="391"/>
      <c r="G41" s="391"/>
      <c r="H41" s="391"/>
      <c r="I41" s="391"/>
      <c r="J41" s="391"/>
      <c r="K41" s="391"/>
      <c r="L41" s="291"/>
      <c r="M41" s="291"/>
      <c r="N41" s="291"/>
      <c r="O41" s="291"/>
      <c r="P41" s="397"/>
      <c r="Q41" s="397"/>
      <c r="R41" s="397"/>
      <c r="S41" s="397"/>
      <c r="T41" s="397"/>
      <c r="U41" s="35"/>
      <c r="V41" s="291"/>
      <c r="W41" s="291"/>
      <c r="X41" s="291"/>
      <c r="Y41" s="291"/>
      <c r="Z41" s="291"/>
      <c r="AA41" s="291"/>
      <c r="AB41" s="397"/>
      <c r="AC41" s="397"/>
      <c r="AD41" s="397"/>
      <c r="AE41" s="397"/>
      <c r="AF41" s="397"/>
      <c r="AG41" s="35"/>
      <c r="AH41" s="291"/>
      <c r="AI41" s="291"/>
      <c r="AJ41" s="291"/>
      <c r="AK41" s="291"/>
      <c r="AL41" s="291"/>
      <c r="AM41" s="291"/>
      <c r="AN41" s="397"/>
      <c r="AO41" s="397"/>
      <c r="AP41" s="397"/>
      <c r="AQ41" s="397"/>
      <c r="AR41" s="397"/>
      <c r="AS41" s="35"/>
      <c r="AT41" s="291"/>
      <c r="AU41" s="291"/>
      <c r="AV41" s="291"/>
      <c r="AW41" s="291"/>
      <c r="AX41" s="291"/>
      <c r="AY41" s="291"/>
      <c r="AZ41" s="397"/>
      <c r="BA41" s="397"/>
      <c r="BB41" s="397"/>
      <c r="BC41" s="397"/>
      <c r="BD41" s="397"/>
      <c r="BE41" s="35"/>
      <c r="BF41" s="291"/>
      <c r="BG41" s="291"/>
      <c r="BH41" s="291"/>
      <c r="BI41" s="291"/>
      <c r="BJ41" s="291"/>
      <c r="BK41" s="291"/>
      <c r="BL41" s="397"/>
      <c r="BM41" s="397"/>
      <c r="BN41" s="397"/>
      <c r="BO41" s="397"/>
      <c r="BP41" s="397"/>
      <c r="BQ41" s="35"/>
      <c r="BR41" s="291"/>
      <c r="BS41" s="291"/>
      <c r="BT41" s="291"/>
      <c r="BU41" s="291"/>
      <c r="BV41" s="291"/>
      <c r="BW41" s="291"/>
      <c r="BX41" s="397"/>
      <c r="BY41" s="397"/>
      <c r="BZ41" s="397"/>
      <c r="CA41" s="397"/>
      <c r="CB41" s="397"/>
      <c r="CC41" s="35"/>
      <c r="CD41" s="291"/>
      <c r="CE41" s="291"/>
      <c r="CF41" s="291"/>
      <c r="CG41" s="291"/>
      <c r="CH41" s="291"/>
      <c r="CI41" s="291"/>
      <c r="CJ41" s="397"/>
      <c r="CK41" s="397"/>
      <c r="CL41" s="397"/>
      <c r="CM41" s="397"/>
      <c r="CN41" s="397"/>
      <c r="CO41" s="35"/>
      <c r="CP41" s="291"/>
      <c r="CQ41" s="291"/>
      <c r="CR41" s="291"/>
      <c r="CS41" s="291"/>
      <c r="CT41" s="291"/>
      <c r="CU41" s="291"/>
      <c r="CV41" s="397"/>
      <c r="CW41" s="397"/>
      <c r="CX41" s="397"/>
      <c r="CY41" s="397"/>
      <c r="CZ41" s="397"/>
      <c r="DA41" s="35"/>
      <c r="DB41" s="291"/>
      <c r="DC41" s="291"/>
      <c r="DD41" s="291"/>
      <c r="DE41" s="291"/>
      <c r="DF41" s="291"/>
      <c r="DG41" s="291"/>
      <c r="DH41" s="397"/>
      <c r="DI41" s="397"/>
      <c r="DJ41" s="397"/>
      <c r="DK41" s="397"/>
      <c r="DL41" s="397"/>
      <c r="DM41" s="35"/>
      <c r="DN41" s="291"/>
      <c r="DO41" s="291"/>
      <c r="DP41" s="291"/>
      <c r="DQ41" s="291"/>
      <c r="DR41" s="291"/>
      <c r="DS41" s="291"/>
      <c r="DT41" s="397"/>
      <c r="DU41" s="397"/>
      <c r="DV41" s="397"/>
      <c r="DW41" s="397"/>
      <c r="DX41" s="397"/>
      <c r="DY41" s="35"/>
      <c r="DZ41" s="291"/>
      <c r="EA41" s="291"/>
      <c r="EB41" s="291"/>
      <c r="EC41" s="291"/>
      <c r="ED41" s="291"/>
      <c r="EE41" s="291"/>
      <c r="EF41" s="397"/>
      <c r="EG41" s="397"/>
      <c r="EH41" s="397"/>
      <c r="EI41" s="397"/>
      <c r="EJ41" s="397"/>
      <c r="EK41" s="35"/>
      <c r="EL41" s="291"/>
      <c r="EM41" s="291"/>
      <c r="EN41" s="291"/>
      <c r="EO41" s="291"/>
      <c r="EP41" s="291"/>
      <c r="EQ41" s="291"/>
      <c r="ER41" s="397"/>
      <c r="ES41" s="397"/>
      <c r="ET41" s="397"/>
      <c r="EU41" s="397"/>
      <c r="EV41" s="397"/>
      <c r="EW41" s="35"/>
      <c r="EX41" s="291"/>
      <c r="EY41" s="291"/>
      <c r="EZ41" s="291"/>
      <c r="FA41" s="291"/>
      <c r="FB41" s="291"/>
      <c r="FC41" s="291"/>
      <c r="FD41" s="397"/>
      <c r="FE41" s="397"/>
      <c r="FF41" s="397"/>
      <c r="FG41" s="397"/>
      <c r="FH41" s="397"/>
      <c r="FI41" s="35"/>
      <c r="FJ41" s="291"/>
      <c r="FK41" s="291"/>
      <c r="FL41" s="291"/>
      <c r="FM41" s="291"/>
      <c r="FN41" s="291"/>
      <c r="FO41" s="291"/>
      <c r="FP41" s="397"/>
      <c r="FQ41" s="397"/>
      <c r="FR41" s="397"/>
      <c r="FS41" s="397"/>
      <c r="FT41" s="397"/>
      <c r="FU41" s="35"/>
      <c r="FV41" s="291"/>
      <c r="FW41" s="291"/>
      <c r="FX41" s="291"/>
      <c r="FY41" s="291"/>
      <c r="FZ41" s="291"/>
      <c r="GA41" s="291"/>
      <c r="GB41" s="397"/>
      <c r="GC41" s="397"/>
      <c r="GD41" s="397"/>
      <c r="GE41" s="397"/>
      <c r="GF41" s="397"/>
      <c r="GG41" s="35"/>
      <c r="GH41" s="291"/>
      <c r="GI41" s="291"/>
      <c r="GJ41" s="291"/>
      <c r="GK41" s="291"/>
      <c r="GL41" s="291"/>
      <c r="GM41" s="291"/>
      <c r="GN41" s="397"/>
      <c r="GO41" s="397"/>
      <c r="GP41" s="397"/>
      <c r="GQ41" s="397"/>
      <c r="GR41" s="397"/>
      <c r="GS41" s="35"/>
      <c r="GT41" s="291"/>
      <c r="GU41" s="291"/>
      <c r="GV41" s="291"/>
      <c r="GW41" s="291"/>
      <c r="GX41" s="291"/>
      <c r="GY41" s="291"/>
      <c r="GZ41" s="397"/>
      <c r="HA41" s="397"/>
      <c r="HB41" s="397"/>
      <c r="HC41" s="397"/>
      <c r="HD41" s="397"/>
      <c r="HE41" s="35"/>
      <c r="HF41" s="291"/>
      <c r="HG41" s="291"/>
      <c r="HH41" s="291"/>
      <c r="HI41" s="291"/>
      <c r="HJ41" s="291"/>
      <c r="HK41" s="291"/>
      <c r="HL41" s="397"/>
      <c r="HM41" s="397"/>
      <c r="HN41" s="397"/>
      <c r="HO41" s="397"/>
      <c r="HP41" s="397"/>
      <c r="HQ41" s="35"/>
      <c r="HR41" s="291"/>
      <c r="HS41" s="291"/>
      <c r="HT41" s="291"/>
      <c r="HU41" s="291"/>
      <c r="HV41" s="291"/>
      <c r="HW41" s="291"/>
      <c r="HX41" s="397"/>
      <c r="HY41" s="397"/>
      <c r="HZ41" s="397"/>
      <c r="IA41" s="397"/>
      <c r="IB41" s="397"/>
      <c r="IC41" s="35"/>
      <c r="ID41" s="291"/>
      <c r="IE41" s="291"/>
      <c r="IF41" s="291"/>
      <c r="IG41" s="291"/>
      <c r="IH41" s="291"/>
      <c r="II41" s="291"/>
      <c r="IJ41" s="397"/>
      <c r="IK41" s="397"/>
      <c r="IL41" s="397"/>
      <c r="IM41" s="397"/>
      <c r="IN41" s="397"/>
      <c r="IO41" s="35"/>
      <c r="IP41" s="291"/>
      <c r="IQ41" s="291"/>
      <c r="IR41" s="291"/>
    </row>
    <row r="42" spans="1:252" s="390" customFormat="1" ht="14.25" customHeight="1">
      <c r="A42" s="44" t="s">
        <v>1023</v>
      </c>
      <c r="B42" s="263"/>
      <c r="C42" s="263"/>
      <c r="D42" s="263"/>
      <c r="E42" s="263"/>
    </row>
    <row r="43" spans="1:252" s="7" customFormat="1" ht="14.25" customHeight="1">
      <c r="A43" s="44" t="s">
        <v>1024</v>
      </c>
    </row>
    <row r="44" spans="1:252" ht="14.25" customHeight="1">
      <c r="A44" s="44" t="s">
        <v>1019</v>
      </c>
    </row>
    <row r="45" spans="1:252" ht="11.45" customHeight="1">
      <c r="A45" s="44" t="s">
        <v>819</v>
      </c>
    </row>
    <row r="46" spans="1:252" ht="11.45" customHeight="1">
      <c r="A46" s="43"/>
    </row>
  </sheetData>
  <pageMargins left="0.23622047244094491" right="0.23622047244094491" top="0.74803149606299213" bottom="0.74803149606299213" header="0.31496062992125984" footer="0.31496062992125984"/>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92D050"/>
    <pageSetUpPr fitToPage="1"/>
  </sheetPr>
  <dimension ref="A1:II43"/>
  <sheetViews>
    <sheetView workbookViewId="0"/>
  </sheetViews>
  <sheetFormatPr baseColWidth="10" defaultColWidth="11.42578125" defaultRowHeight="11.45" customHeight="1"/>
  <cols>
    <col min="1" max="1" width="28.7109375" style="10" customWidth="1"/>
    <col min="2" max="8" width="10.140625" style="10" customWidth="1"/>
    <col min="9" max="16384" width="11.42578125" style="10"/>
  </cols>
  <sheetData>
    <row r="1" spans="1:243" s="1" customFormat="1" ht="15">
      <c r="A1" s="155" t="s">
        <v>994</v>
      </c>
      <c r="B1" s="140"/>
      <c r="C1" s="140"/>
      <c r="D1" s="140"/>
      <c r="E1" s="140"/>
      <c r="F1" s="140"/>
      <c r="G1" s="140"/>
      <c r="H1" s="140"/>
      <c r="I1" s="250"/>
      <c r="J1" s="250"/>
      <c r="K1" s="250"/>
      <c r="L1" s="140"/>
      <c r="M1" s="140"/>
      <c r="N1" s="140"/>
      <c r="O1" s="140"/>
      <c r="P1" s="140"/>
      <c r="Q1" s="140"/>
      <c r="R1" s="140"/>
      <c r="S1" s="140"/>
      <c r="T1" s="140"/>
      <c r="U1" s="250"/>
      <c r="V1" s="250"/>
      <c r="W1" s="250"/>
      <c r="X1" s="140"/>
      <c r="Y1" s="140"/>
      <c r="Z1" s="140"/>
      <c r="AA1" s="140"/>
      <c r="AB1" s="140"/>
      <c r="AC1" s="140"/>
      <c r="AD1" s="140"/>
      <c r="AE1" s="140"/>
      <c r="AF1" s="140"/>
      <c r="AG1" s="250"/>
      <c r="AH1" s="250"/>
      <c r="AI1" s="250"/>
      <c r="AJ1" s="140"/>
      <c r="AK1" s="140"/>
      <c r="AL1" s="140"/>
      <c r="AM1" s="140"/>
      <c r="AN1" s="140"/>
      <c r="AO1" s="140"/>
      <c r="AP1" s="140"/>
      <c r="AQ1" s="140"/>
      <c r="AR1" s="140"/>
      <c r="AS1" s="250"/>
      <c r="AT1" s="250"/>
      <c r="AU1" s="250"/>
      <c r="AV1" s="140"/>
      <c r="AW1" s="140"/>
      <c r="AX1" s="140"/>
      <c r="AY1" s="140"/>
      <c r="AZ1" s="140"/>
      <c r="BA1" s="140"/>
      <c r="BB1" s="140"/>
      <c r="BC1" s="140"/>
      <c r="BD1" s="140"/>
      <c r="BE1" s="250"/>
      <c r="BF1" s="250"/>
      <c r="BG1" s="250"/>
      <c r="BH1" s="140"/>
      <c r="BI1" s="140"/>
      <c r="BJ1" s="140"/>
      <c r="BK1" s="140"/>
      <c r="BL1" s="140"/>
      <c r="BM1" s="140"/>
      <c r="BN1" s="140"/>
      <c r="BO1" s="140"/>
      <c r="BP1" s="140"/>
      <c r="BQ1" s="250"/>
      <c r="BR1" s="250"/>
      <c r="BS1" s="250"/>
      <c r="BT1" s="140"/>
      <c r="BU1" s="140"/>
      <c r="BV1" s="140"/>
      <c r="BW1" s="140"/>
      <c r="BX1" s="140"/>
      <c r="BY1" s="140"/>
      <c r="BZ1" s="140"/>
      <c r="CA1" s="140"/>
      <c r="CB1" s="140"/>
      <c r="CC1" s="250"/>
      <c r="CD1" s="250"/>
      <c r="CE1" s="250"/>
      <c r="CF1" s="140"/>
      <c r="CG1" s="140"/>
      <c r="CH1" s="140"/>
      <c r="CI1" s="140"/>
      <c r="CJ1" s="140"/>
      <c r="CK1" s="140"/>
      <c r="CL1" s="140"/>
      <c r="CM1" s="140"/>
      <c r="CN1" s="140"/>
      <c r="CO1" s="250"/>
      <c r="CP1" s="250"/>
      <c r="CQ1" s="250"/>
      <c r="CR1" s="140"/>
      <c r="CS1" s="140"/>
      <c r="CT1" s="140"/>
      <c r="CU1" s="140"/>
      <c r="CV1" s="140"/>
      <c r="CW1" s="140"/>
      <c r="CX1" s="140"/>
      <c r="CY1" s="140"/>
      <c r="CZ1" s="140"/>
      <c r="DA1" s="250"/>
      <c r="DB1" s="250"/>
      <c r="DC1" s="250"/>
      <c r="DD1" s="140"/>
      <c r="DE1" s="140"/>
      <c r="DF1" s="140"/>
      <c r="DG1" s="140"/>
      <c r="DH1" s="140"/>
      <c r="DI1" s="140"/>
      <c r="DJ1" s="140"/>
      <c r="DK1" s="140"/>
      <c r="DL1" s="140"/>
      <c r="DM1" s="250"/>
      <c r="DN1" s="250"/>
      <c r="DO1" s="250"/>
      <c r="DP1" s="140"/>
      <c r="DQ1" s="140"/>
      <c r="DR1" s="140"/>
      <c r="DS1" s="140"/>
      <c r="DT1" s="140"/>
      <c r="DU1" s="140"/>
      <c r="DV1" s="140"/>
      <c r="DW1" s="140"/>
      <c r="DX1" s="140"/>
      <c r="DY1" s="250"/>
      <c r="DZ1" s="250"/>
      <c r="EA1" s="250"/>
      <c r="EB1" s="140"/>
      <c r="EC1" s="140"/>
      <c r="ED1" s="140"/>
      <c r="EE1" s="140"/>
      <c r="EF1" s="140"/>
      <c r="EG1" s="140"/>
      <c r="EH1" s="140"/>
      <c r="EI1" s="140"/>
      <c r="EJ1" s="140"/>
      <c r="EK1" s="250"/>
      <c r="EL1" s="250"/>
      <c r="EM1" s="250"/>
      <c r="EN1" s="140"/>
      <c r="EO1" s="140"/>
      <c r="EP1" s="140"/>
      <c r="EQ1" s="140"/>
      <c r="ER1" s="140"/>
      <c r="ES1" s="140"/>
      <c r="ET1" s="140"/>
      <c r="EU1" s="140"/>
      <c r="EV1" s="140"/>
      <c r="EW1" s="250"/>
      <c r="EX1" s="250"/>
      <c r="EY1" s="250"/>
      <c r="EZ1" s="140"/>
      <c r="FA1" s="140"/>
      <c r="FB1" s="140"/>
      <c r="FC1" s="140"/>
      <c r="FD1" s="140"/>
      <c r="FE1" s="140"/>
      <c r="FF1" s="140"/>
      <c r="FG1" s="140"/>
      <c r="FH1" s="140"/>
      <c r="FI1" s="250"/>
      <c r="FJ1" s="250"/>
      <c r="FK1" s="250"/>
      <c r="FL1" s="140"/>
      <c r="FM1" s="140"/>
      <c r="FN1" s="140"/>
      <c r="FO1" s="140"/>
      <c r="FP1" s="140"/>
      <c r="FQ1" s="140"/>
      <c r="FR1" s="140"/>
      <c r="FS1" s="140"/>
      <c r="FT1" s="140"/>
      <c r="FU1" s="250"/>
      <c r="FV1" s="250"/>
      <c r="FW1" s="250"/>
      <c r="FX1" s="140"/>
      <c r="FY1" s="140"/>
      <c r="FZ1" s="140"/>
      <c r="GA1" s="140"/>
      <c r="GB1" s="140"/>
      <c r="GC1" s="140"/>
      <c r="GD1" s="140"/>
      <c r="GE1" s="140"/>
      <c r="GF1" s="140"/>
      <c r="GG1" s="250"/>
      <c r="GH1" s="250"/>
      <c r="GI1" s="250"/>
      <c r="GJ1" s="140"/>
      <c r="GK1" s="140"/>
      <c r="GL1" s="140"/>
      <c r="GM1" s="140"/>
      <c r="GN1" s="140"/>
      <c r="GO1" s="140"/>
      <c r="GP1" s="140"/>
      <c r="GQ1" s="140"/>
      <c r="GR1" s="140"/>
      <c r="GS1" s="250"/>
      <c r="GT1" s="250"/>
      <c r="GU1" s="250"/>
      <c r="GV1" s="140"/>
      <c r="GW1" s="140"/>
      <c r="GX1" s="140"/>
      <c r="GY1" s="140"/>
      <c r="GZ1" s="140"/>
      <c r="HA1" s="140"/>
      <c r="HB1" s="140"/>
      <c r="HC1" s="140"/>
      <c r="HD1" s="140"/>
      <c r="HE1" s="250"/>
      <c r="HF1" s="250"/>
      <c r="HG1" s="250"/>
      <c r="HH1" s="140"/>
      <c r="HI1" s="140"/>
      <c r="HJ1" s="140"/>
      <c r="HK1" s="140"/>
      <c r="HL1" s="140"/>
      <c r="HM1" s="140"/>
      <c r="HN1" s="140"/>
      <c r="HO1" s="140"/>
      <c r="HP1" s="140"/>
      <c r="HQ1" s="250"/>
      <c r="HR1" s="250"/>
      <c r="HS1" s="250"/>
      <c r="HT1" s="140"/>
      <c r="HU1" s="140"/>
      <c r="HV1" s="140"/>
      <c r="HW1" s="140"/>
      <c r="HX1" s="140"/>
      <c r="HY1" s="140"/>
      <c r="HZ1" s="140"/>
      <c r="IA1" s="140"/>
      <c r="IB1" s="140"/>
      <c r="IC1" s="250"/>
      <c r="ID1" s="250"/>
      <c r="IE1" s="250"/>
      <c r="IF1" s="140"/>
      <c r="IG1" s="140"/>
      <c r="IH1" s="140"/>
      <c r="II1" s="140"/>
    </row>
    <row r="2" spans="1:243" s="6" customFormat="1" ht="15">
      <c r="A2" s="152" t="s">
        <v>778</v>
      </c>
      <c r="B2" s="251"/>
      <c r="C2" s="251"/>
      <c r="D2" s="251"/>
      <c r="E2" s="251"/>
      <c r="F2" s="150"/>
      <c r="G2" s="150"/>
      <c r="H2" s="150"/>
      <c r="I2" s="252"/>
      <c r="J2" s="252"/>
      <c r="K2" s="252"/>
      <c r="L2" s="251"/>
      <c r="M2" s="251"/>
      <c r="N2" s="251"/>
      <c r="O2" s="251"/>
      <c r="P2" s="251"/>
      <c r="Q2" s="251"/>
      <c r="R2" s="150"/>
      <c r="S2" s="150"/>
      <c r="T2" s="150"/>
      <c r="U2" s="252"/>
      <c r="V2" s="252"/>
      <c r="W2" s="252"/>
      <c r="X2" s="251"/>
      <c r="Y2" s="251"/>
      <c r="Z2" s="251"/>
      <c r="AA2" s="251"/>
      <c r="AB2" s="251"/>
      <c r="AC2" s="251"/>
      <c r="AD2" s="150"/>
      <c r="AE2" s="150"/>
      <c r="AF2" s="150"/>
      <c r="AG2" s="252"/>
      <c r="AH2" s="252"/>
      <c r="AI2" s="252"/>
      <c r="AJ2" s="251"/>
      <c r="AK2" s="251"/>
      <c r="AL2" s="251"/>
      <c r="AM2" s="251"/>
      <c r="AN2" s="251"/>
      <c r="AO2" s="251"/>
      <c r="AP2" s="150"/>
      <c r="AQ2" s="150"/>
      <c r="AR2" s="150"/>
      <c r="AS2" s="252"/>
      <c r="AT2" s="252"/>
      <c r="AU2" s="252"/>
      <c r="AV2" s="251"/>
      <c r="AW2" s="251"/>
      <c r="AX2" s="251"/>
      <c r="AY2" s="251"/>
      <c r="AZ2" s="251"/>
      <c r="BA2" s="251"/>
      <c r="BB2" s="150"/>
      <c r="BC2" s="150"/>
      <c r="BD2" s="150"/>
      <c r="BE2" s="252"/>
      <c r="BF2" s="252"/>
      <c r="BG2" s="252"/>
      <c r="BH2" s="251"/>
      <c r="BI2" s="251"/>
      <c r="BJ2" s="251"/>
      <c r="BK2" s="251"/>
      <c r="BL2" s="251"/>
      <c r="BM2" s="251"/>
      <c r="BN2" s="150"/>
      <c r="BO2" s="150"/>
      <c r="BP2" s="150"/>
      <c r="BQ2" s="252"/>
      <c r="BR2" s="252"/>
      <c r="BS2" s="252"/>
      <c r="BT2" s="251"/>
      <c r="BU2" s="251"/>
      <c r="BV2" s="251"/>
      <c r="BW2" s="251"/>
      <c r="BX2" s="251"/>
      <c r="BY2" s="251"/>
      <c r="BZ2" s="150"/>
      <c r="CA2" s="150"/>
      <c r="CB2" s="150"/>
      <c r="CC2" s="252"/>
      <c r="CD2" s="252"/>
      <c r="CE2" s="252"/>
      <c r="CF2" s="251"/>
      <c r="CG2" s="251"/>
      <c r="CH2" s="251"/>
      <c r="CI2" s="251"/>
      <c r="CJ2" s="251"/>
      <c r="CK2" s="251"/>
      <c r="CL2" s="150"/>
      <c r="CM2" s="150"/>
      <c r="CN2" s="150"/>
      <c r="CO2" s="252"/>
      <c r="CP2" s="252"/>
      <c r="CQ2" s="252"/>
      <c r="CR2" s="251"/>
      <c r="CS2" s="251"/>
      <c r="CT2" s="251"/>
      <c r="CU2" s="251"/>
      <c r="CV2" s="251"/>
      <c r="CW2" s="251"/>
      <c r="CX2" s="150"/>
      <c r="CY2" s="150"/>
      <c r="CZ2" s="150"/>
      <c r="DA2" s="252"/>
      <c r="DB2" s="252"/>
      <c r="DC2" s="252"/>
      <c r="DD2" s="251"/>
      <c r="DE2" s="251"/>
      <c r="DF2" s="251"/>
      <c r="DG2" s="251"/>
      <c r="DH2" s="251"/>
      <c r="DI2" s="251"/>
      <c r="DJ2" s="150"/>
      <c r="DK2" s="150"/>
      <c r="DL2" s="150"/>
      <c r="DM2" s="252"/>
      <c r="DN2" s="252"/>
      <c r="DO2" s="252"/>
      <c r="DP2" s="251"/>
      <c r="DQ2" s="251"/>
      <c r="DR2" s="251"/>
      <c r="DS2" s="251"/>
      <c r="DT2" s="251"/>
      <c r="DU2" s="251"/>
      <c r="DV2" s="150"/>
      <c r="DW2" s="150"/>
      <c r="DX2" s="150"/>
      <c r="DY2" s="252"/>
      <c r="DZ2" s="252"/>
      <c r="EA2" s="252"/>
      <c r="EB2" s="251"/>
      <c r="EC2" s="251"/>
      <c r="ED2" s="251"/>
      <c r="EE2" s="251"/>
      <c r="EF2" s="251"/>
      <c r="EG2" s="251"/>
      <c r="EH2" s="150"/>
      <c r="EI2" s="150"/>
      <c r="EJ2" s="150"/>
      <c r="EK2" s="252"/>
      <c r="EL2" s="252"/>
      <c r="EM2" s="252"/>
      <c r="EN2" s="251"/>
      <c r="EO2" s="251"/>
      <c r="EP2" s="251"/>
      <c r="EQ2" s="251"/>
      <c r="ER2" s="251"/>
      <c r="ES2" s="251"/>
      <c r="ET2" s="150"/>
      <c r="EU2" s="150"/>
      <c r="EV2" s="150"/>
      <c r="EW2" s="252"/>
      <c r="EX2" s="252"/>
      <c r="EY2" s="252"/>
      <c r="EZ2" s="251"/>
      <c r="FA2" s="251"/>
      <c r="FB2" s="251"/>
      <c r="FC2" s="251"/>
      <c r="FD2" s="251"/>
      <c r="FE2" s="251"/>
      <c r="FF2" s="150"/>
      <c r="FG2" s="150"/>
      <c r="FH2" s="150"/>
      <c r="FI2" s="252"/>
      <c r="FJ2" s="252"/>
      <c r="FK2" s="252"/>
      <c r="FL2" s="251"/>
      <c r="FM2" s="251"/>
      <c r="FN2" s="251"/>
      <c r="FO2" s="251"/>
      <c r="FP2" s="251"/>
      <c r="FQ2" s="251"/>
      <c r="FR2" s="150"/>
      <c r="FS2" s="150"/>
      <c r="FT2" s="150"/>
      <c r="FU2" s="252"/>
      <c r="FV2" s="252"/>
      <c r="FW2" s="252"/>
      <c r="FX2" s="251"/>
      <c r="FY2" s="251"/>
      <c r="FZ2" s="251"/>
      <c r="GA2" s="251"/>
      <c r="GB2" s="251"/>
      <c r="GC2" s="251"/>
      <c r="GD2" s="150"/>
      <c r="GE2" s="150"/>
      <c r="GF2" s="150"/>
      <c r="GG2" s="252"/>
      <c r="GH2" s="252"/>
      <c r="GI2" s="252"/>
      <c r="GJ2" s="251"/>
      <c r="GK2" s="251"/>
      <c r="GL2" s="251"/>
      <c r="GM2" s="251"/>
      <c r="GN2" s="251"/>
      <c r="GO2" s="251"/>
      <c r="GP2" s="150"/>
      <c r="GQ2" s="150"/>
      <c r="GR2" s="150"/>
      <c r="GS2" s="252"/>
      <c r="GT2" s="252"/>
      <c r="GU2" s="252"/>
      <c r="GV2" s="251"/>
      <c r="GW2" s="251"/>
      <c r="GX2" s="251"/>
      <c r="GY2" s="251"/>
      <c r="GZ2" s="251"/>
      <c r="HA2" s="251"/>
      <c r="HB2" s="150"/>
      <c r="HC2" s="150"/>
      <c r="HD2" s="150"/>
      <c r="HE2" s="252"/>
      <c r="HF2" s="252"/>
      <c r="HG2" s="252"/>
      <c r="HH2" s="251"/>
      <c r="HI2" s="251"/>
      <c r="HJ2" s="251"/>
      <c r="HK2" s="251"/>
      <c r="HL2" s="251"/>
      <c r="HM2" s="251"/>
      <c r="HN2" s="150"/>
      <c r="HO2" s="150"/>
      <c r="HP2" s="150"/>
      <c r="HQ2" s="252"/>
      <c r="HR2" s="252"/>
      <c r="HS2" s="252"/>
      <c r="HT2" s="251"/>
      <c r="HU2" s="251"/>
      <c r="HV2" s="251"/>
      <c r="HW2" s="251"/>
      <c r="HX2" s="251"/>
      <c r="HY2" s="251"/>
      <c r="HZ2" s="150"/>
      <c r="IA2" s="150"/>
      <c r="IB2" s="150"/>
      <c r="IC2" s="252"/>
      <c r="ID2" s="252"/>
      <c r="IE2" s="252"/>
      <c r="IF2" s="251"/>
      <c r="IG2" s="251"/>
      <c r="IH2" s="251"/>
      <c r="II2" s="251"/>
    </row>
    <row r="3" spans="1:243" s="2" customFormat="1" ht="18" customHeight="1">
      <c r="A3" s="131"/>
      <c r="B3" s="253"/>
      <c r="C3" s="253"/>
      <c r="D3" s="253"/>
      <c r="E3" s="253"/>
      <c r="F3" s="254"/>
      <c r="G3" s="254"/>
      <c r="H3" s="254"/>
      <c r="I3" s="255"/>
      <c r="J3" s="255"/>
      <c r="K3" s="255"/>
      <c r="L3" s="253"/>
      <c r="M3" s="253"/>
      <c r="N3" s="253"/>
      <c r="O3" s="253"/>
      <c r="P3" s="253"/>
      <c r="Q3" s="253"/>
      <c r="R3" s="254"/>
      <c r="S3" s="254"/>
      <c r="T3" s="254"/>
      <c r="U3" s="255"/>
      <c r="V3" s="255"/>
      <c r="W3" s="255"/>
      <c r="X3" s="253"/>
      <c r="Y3" s="253"/>
      <c r="Z3" s="253"/>
      <c r="AA3" s="253"/>
      <c r="AB3" s="253"/>
      <c r="AC3" s="253"/>
      <c r="AD3" s="254"/>
      <c r="AE3" s="254"/>
      <c r="AF3" s="254"/>
      <c r="AG3" s="255"/>
      <c r="AH3" s="255"/>
      <c r="AI3" s="255"/>
      <c r="AJ3" s="253"/>
      <c r="AK3" s="253"/>
      <c r="AL3" s="253"/>
      <c r="AM3" s="253"/>
      <c r="AN3" s="253"/>
      <c r="AO3" s="253"/>
      <c r="AP3" s="254"/>
      <c r="AQ3" s="254"/>
      <c r="AR3" s="254"/>
      <c r="AS3" s="255"/>
      <c r="AT3" s="255"/>
      <c r="AU3" s="255"/>
      <c r="AV3" s="253"/>
      <c r="AW3" s="253"/>
      <c r="AX3" s="253"/>
      <c r="AY3" s="253"/>
      <c r="AZ3" s="253"/>
      <c r="BA3" s="253"/>
      <c r="BB3" s="254"/>
      <c r="BC3" s="254"/>
      <c r="BD3" s="254"/>
      <c r="BE3" s="255"/>
      <c r="BF3" s="255"/>
      <c r="BG3" s="255"/>
      <c r="BH3" s="253"/>
      <c r="BI3" s="253"/>
      <c r="BJ3" s="253"/>
      <c r="BK3" s="253"/>
      <c r="BL3" s="253"/>
      <c r="BM3" s="253"/>
      <c r="BN3" s="254"/>
      <c r="BO3" s="254"/>
      <c r="BP3" s="254"/>
      <c r="BQ3" s="255"/>
      <c r="BR3" s="255"/>
      <c r="BS3" s="255"/>
      <c r="BT3" s="253"/>
      <c r="BU3" s="253"/>
      <c r="BV3" s="253"/>
      <c r="BW3" s="253"/>
      <c r="BX3" s="253"/>
      <c r="BY3" s="253"/>
      <c r="BZ3" s="254"/>
      <c r="CA3" s="254"/>
      <c r="CB3" s="254"/>
      <c r="CC3" s="255"/>
      <c r="CD3" s="255"/>
      <c r="CE3" s="255"/>
      <c r="CF3" s="253"/>
      <c r="CG3" s="253"/>
      <c r="CH3" s="253"/>
      <c r="CI3" s="253"/>
      <c r="CJ3" s="253"/>
      <c r="CK3" s="253"/>
      <c r="CL3" s="254"/>
      <c r="CM3" s="254"/>
      <c r="CN3" s="254"/>
      <c r="CO3" s="255"/>
      <c r="CP3" s="255"/>
      <c r="CQ3" s="255"/>
      <c r="CR3" s="253"/>
      <c r="CS3" s="253"/>
      <c r="CT3" s="253"/>
      <c r="CU3" s="253"/>
      <c r="CV3" s="253"/>
      <c r="CW3" s="253"/>
      <c r="CX3" s="254"/>
      <c r="CY3" s="254"/>
      <c r="CZ3" s="254"/>
      <c r="DA3" s="255"/>
      <c r="DB3" s="255"/>
      <c r="DC3" s="255"/>
      <c r="DD3" s="253"/>
      <c r="DE3" s="253"/>
      <c r="DF3" s="253"/>
      <c r="DG3" s="253"/>
      <c r="DH3" s="253"/>
      <c r="DI3" s="253"/>
      <c r="DJ3" s="254"/>
      <c r="DK3" s="254"/>
      <c r="DL3" s="254"/>
      <c r="DM3" s="255"/>
      <c r="DN3" s="255"/>
      <c r="DO3" s="255"/>
      <c r="DP3" s="253"/>
      <c r="DQ3" s="253"/>
      <c r="DR3" s="253"/>
      <c r="DS3" s="253"/>
      <c r="DT3" s="253"/>
      <c r="DU3" s="253"/>
      <c r="DV3" s="254"/>
      <c r="DW3" s="254"/>
      <c r="DX3" s="254"/>
      <c r="DY3" s="255"/>
      <c r="DZ3" s="255"/>
      <c r="EA3" s="255"/>
      <c r="EB3" s="253"/>
      <c r="EC3" s="253"/>
      <c r="ED3" s="253"/>
      <c r="EE3" s="253"/>
      <c r="EF3" s="253"/>
      <c r="EG3" s="253"/>
      <c r="EH3" s="254"/>
      <c r="EI3" s="254"/>
      <c r="EJ3" s="254"/>
      <c r="EK3" s="255"/>
      <c r="EL3" s="255"/>
      <c r="EM3" s="255"/>
      <c r="EN3" s="253"/>
      <c r="EO3" s="253"/>
      <c r="EP3" s="253"/>
      <c r="EQ3" s="253"/>
      <c r="ER3" s="253"/>
      <c r="ES3" s="253"/>
      <c r="ET3" s="254"/>
      <c r="EU3" s="254"/>
      <c r="EV3" s="254"/>
      <c r="EW3" s="255"/>
      <c r="EX3" s="255"/>
      <c r="EY3" s="255"/>
      <c r="EZ3" s="253"/>
      <c r="FA3" s="253"/>
      <c r="FB3" s="253"/>
      <c r="FC3" s="253"/>
      <c r="FD3" s="253"/>
      <c r="FE3" s="253"/>
      <c r="FF3" s="254"/>
      <c r="FG3" s="254"/>
      <c r="FH3" s="254"/>
      <c r="FI3" s="255"/>
      <c r="FJ3" s="255"/>
      <c r="FK3" s="255"/>
      <c r="FL3" s="253"/>
      <c r="FM3" s="253"/>
      <c r="FN3" s="253"/>
      <c r="FO3" s="253"/>
      <c r="FP3" s="253"/>
      <c r="FQ3" s="253"/>
      <c r="FR3" s="254"/>
      <c r="FS3" s="254"/>
      <c r="FT3" s="254"/>
      <c r="FU3" s="255"/>
      <c r="FV3" s="255"/>
      <c r="FW3" s="255"/>
      <c r="FX3" s="253"/>
      <c r="FY3" s="253"/>
      <c r="FZ3" s="253"/>
      <c r="GA3" s="253"/>
      <c r="GB3" s="253"/>
      <c r="GC3" s="253"/>
      <c r="GD3" s="254"/>
      <c r="GE3" s="254"/>
      <c r="GF3" s="254"/>
      <c r="GG3" s="255"/>
      <c r="GH3" s="255"/>
      <c r="GI3" s="255"/>
      <c r="GJ3" s="253"/>
      <c r="GK3" s="253"/>
      <c r="GL3" s="253"/>
      <c r="GM3" s="253"/>
      <c r="GN3" s="253"/>
      <c r="GO3" s="253"/>
      <c r="GP3" s="254"/>
      <c r="GQ3" s="254"/>
      <c r="GR3" s="254"/>
      <c r="GS3" s="255"/>
      <c r="GT3" s="255"/>
      <c r="GU3" s="255"/>
      <c r="GV3" s="253"/>
      <c r="GW3" s="253"/>
      <c r="GX3" s="253"/>
      <c r="GY3" s="253"/>
      <c r="GZ3" s="253"/>
      <c r="HA3" s="253"/>
      <c r="HB3" s="254"/>
      <c r="HC3" s="254"/>
      <c r="HD3" s="254"/>
      <c r="HE3" s="255"/>
      <c r="HF3" s="255"/>
      <c r="HG3" s="255"/>
      <c r="HH3" s="253"/>
      <c r="HI3" s="253"/>
      <c r="HJ3" s="253"/>
      <c r="HK3" s="253"/>
      <c r="HL3" s="253"/>
      <c r="HM3" s="253"/>
      <c r="HN3" s="254"/>
      <c r="HO3" s="254"/>
      <c r="HP3" s="254"/>
      <c r="HQ3" s="255"/>
      <c r="HR3" s="255"/>
      <c r="HS3" s="255"/>
      <c r="HT3" s="253"/>
      <c r="HU3" s="253"/>
      <c r="HV3" s="253"/>
      <c r="HW3" s="253"/>
      <c r="HX3" s="253"/>
      <c r="HY3" s="253"/>
      <c r="HZ3" s="254"/>
      <c r="IA3" s="254"/>
      <c r="IB3" s="254"/>
      <c r="IC3" s="255"/>
      <c r="ID3" s="255"/>
      <c r="IE3" s="255"/>
      <c r="IF3" s="253"/>
      <c r="IG3" s="253"/>
      <c r="IH3" s="253"/>
      <c r="II3" s="253"/>
    </row>
    <row r="4" spans="1:243" s="3" customFormat="1" ht="28.5" customHeight="1">
      <c r="A4" s="405" t="s">
        <v>30</v>
      </c>
      <c r="B4" s="406">
        <v>2010</v>
      </c>
      <c r="C4" s="406">
        <v>2011</v>
      </c>
      <c r="D4" s="406">
        <v>2012</v>
      </c>
      <c r="E4" s="406">
        <v>2013</v>
      </c>
      <c r="F4" s="406">
        <v>2014</v>
      </c>
      <c r="G4" s="406">
        <v>2015</v>
      </c>
      <c r="H4" s="406">
        <v>2016</v>
      </c>
      <c r="I4" s="259"/>
      <c r="J4" s="259"/>
      <c r="K4" s="258"/>
      <c r="L4" s="260"/>
      <c r="M4" s="258"/>
      <c r="N4" s="258"/>
      <c r="O4" s="259"/>
      <c r="P4" s="259"/>
      <c r="Q4" s="259"/>
      <c r="R4" s="258"/>
      <c r="S4" s="258"/>
      <c r="T4" s="259"/>
      <c r="U4" s="259"/>
      <c r="V4" s="259"/>
      <c r="W4" s="258"/>
      <c r="X4" s="260"/>
      <c r="Y4" s="258"/>
      <c r="Z4" s="258"/>
      <c r="AA4" s="259"/>
      <c r="AB4" s="259"/>
      <c r="AC4" s="259"/>
      <c r="AD4" s="258"/>
      <c r="AE4" s="258"/>
      <c r="AF4" s="259"/>
      <c r="AG4" s="259"/>
      <c r="AH4" s="259"/>
      <c r="AI4" s="258"/>
      <c r="AJ4" s="260"/>
      <c r="AK4" s="258"/>
      <c r="AL4" s="258"/>
      <c r="AM4" s="259"/>
      <c r="AN4" s="259"/>
      <c r="AO4" s="259"/>
      <c r="AP4" s="258"/>
      <c r="AQ4" s="258"/>
      <c r="AR4" s="259"/>
      <c r="AS4" s="259"/>
      <c r="AT4" s="259"/>
      <c r="AU4" s="258"/>
      <c r="AV4" s="260"/>
      <c r="AW4" s="258"/>
      <c r="AX4" s="258"/>
      <c r="AY4" s="259"/>
      <c r="AZ4" s="259"/>
      <c r="BA4" s="259"/>
      <c r="BB4" s="258"/>
      <c r="BC4" s="258"/>
      <c r="BD4" s="259"/>
      <c r="BE4" s="259"/>
      <c r="BF4" s="259"/>
      <c r="BG4" s="258"/>
      <c r="BH4" s="260"/>
      <c r="BI4" s="258"/>
      <c r="BJ4" s="258"/>
      <c r="BK4" s="259"/>
      <c r="BL4" s="259"/>
      <c r="BM4" s="259"/>
      <c r="BN4" s="258"/>
      <c r="BO4" s="258"/>
      <c r="BP4" s="259"/>
      <c r="BQ4" s="259"/>
      <c r="BR4" s="259"/>
      <c r="BS4" s="258"/>
      <c r="BT4" s="260"/>
      <c r="BU4" s="258"/>
      <c r="BV4" s="258"/>
      <c r="BW4" s="259"/>
      <c r="BX4" s="259"/>
      <c r="BY4" s="259"/>
      <c r="BZ4" s="258"/>
      <c r="CA4" s="258"/>
      <c r="CB4" s="259"/>
      <c r="CC4" s="259"/>
      <c r="CD4" s="259"/>
      <c r="CE4" s="258"/>
      <c r="CF4" s="260"/>
      <c r="CG4" s="258"/>
      <c r="CH4" s="258"/>
      <c r="CI4" s="259"/>
      <c r="CJ4" s="259"/>
      <c r="CK4" s="259"/>
      <c r="CL4" s="258"/>
      <c r="CM4" s="258"/>
      <c r="CN4" s="259"/>
      <c r="CO4" s="259"/>
      <c r="CP4" s="259"/>
      <c r="CQ4" s="258"/>
      <c r="CR4" s="260"/>
      <c r="CS4" s="258"/>
      <c r="CT4" s="258"/>
      <c r="CU4" s="259"/>
      <c r="CV4" s="259"/>
      <c r="CW4" s="259"/>
      <c r="CX4" s="258"/>
      <c r="CY4" s="258"/>
      <c r="CZ4" s="259"/>
      <c r="DA4" s="259"/>
      <c r="DB4" s="259"/>
      <c r="DC4" s="258"/>
      <c r="DD4" s="260"/>
      <c r="DE4" s="258"/>
      <c r="DF4" s="258"/>
      <c r="DG4" s="259"/>
      <c r="DH4" s="259"/>
      <c r="DI4" s="259"/>
      <c r="DJ4" s="258"/>
      <c r="DK4" s="258"/>
      <c r="DL4" s="259"/>
      <c r="DM4" s="259"/>
      <c r="DN4" s="259"/>
      <c r="DO4" s="258"/>
      <c r="DP4" s="260"/>
      <c r="DQ4" s="258"/>
      <c r="DR4" s="258"/>
      <c r="DS4" s="259"/>
      <c r="DT4" s="259"/>
      <c r="DU4" s="259"/>
      <c r="DV4" s="258"/>
      <c r="DW4" s="258"/>
      <c r="DX4" s="259"/>
      <c r="DY4" s="259"/>
      <c r="DZ4" s="259"/>
      <c r="EA4" s="258"/>
      <c r="EB4" s="260"/>
      <c r="EC4" s="258"/>
      <c r="ED4" s="258"/>
      <c r="EE4" s="259"/>
      <c r="EF4" s="259"/>
      <c r="EG4" s="259"/>
      <c r="EH4" s="258"/>
      <c r="EI4" s="258"/>
      <c r="EJ4" s="259"/>
      <c r="EK4" s="259"/>
      <c r="EL4" s="259"/>
      <c r="EM4" s="258"/>
      <c r="EN4" s="260"/>
      <c r="EO4" s="258"/>
      <c r="EP4" s="258"/>
      <c r="EQ4" s="259"/>
      <c r="ER4" s="259"/>
      <c r="ES4" s="259"/>
      <c r="ET4" s="258"/>
      <c r="EU4" s="258"/>
      <c r="EV4" s="259"/>
      <c r="EW4" s="259"/>
      <c r="EX4" s="259"/>
      <c r="EY4" s="258"/>
      <c r="EZ4" s="260"/>
      <c r="FA4" s="258"/>
      <c r="FB4" s="258"/>
      <c r="FC4" s="259"/>
      <c r="FD4" s="259"/>
      <c r="FE4" s="259"/>
      <c r="FF4" s="258"/>
      <c r="FG4" s="258"/>
      <c r="FH4" s="259"/>
      <c r="FI4" s="259"/>
      <c r="FJ4" s="259"/>
      <c r="FK4" s="258"/>
      <c r="FL4" s="260"/>
      <c r="FM4" s="258"/>
      <c r="FN4" s="258"/>
      <c r="FO4" s="259"/>
      <c r="FP4" s="259"/>
      <c r="FQ4" s="259"/>
      <c r="FR4" s="258"/>
      <c r="FS4" s="258"/>
      <c r="FT4" s="259"/>
      <c r="FU4" s="259"/>
      <c r="FV4" s="259"/>
      <c r="FW4" s="258"/>
      <c r="FX4" s="260"/>
      <c r="FY4" s="258"/>
      <c r="FZ4" s="258"/>
      <c r="GA4" s="259"/>
      <c r="GB4" s="259"/>
      <c r="GC4" s="259"/>
      <c r="GD4" s="258"/>
      <c r="GE4" s="258"/>
      <c r="GF4" s="259"/>
      <c r="GG4" s="259"/>
      <c r="GH4" s="259"/>
      <c r="GI4" s="258"/>
      <c r="GJ4" s="260"/>
      <c r="GK4" s="258"/>
      <c r="GL4" s="258"/>
      <c r="GM4" s="259"/>
      <c r="GN4" s="259"/>
      <c r="GO4" s="259"/>
      <c r="GP4" s="258"/>
      <c r="GQ4" s="258"/>
      <c r="GR4" s="259"/>
      <c r="GS4" s="259"/>
      <c r="GT4" s="259"/>
      <c r="GU4" s="258"/>
      <c r="GV4" s="260"/>
      <c r="GW4" s="258"/>
      <c r="GX4" s="258"/>
      <c r="GY4" s="259"/>
      <c r="GZ4" s="259"/>
      <c r="HA4" s="259"/>
      <c r="HB4" s="258"/>
      <c r="HC4" s="258"/>
      <c r="HD4" s="259"/>
      <c r="HE4" s="259"/>
      <c r="HF4" s="259"/>
      <c r="HG4" s="258"/>
      <c r="HH4" s="260"/>
      <c r="HI4" s="258"/>
      <c r="HJ4" s="258"/>
      <c r="HK4" s="259"/>
      <c r="HL4" s="259"/>
      <c r="HM4" s="259"/>
      <c r="HN4" s="258"/>
      <c r="HO4" s="258"/>
      <c r="HP4" s="259"/>
      <c r="HQ4" s="259"/>
      <c r="HR4" s="259"/>
      <c r="HS4" s="258"/>
      <c r="HT4" s="260"/>
      <c r="HU4" s="258"/>
      <c r="HV4" s="258"/>
      <c r="HW4" s="259"/>
      <c r="HX4" s="259"/>
      <c r="HY4" s="259"/>
      <c r="HZ4" s="258"/>
      <c r="IA4" s="258"/>
      <c r="IB4" s="259"/>
      <c r="IC4" s="259"/>
      <c r="ID4" s="259"/>
      <c r="IE4" s="258"/>
      <c r="IF4" s="260"/>
      <c r="IG4" s="258"/>
      <c r="IH4" s="258"/>
      <c r="II4" s="259"/>
    </row>
    <row r="5" spans="1:243" s="9" customFormat="1" ht="14.25">
      <c r="A5" s="400"/>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row>
    <row r="6" spans="1:243" s="5" customFormat="1" ht="14.25">
      <c r="A6" s="391" t="s">
        <v>29</v>
      </c>
      <c r="B6" s="291">
        <v>-3.7</v>
      </c>
      <c r="C6" s="291">
        <v>-3.8</v>
      </c>
      <c r="D6" s="291">
        <v>-3.1</v>
      </c>
      <c r="E6" s="291">
        <v>-2.6</v>
      </c>
      <c r="F6" s="291">
        <v>-2.8</v>
      </c>
      <c r="G6" s="397">
        <v>-2.2999999999999998</v>
      </c>
      <c r="H6" s="397">
        <v>-2.1</v>
      </c>
      <c r="I6" s="397"/>
      <c r="J6" s="397"/>
      <c r="K6" s="397"/>
      <c r="L6" s="35"/>
      <c r="M6" s="291"/>
      <c r="N6" s="291"/>
      <c r="O6" s="291"/>
      <c r="P6" s="291"/>
      <c r="Q6" s="291"/>
      <c r="R6" s="291"/>
      <c r="S6" s="397"/>
      <c r="T6" s="397"/>
      <c r="U6" s="397"/>
      <c r="V6" s="397"/>
      <c r="W6" s="397"/>
      <c r="X6" s="35"/>
      <c r="Y6" s="291"/>
      <c r="Z6" s="291"/>
      <c r="AA6" s="291"/>
      <c r="AB6" s="291"/>
      <c r="AC6" s="291"/>
      <c r="AD6" s="291"/>
      <c r="AE6" s="397"/>
      <c r="AF6" s="397"/>
      <c r="AG6" s="397"/>
      <c r="AH6" s="397"/>
      <c r="AI6" s="397"/>
      <c r="AJ6" s="35"/>
      <c r="AK6" s="291"/>
      <c r="AL6" s="291"/>
      <c r="AM6" s="291"/>
      <c r="AN6" s="291"/>
      <c r="AO6" s="291"/>
      <c r="AP6" s="291"/>
      <c r="AQ6" s="397"/>
      <c r="AR6" s="397"/>
      <c r="AS6" s="397"/>
      <c r="AT6" s="397"/>
      <c r="AU6" s="397"/>
      <c r="AV6" s="35"/>
      <c r="AW6" s="291"/>
      <c r="AX6" s="291"/>
      <c r="AY6" s="291"/>
      <c r="AZ6" s="291"/>
      <c r="BA6" s="291"/>
      <c r="BB6" s="291"/>
      <c r="BC6" s="397"/>
      <c r="BD6" s="397"/>
      <c r="BE6" s="397"/>
      <c r="BF6" s="397"/>
      <c r="BG6" s="397"/>
      <c r="BH6" s="35"/>
      <c r="BI6" s="291"/>
      <c r="BJ6" s="291"/>
      <c r="BK6" s="291"/>
      <c r="BL6" s="291"/>
      <c r="BM6" s="291"/>
      <c r="BN6" s="291"/>
      <c r="BO6" s="397"/>
      <c r="BP6" s="397"/>
      <c r="BQ6" s="397"/>
      <c r="BR6" s="397"/>
      <c r="BS6" s="397"/>
      <c r="BT6" s="35"/>
      <c r="BU6" s="291"/>
      <c r="BV6" s="291"/>
      <c r="BW6" s="291"/>
      <c r="BX6" s="291"/>
      <c r="BY6" s="291"/>
      <c r="BZ6" s="291"/>
      <c r="CA6" s="397"/>
      <c r="CB6" s="397"/>
      <c r="CC6" s="397"/>
      <c r="CD6" s="397"/>
      <c r="CE6" s="397"/>
      <c r="CF6" s="35"/>
      <c r="CG6" s="291"/>
      <c r="CH6" s="291"/>
      <c r="CI6" s="291"/>
      <c r="CJ6" s="291"/>
      <c r="CK6" s="291"/>
      <c r="CL6" s="291"/>
      <c r="CM6" s="397"/>
      <c r="CN6" s="397"/>
      <c r="CO6" s="397"/>
      <c r="CP6" s="397"/>
      <c r="CQ6" s="397"/>
      <c r="CR6" s="35"/>
      <c r="CS6" s="291"/>
      <c r="CT6" s="291"/>
      <c r="CU6" s="291"/>
      <c r="CV6" s="291"/>
      <c r="CW6" s="291"/>
      <c r="CX6" s="291"/>
      <c r="CY6" s="397"/>
      <c r="CZ6" s="397"/>
      <c r="DA6" s="397"/>
      <c r="DB6" s="397"/>
      <c r="DC6" s="397"/>
      <c r="DD6" s="35"/>
      <c r="DE6" s="291"/>
      <c r="DF6" s="291"/>
      <c r="DG6" s="291"/>
      <c r="DH6" s="291"/>
      <c r="DI6" s="291"/>
      <c r="DJ6" s="291"/>
      <c r="DK6" s="397"/>
      <c r="DL6" s="397"/>
      <c r="DM6" s="397"/>
      <c r="DN6" s="397"/>
      <c r="DO6" s="397"/>
      <c r="DP6" s="35"/>
      <c r="DQ6" s="291"/>
      <c r="DR6" s="291"/>
      <c r="DS6" s="291"/>
      <c r="DT6" s="291"/>
      <c r="DU6" s="291"/>
      <c r="DV6" s="291"/>
      <c r="DW6" s="397"/>
      <c r="DX6" s="397"/>
      <c r="DY6" s="397"/>
      <c r="DZ6" s="397"/>
      <c r="EA6" s="397"/>
      <c r="EB6" s="35"/>
      <c r="EC6" s="291"/>
      <c r="ED6" s="291"/>
      <c r="EE6" s="291"/>
      <c r="EF6" s="291"/>
      <c r="EG6" s="291"/>
      <c r="EH6" s="291"/>
      <c r="EI6" s="397"/>
      <c r="EJ6" s="397"/>
      <c r="EK6" s="397"/>
      <c r="EL6" s="397"/>
      <c r="EM6" s="397"/>
      <c r="EN6" s="35"/>
      <c r="EO6" s="291"/>
      <c r="EP6" s="291"/>
      <c r="EQ6" s="291"/>
      <c r="ER6" s="291"/>
      <c r="ES6" s="291"/>
      <c r="ET6" s="291"/>
      <c r="EU6" s="397"/>
      <c r="EV6" s="397"/>
      <c r="EW6" s="397"/>
      <c r="EX6" s="397"/>
      <c r="EY6" s="397"/>
      <c r="EZ6" s="35"/>
      <c r="FA6" s="291"/>
      <c r="FB6" s="291"/>
      <c r="FC6" s="291"/>
      <c r="FD6" s="291"/>
      <c r="FE6" s="291"/>
      <c r="FF6" s="291"/>
      <c r="FG6" s="397"/>
      <c r="FH6" s="397"/>
      <c r="FI6" s="397"/>
      <c r="FJ6" s="397"/>
      <c r="FK6" s="397"/>
      <c r="FL6" s="35"/>
      <c r="FM6" s="291"/>
      <c r="FN6" s="291"/>
      <c r="FO6" s="291"/>
      <c r="FP6" s="291"/>
      <c r="FQ6" s="291"/>
      <c r="FR6" s="291"/>
      <c r="FS6" s="397"/>
      <c r="FT6" s="397"/>
      <c r="FU6" s="397"/>
      <c r="FV6" s="397"/>
      <c r="FW6" s="397"/>
      <c r="FX6" s="35"/>
      <c r="FY6" s="291"/>
      <c r="FZ6" s="291"/>
      <c r="GA6" s="291"/>
      <c r="GB6" s="291"/>
      <c r="GC6" s="291"/>
      <c r="GD6" s="291"/>
      <c r="GE6" s="397"/>
      <c r="GF6" s="397"/>
      <c r="GG6" s="397"/>
      <c r="GH6" s="397"/>
      <c r="GI6" s="397"/>
      <c r="GJ6" s="35"/>
      <c r="GK6" s="291"/>
      <c r="GL6" s="291"/>
      <c r="GM6" s="291"/>
      <c r="GN6" s="291"/>
      <c r="GO6" s="291"/>
      <c r="GP6" s="291"/>
      <c r="GQ6" s="397"/>
      <c r="GR6" s="397"/>
      <c r="GS6" s="397"/>
      <c r="GT6" s="397"/>
      <c r="GU6" s="397"/>
      <c r="GV6" s="35"/>
      <c r="GW6" s="291"/>
      <c r="GX6" s="291"/>
      <c r="GY6" s="291"/>
      <c r="GZ6" s="291"/>
      <c r="HA6" s="291"/>
      <c r="HB6" s="291"/>
      <c r="HC6" s="397"/>
      <c r="HD6" s="397"/>
      <c r="HE6" s="397"/>
      <c r="HF6" s="397"/>
      <c r="HG6" s="397"/>
      <c r="HH6" s="35"/>
      <c r="HI6" s="291"/>
      <c r="HJ6" s="291"/>
      <c r="HK6" s="291"/>
      <c r="HL6" s="291"/>
      <c r="HM6" s="291"/>
      <c r="HN6" s="291"/>
      <c r="HO6" s="397"/>
      <c r="HP6" s="397"/>
      <c r="HQ6" s="397"/>
      <c r="HR6" s="397"/>
      <c r="HS6" s="397"/>
      <c r="HT6" s="35"/>
      <c r="HU6" s="291"/>
      <c r="HV6" s="291"/>
      <c r="HW6" s="291"/>
      <c r="HX6" s="291"/>
      <c r="HY6" s="291"/>
      <c r="HZ6" s="291"/>
      <c r="IA6" s="397"/>
      <c r="IB6" s="397"/>
      <c r="IC6" s="397"/>
      <c r="ID6" s="397"/>
      <c r="IE6" s="397"/>
      <c r="IF6" s="35"/>
      <c r="IG6" s="291"/>
      <c r="IH6" s="291"/>
      <c r="II6" s="291"/>
    </row>
    <row r="7" spans="1:243" s="5" customFormat="1" ht="14.25">
      <c r="A7" s="391" t="s">
        <v>28</v>
      </c>
      <c r="B7" s="291">
        <v>-2</v>
      </c>
      <c r="C7" s="291">
        <v>-1.2</v>
      </c>
      <c r="D7" s="291">
        <v>0.2</v>
      </c>
      <c r="E7" s="291">
        <v>0.8</v>
      </c>
      <c r="F7" s="291">
        <v>1.2</v>
      </c>
      <c r="G7" s="397">
        <v>1</v>
      </c>
      <c r="H7" s="397">
        <v>0.7</v>
      </c>
      <c r="I7" s="397"/>
      <c r="J7" s="397"/>
      <c r="K7" s="397"/>
      <c r="L7" s="35"/>
      <c r="M7" s="291"/>
      <c r="N7" s="291"/>
      <c r="O7" s="291"/>
      <c r="P7" s="291"/>
      <c r="Q7" s="291"/>
      <c r="R7" s="291"/>
      <c r="S7" s="397"/>
      <c r="T7" s="397"/>
      <c r="U7" s="397"/>
      <c r="V7" s="397"/>
      <c r="W7" s="397"/>
      <c r="X7" s="35"/>
      <c r="Y7" s="291"/>
      <c r="Z7" s="291"/>
      <c r="AA7" s="291"/>
      <c r="AB7" s="291"/>
      <c r="AC7" s="291"/>
      <c r="AD7" s="291"/>
      <c r="AE7" s="397"/>
      <c r="AF7" s="397"/>
      <c r="AG7" s="397"/>
      <c r="AH7" s="397"/>
      <c r="AI7" s="397"/>
      <c r="AJ7" s="35"/>
      <c r="AK7" s="291"/>
      <c r="AL7" s="291"/>
      <c r="AM7" s="291"/>
      <c r="AN7" s="291"/>
      <c r="AO7" s="291"/>
      <c r="AP7" s="291"/>
      <c r="AQ7" s="397"/>
      <c r="AR7" s="397"/>
      <c r="AS7" s="397"/>
      <c r="AT7" s="397"/>
      <c r="AU7" s="397"/>
      <c r="AV7" s="35"/>
      <c r="AW7" s="291"/>
      <c r="AX7" s="291"/>
      <c r="AY7" s="291"/>
      <c r="AZ7" s="291"/>
      <c r="BA7" s="291"/>
      <c r="BB7" s="291"/>
      <c r="BC7" s="397"/>
      <c r="BD7" s="397"/>
      <c r="BE7" s="397"/>
      <c r="BF7" s="397"/>
      <c r="BG7" s="397"/>
      <c r="BH7" s="35"/>
      <c r="BI7" s="291"/>
      <c r="BJ7" s="291"/>
      <c r="BK7" s="291"/>
      <c r="BL7" s="291"/>
      <c r="BM7" s="291"/>
      <c r="BN7" s="291"/>
      <c r="BO7" s="397"/>
      <c r="BP7" s="397"/>
      <c r="BQ7" s="397"/>
      <c r="BR7" s="397"/>
      <c r="BS7" s="397"/>
      <c r="BT7" s="35"/>
      <c r="BU7" s="291"/>
      <c r="BV7" s="291"/>
      <c r="BW7" s="291"/>
      <c r="BX7" s="291"/>
      <c r="BY7" s="291"/>
      <c r="BZ7" s="291"/>
      <c r="CA7" s="397"/>
      <c r="CB7" s="397"/>
      <c r="CC7" s="397"/>
      <c r="CD7" s="397"/>
      <c r="CE7" s="397"/>
      <c r="CF7" s="35"/>
      <c r="CG7" s="291"/>
      <c r="CH7" s="291"/>
      <c r="CI7" s="291"/>
      <c r="CJ7" s="291"/>
      <c r="CK7" s="291"/>
      <c r="CL7" s="291"/>
      <c r="CM7" s="397"/>
      <c r="CN7" s="397"/>
      <c r="CO7" s="397"/>
      <c r="CP7" s="397"/>
      <c r="CQ7" s="397"/>
      <c r="CR7" s="35"/>
      <c r="CS7" s="291"/>
      <c r="CT7" s="291"/>
      <c r="CU7" s="291"/>
      <c r="CV7" s="291"/>
      <c r="CW7" s="291"/>
      <c r="CX7" s="291"/>
      <c r="CY7" s="397"/>
      <c r="CZ7" s="397"/>
      <c r="DA7" s="397"/>
      <c r="DB7" s="397"/>
      <c r="DC7" s="397"/>
      <c r="DD7" s="35"/>
      <c r="DE7" s="291"/>
      <c r="DF7" s="291"/>
      <c r="DG7" s="291"/>
      <c r="DH7" s="291"/>
      <c r="DI7" s="291"/>
      <c r="DJ7" s="291"/>
      <c r="DK7" s="397"/>
      <c r="DL7" s="397"/>
      <c r="DM7" s="397"/>
      <c r="DN7" s="397"/>
      <c r="DO7" s="397"/>
      <c r="DP7" s="35"/>
      <c r="DQ7" s="291"/>
      <c r="DR7" s="291"/>
      <c r="DS7" s="291"/>
      <c r="DT7" s="291"/>
      <c r="DU7" s="291"/>
      <c r="DV7" s="291"/>
      <c r="DW7" s="397"/>
      <c r="DX7" s="397"/>
      <c r="DY7" s="397"/>
      <c r="DZ7" s="397"/>
      <c r="EA7" s="397"/>
      <c r="EB7" s="35"/>
      <c r="EC7" s="291"/>
      <c r="ED7" s="291"/>
      <c r="EE7" s="291"/>
      <c r="EF7" s="291"/>
      <c r="EG7" s="291"/>
      <c r="EH7" s="291"/>
      <c r="EI7" s="397"/>
      <c r="EJ7" s="397"/>
      <c r="EK7" s="397"/>
      <c r="EL7" s="397"/>
      <c r="EM7" s="397"/>
      <c r="EN7" s="35"/>
      <c r="EO7" s="291"/>
      <c r="EP7" s="291"/>
      <c r="EQ7" s="291"/>
      <c r="ER7" s="291"/>
      <c r="ES7" s="291"/>
      <c r="ET7" s="291"/>
      <c r="EU7" s="397"/>
      <c r="EV7" s="397"/>
      <c r="EW7" s="397"/>
      <c r="EX7" s="397"/>
      <c r="EY7" s="397"/>
      <c r="EZ7" s="35"/>
      <c r="FA7" s="291"/>
      <c r="FB7" s="291"/>
      <c r="FC7" s="291"/>
      <c r="FD7" s="291"/>
      <c r="FE7" s="291"/>
      <c r="FF7" s="291"/>
      <c r="FG7" s="397"/>
      <c r="FH7" s="397"/>
      <c r="FI7" s="397"/>
      <c r="FJ7" s="397"/>
      <c r="FK7" s="397"/>
      <c r="FL7" s="35"/>
      <c r="FM7" s="291"/>
      <c r="FN7" s="291"/>
      <c r="FO7" s="291"/>
      <c r="FP7" s="291"/>
      <c r="FQ7" s="291"/>
      <c r="FR7" s="291"/>
      <c r="FS7" s="397"/>
      <c r="FT7" s="397"/>
      <c r="FU7" s="397"/>
      <c r="FV7" s="397"/>
      <c r="FW7" s="397"/>
      <c r="FX7" s="35"/>
      <c r="FY7" s="291"/>
      <c r="FZ7" s="291"/>
      <c r="GA7" s="291"/>
      <c r="GB7" s="291"/>
      <c r="GC7" s="291"/>
      <c r="GD7" s="291"/>
      <c r="GE7" s="397"/>
      <c r="GF7" s="397"/>
      <c r="GG7" s="397"/>
      <c r="GH7" s="397"/>
      <c r="GI7" s="397"/>
      <c r="GJ7" s="35"/>
      <c r="GK7" s="291"/>
      <c r="GL7" s="291"/>
      <c r="GM7" s="291"/>
      <c r="GN7" s="291"/>
      <c r="GO7" s="291"/>
      <c r="GP7" s="291"/>
      <c r="GQ7" s="397"/>
      <c r="GR7" s="397"/>
      <c r="GS7" s="397"/>
      <c r="GT7" s="397"/>
      <c r="GU7" s="397"/>
      <c r="GV7" s="35"/>
      <c r="GW7" s="291"/>
      <c r="GX7" s="291"/>
      <c r="GY7" s="291"/>
      <c r="GZ7" s="291"/>
      <c r="HA7" s="291"/>
      <c r="HB7" s="291"/>
      <c r="HC7" s="397"/>
      <c r="HD7" s="397"/>
      <c r="HE7" s="397"/>
      <c r="HF7" s="397"/>
      <c r="HG7" s="397"/>
      <c r="HH7" s="35"/>
      <c r="HI7" s="291"/>
      <c r="HJ7" s="291"/>
      <c r="HK7" s="291"/>
      <c r="HL7" s="291"/>
      <c r="HM7" s="291"/>
      <c r="HN7" s="291"/>
      <c r="HO7" s="397"/>
      <c r="HP7" s="397"/>
      <c r="HQ7" s="397"/>
      <c r="HR7" s="397"/>
      <c r="HS7" s="397"/>
      <c r="HT7" s="35"/>
      <c r="HU7" s="291"/>
      <c r="HV7" s="291"/>
      <c r="HW7" s="291"/>
      <c r="HX7" s="291"/>
      <c r="HY7" s="291"/>
      <c r="HZ7" s="291"/>
      <c r="IA7" s="397"/>
      <c r="IB7" s="397"/>
      <c r="IC7" s="397"/>
      <c r="ID7" s="397"/>
      <c r="IE7" s="397"/>
      <c r="IF7" s="35"/>
      <c r="IG7" s="291"/>
      <c r="IH7" s="291"/>
      <c r="II7" s="291"/>
    </row>
    <row r="8" spans="1:243" s="5" customFormat="1" ht="14.25">
      <c r="A8" s="391" t="s">
        <v>13</v>
      </c>
      <c r="B8" s="449">
        <v>0.3</v>
      </c>
      <c r="C8" s="449">
        <v>0</v>
      </c>
      <c r="D8" s="397">
        <v>-0.2</v>
      </c>
      <c r="E8" s="291">
        <v>-0.8</v>
      </c>
      <c r="F8" s="291">
        <v>0.2</v>
      </c>
      <c r="G8" s="397">
        <v>-0.4</v>
      </c>
      <c r="H8" s="397">
        <v>-0.7</v>
      </c>
      <c r="I8" s="397"/>
      <c r="J8" s="397"/>
      <c r="K8" s="397"/>
      <c r="L8" s="35"/>
      <c r="M8" s="291"/>
      <c r="N8" s="291"/>
      <c r="O8" s="291"/>
      <c r="P8" s="397"/>
      <c r="Q8" s="291"/>
      <c r="R8" s="291"/>
      <c r="S8" s="397"/>
      <c r="T8" s="397"/>
      <c r="U8" s="397"/>
      <c r="V8" s="397"/>
      <c r="W8" s="397"/>
      <c r="X8" s="35"/>
      <c r="Y8" s="291"/>
      <c r="Z8" s="291"/>
      <c r="AA8" s="291"/>
      <c r="AB8" s="397"/>
      <c r="AC8" s="291"/>
      <c r="AD8" s="291"/>
      <c r="AE8" s="397"/>
      <c r="AF8" s="397"/>
      <c r="AG8" s="397"/>
      <c r="AH8" s="397"/>
      <c r="AI8" s="397"/>
      <c r="AJ8" s="35"/>
      <c r="AK8" s="291"/>
      <c r="AL8" s="291"/>
      <c r="AM8" s="291"/>
      <c r="AN8" s="397"/>
      <c r="AO8" s="291"/>
      <c r="AP8" s="291"/>
      <c r="AQ8" s="397"/>
      <c r="AR8" s="397"/>
      <c r="AS8" s="397"/>
      <c r="AT8" s="397"/>
      <c r="AU8" s="397"/>
      <c r="AV8" s="35"/>
      <c r="AW8" s="291"/>
      <c r="AX8" s="291"/>
      <c r="AY8" s="291"/>
      <c r="AZ8" s="397"/>
      <c r="BA8" s="291"/>
      <c r="BB8" s="291"/>
      <c r="BC8" s="397"/>
      <c r="BD8" s="397"/>
      <c r="BE8" s="397"/>
      <c r="BF8" s="397"/>
      <c r="BG8" s="397"/>
      <c r="BH8" s="35"/>
      <c r="BI8" s="291"/>
      <c r="BJ8" s="291"/>
      <c r="BK8" s="291"/>
      <c r="BL8" s="397"/>
      <c r="BM8" s="291"/>
      <c r="BN8" s="291"/>
      <c r="BO8" s="397"/>
      <c r="BP8" s="397"/>
      <c r="BQ8" s="397"/>
      <c r="BR8" s="397"/>
      <c r="BS8" s="397"/>
      <c r="BT8" s="35"/>
      <c r="BU8" s="291"/>
      <c r="BV8" s="291"/>
      <c r="BW8" s="291"/>
      <c r="BX8" s="397"/>
      <c r="BY8" s="291"/>
      <c r="BZ8" s="291"/>
      <c r="CA8" s="397"/>
      <c r="CB8" s="397"/>
      <c r="CC8" s="397"/>
      <c r="CD8" s="397"/>
      <c r="CE8" s="397"/>
      <c r="CF8" s="35"/>
      <c r="CG8" s="291"/>
      <c r="CH8" s="291"/>
      <c r="CI8" s="291"/>
      <c r="CJ8" s="397"/>
      <c r="CK8" s="291"/>
      <c r="CL8" s="291"/>
      <c r="CM8" s="397"/>
      <c r="CN8" s="397"/>
      <c r="CO8" s="397"/>
      <c r="CP8" s="397"/>
      <c r="CQ8" s="397"/>
      <c r="CR8" s="35"/>
      <c r="CS8" s="291"/>
      <c r="CT8" s="291"/>
      <c r="CU8" s="291"/>
      <c r="CV8" s="397"/>
      <c r="CW8" s="291"/>
      <c r="CX8" s="291"/>
      <c r="CY8" s="397"/>
      <c r="CZ8" s="397"/>
      <c r="DA8" s="397"/>
      <c r="DB8" s="397"/>
      <c r="DC8" s="397"/>
      <c r="DD8" s="35"/>
      <c r="DE8" s="291"/>
      <c r="DF8" s="291"/>
      <c r="DG8" s="291"/>
      <c r="DH8" s="397"/>
      <c r="DI8" s="291"/>
      <c r="DJ8" s="291"/>
      <c r="DK8" s="397"/>
      <c r="DL8" s="397"/>
      <c r="DM8" s="397"/>
      <c r="DN8" s="397"/>
      <c r="DO8" s="397"/>
      <c r="DP8" s="35"/>
      <c r="DQ8" s="291"/>
      <c r="DR8" s="291"/>
      <c r="DS8" s="291"/>
      <c r="DT8" s="397"/>
      <c r="DU8" s="291"/>
      <c r="DV8" s="291"/>
      <c r="DW8" s="397"/>
      <c r="DX8" s="397"/>
      <c r="DY8" s="397"/>
      <c r="DZ8" s="397"/>
      <c r="EA8" s="397"/>
      <c r="EB8" s="35"/>
      <c r="EC8" s="291"/>
      <c r="ED8" s="291"/>
      <c r="EE8" s="291"/>
      <c r="EF8" s="397"/>
      <c r="EG8" s="291"/>
      <c r="EH8" s="291"/>
      <c r="EI8" s="397"/>
      <c r="EJ8" s="397"/>
      <c r="EK8" s="397"/>
      <c r="EL8" s="397"/>
      <c r="EM8" s="397"/>
      <c r="EN8" s="35"/>
      <c r="EO8" s="291"/>
      <c r="EP8" s="291"/>
      <c r="EQ8" s="291"/>
      <c r="ER8" s="397"/>
      <c r="ES8" s="291"/>
      <c r="ET8" s="291"/>
      <c r="EU8" s="397"/>
      <c r="EV8" s="397"/>
      <c r="EW8" s="397"/>
      <c r="EX8" s="397"/>
      <c r="EY8" s="397"/>
      <c r="EZ8" s="35"/>
      <c r="FA8" s="291"/>
      <c r="FB8" s="291"/>
      <c r="FC8" s="291"/>
      <c r="FD8" s="397"/>
      <c r="FE8" s="291"/>
      <c r="FF8" s="291"/>
      <c r="FG8" s="397"/>
      <c r="FH8" s="397"/>
      <c r="FI8" s="397"/>
      <c r="FJ8" s="397"/>
      <c r="FK8" s="397"/>
      <c r="FL8" s="35"/>
      <c r="FM8" s="291"/>
      <c r="FN8" s="291"/>
      <c r="FO8" s="291"/>
      <c r="FP8" s="397"/>
      <c r="FQ8" s="291"/>
      <c r="FR8" s="291"/>
      <c r="FS8" s="397"/>
      <c r="FT8" s="397"/>
      <c r="FU8" s="397"/>
      <c r="FV8" s="397"/>
      <c r="FW8" s="397"/>
      <c r="FX8" s="35"/>
      <c r="FY8" s="291"/>
      <c r="FZ8" s="291"/>
      <c r="GA8" s="291"/>
      <c r="GB8" s="397"/>
      <c r="GC8" s="291"/>
      <c r="GD8" s="291"/>
      <c r="GE8" s="397"/>
      <c r="GF8" s="397"/>
      <c r="GG8" s="397"/>
      <c r="GH8" s="397"/>
      <c r="GI8" s="397"/>
      <c r="GJ8" s="35"/>
      <c r="GK8" s="291"/>
      <c r="GL8" s="291"/>
      <c r="GM8" s="291"/>
      <c r="GN8" s="397"/>
      <c r="GO8" s="291"/>
      <c r="GP8" s="291"/>
      <c r="GQ8" s="397"/>
      <c r="GR8" s="397"/>
      <c r="GS8" s="397"/>
      <c r="GT8" s="397"/>
      <c r="GU8" s="397"/>
      <c r="GV8" s="35"/>
      <c r="GW8" s="291"/>
      <c r="GX8" s="291"/>
      <c r="GY8" s="291"/>
      <c r="GZ8" s="397"/>
      <c r="HA8" s="291"/>
      <c r="HB8" s="291"/>
      <c r="HC8" s="397"/>
      <c r="HD8" s="397"/>
      <c r="HE8" s="397"/>
      <c r="HF8" s="397"/>
      <c r="HG8" s="397"/>
      <c r="HH8" s="35"/>
      <c r="HI8" s="291"/>
      <c r="HJ8" s="291"/>
      <c r="HK8" s="291"/>
      <c r="HL8" s="397"/>
      <c r="HM8" s="291"/>
      <c r="HN8" s="291"/>
      <c r="HO8" s="397"/>
      <c r="HP8" s="397"/>
      <c r="HQ8" s="397"/>
      <c r="HR8" s="397"/>
      <c r="HS8" s="397"/>
      <c r="HT8" s="35"/>
      <c r="HU8" s="291"/>
      <c r="HV8" s="291"/>
      <c r="HW8" s="291"/>
      <c r="HX8" s="397"/>
      <c r="HY8" s="291"/>
      <c r="HZ8" s="291"/>
      <c r="IA8" s="397"/>
      <c r="IB8" s="397"/>
      <c r="IC8" s="397"/>
      <c r="ID8" s="397"/>
      <c r="IE8" s="397"/>
      <c r="IF8" s="35"/>
      <c r="IG8" s="291"/>
      <c r="IH8" s="291"/>
      <c r="II8" s="291"/>
    </row>
    <row r="9" spans="1:243" s="5" customFormat="1" ht="14.25">
      <c r="A9" s="407" t="s">
        <v>27</v>
      </c>
      <c r="B9" s="449">
        <v>-8.9</v>
      </c>
      <c r="C9" s="449">
        <v>-8.1</v>
      </c>
      <c r="D9" s="291">
        <v>-7.2</v>
      </c>
      <c r="E9" s="291">
        <v>-4.9000000000000004</v>
      </c>
      <c r="F9" s="291">
        <v>-4.0999999999999996</v>
      </c>
      <c r="G9" s="291">
        <v>-3.6</v>
      </c>
      <c r="H9" s="291">
        <v>-3.3</v>
      </c>
      <c r="I9" s="291"/>
      <c r="J9" s="291"/>
      <c r="K9" s="291"/>
      <c r="L9" s="36"/>
      <c r="M9" s="291"/>
      <c r="N9" s="291"/>
      <c r="O9" s="291"/>
      <c r="P9" s="291"/>
      <c r="Q9" s="291"/>
      <c r="R9" s="291"/>
      <c r="S9" s="291"/>
      <c r="T9" s="291"/>
      <c r="U9" s="291"/>
      <c r="V9" s="291"/>
      <c r="W9" s="291"/>
      <c r="X9" s="36"/>
      <c r="Y9" s="291"/>
      <c r="Z9" s="291"/>
      <c r="AA9" s="291"/>
      <c r="AB9" s="291"/>
      <c r="AC9" s="291"/>
      <c r="AD9" s="291"/>
      <c r="AE9" s="291"/>
      <c r="AF9" s="291"/>
      <c r="AG9" s="291"/>
      <c r="AH9" s="291"/>
      <c r="AI9" s="291"/>
      <c r="AJ9" s="36"/>
      <c r="AK9" s="291"/>
      <c r="AL9" s="291"/>
      <c r="AM9" s="291"/>
      <c r="AN9" s="291"/>
      <c r="AO9" s="291"/>
      <c r="AP9" s="291"/>
      <c r="AQ9" s="291"/>
      <c r="AR9" s="291"/>
      <c r="AS9" s="291"/>
      <c r="AT9" s="291"/>
      <c r="AU9" s="291"/>
      <c r="AV9" s="36"/>
      <c r="AW9" s="291"/>
      <c r="AX9" s="291"/>
      <c r="AY9" s="291"/>
      <c r="AZ9" s="291"/>
      <c r="BA9" s="291"/>
      <c r="BB9" s="291"/>
      <c r="BC9" s="291"/>
      <c r="BD9" s="291"/>
      <c r="BE9" s="291"/>
      <c r="BF9" s="291"/>
      <c r="BG9" s="291"/>
      <c r="BH9" s="36"/>
      <c r="BI9" s="291"/>
      <c r="BJ9" s="291"/>
      <c r="BK9" s="291"/>
      <c r="BL9" s="291"/>
      <c r="BM9" s="291"/>
      <c r="BN9" s="291"/>
      <c r="BO9" s="291"/>
      <c r="BP9" s="291"/>
      <c r="BQ9" s="291"/>
      <c r="BR9" s="291"/>
      <c r="BS9" s="291"/>
      <c r="BT9" s="36"/>
      <c r="BU9" s="291"/>
      <c r="BV9" s="291"/>
      <c r="BW9" s="291"/>
      <c r="BX9" s="291"/>
      <c r="BY9" s="291"/>
      <c r="BZ9" s="291"/>
      <c r="CA9" s="291"/>
      <c r="CB9" s="291"/>
      <c r="CC9" s="291"/>
      <c r="CD9" s="291"/>
      <c r="CE9" s="291"/>
      <c r="CF9" s="36"/>
      <c r="CG9" s="291"/>
      <c r="CH9" s="291"/>
      <c r="CI9" s="291"/>
      <c r="CJ9" s="291"/>
      <c r="CK9" s="291"/>
      <c r="CL9" s="291"/>
      <c r="CM9" s="291"/>
      <c r="CN9" s="291"/>
      <c r="CO9" s="291"/>
      <c r="CP9" s="291"/>
      <c r="CQ9" s="291"/>
      <c r="CR9" s="36"/>
      <c r="CS9" s="291"/>
      <c r="CT9" s="291"/>
      <c r="CU9" s="291"/>
      <c r="CV9" s="291"/>
      <c r="CW9" s="291"/>
      <c r="CX9" s="291"/>
      <c r="CY9" s="291"/>
      <c r="CZ9" s="291"/>
      <c r="DA9" s="291"/>
      <c r="DB9" s="291"/>
      <c r="DC9" s="291"/>
      <c r="DD9" s="36"/>
      <c r="DE9" s="291"/>
      <c r="DF9" s="291"/>
      <c r="DG9" s="291"/>
      <c r="DH9" s="291"/>
      <c r="DI9" s="291"/>
      <c r="DJ9" s="291"/>
      <c r="DK9" s="291"/>
      <c r="DL9" s="291"/>
      <c r="DM9" s="291"/>
      <c r="DN9" s="291"/>
      <c r="DO9" s="291"/>
      <c r="DP9" s="36"/>
      <c r="DQ9" s="291"/>
      <c r="DR9" s="291"/>
      <c r="DS9" s="291"/>
      <c r="DT9" s="291"/>
      <c r="DU9" s="291"/>
      <c r="DV9" s="291"/>
      <c r="DW9" s="291"/>
      <c r="DX9" s="291"/>
      <c r="DY9" s="291"/>
      <c r="DZ9" s="291"/>
      <c r="EA9" s="291"/>
      <c r="EB9" s="36"/>
      <c r="EC9" s="291"/>
      <c r="ED9" s="291"/>
      <c r="EE9" s="291"/>
      <c r="EF9" s="291"/>
      <c r="EG9" s="291"/>
      <c r="EH9" s="291"/>
      <c r="EI9" s="291"/>
      <c r="EJ9" s="291"/>
      <c r="EK9" s="291"/>
      <c r="EL9" s="291"/>
      <c r="EM9" s="291"/>
      <c r="EN9" s="36"/>
      <c r="EO9" s="291"/>
      <c r="EP9" s="291"/>
      <c r="EQ9" s="291"/>
      <c r="ER9" s="291"/>
      <c r="ES9" s="291"/>
      <c r="ET9" s="291"/>
      <c r="EU9" s="291"/>
      <c r="EV9" s="291"/>
      <c r="EW9" s="291"/>
      <c r="EX9" s="291"/>
      <c r="EY9" s="291"/>
      <c r="EZ9" s="36"/>
      <c r="FA9" s="291"/>
      <c r="FB9" s="291"/>
      <c r="FC9" s="291"/>
      <c r="FD9" s="291"/>
      <c r="FE9" s="291"/>
      <c r="FF9" s="291"/>
      <c r="FG9" s="291"/>
      <c r="FH9" s="291"/>
      <c r="FI9" s="291"/>
      <c r="FJ9" s="291"/>
      <c r="FK9" s="291"/>
      <c r="FL9" s="36"/>
      <c r="FM9" s="291"/>
      <c r="FN9" s="291"/>
      <c r="FO9" s="291"/>
      <c r="FP9" s="291"/>
      <c r="FQ9" s="291"/>
      <c r="FR9" s="291"/>
      <c r="FS9" s="291"/>
      <c r="FT9" s="291"/>
      <c r="FU9" s="291"/>
      <c r="FV9" s="291"/>
      <c r="FW9" s="291"/>
      <c r="FX9" s="36"/>
      <c r="FY9" s="291"/>
      <c r="FZ9" s="291"/>
      <c r="GA9" s="291"/>
      <c r="GB9" s="291"/>
      <c r="GC9" s="291"/>
      <c r="GD9" s="291"/>
      <c r="GE9" s="291"/>
      <c r="GF9" s="291"/>
      <c r="GG9" s="291"/>
      <c r="GH9" s="291"/>
      <c r="GI9" s="291"/>
      <c r="GJ9" s="36"/>
      <c r="GK9" s="291"/>
      <c r="GL9" s="291"/>
      <c r="GM9" s="291"/>
      <c r="GN9" s="291"/>
      <c r="GO9" s="291"/>
      <c r="GP9" s="291"/>
      <c r="GQ9" s="291"/>
      <c r="GR9" s="291"/>
      <c r="GS9" s="291"/>
      <c r="GT9" s="291"/>
      <c r="GU9" s="291"/>
      <c r="GV9" s="36"/>
      <c r="GW9" s="291"/>
      <c r="GX9" s="291"/>
      <c r="GY9" s="291"/>
      <c r="GZ9" s="291"/>
      <c r="HA9" s="291"/>
      <c r="HB9" s="291"/>
      <c r="HC9" s="291"/>
      <c r="HD9" s="291"/>
      <c r="HE9" s="291"/>
      <c r="HF9" s="291"/>
      <c r="HG9" s="291"/>
      <c r="HH9" s="36"/>
      <c r="HI9" s="291"/>
      <c r="HJ9" s="291"/>
      <c r="HK9" s="291"/>
      <c r="HL9" s="291"/>
      <c r="HM9" s="291"/>
      <c r="HN9" s="291"/>
      <c r="HO9" s="291"/>
      <c r="HP9" s="291"/>
      <c r="HQ9" s="291"/>
      <c r="HR9" s="291"/>
      <c r="HS9" s="291"/>
      <c r="HT9" s="36"/>
      <c r="HU9" s="291"/>
      <c r="HV9" s="291"/>
      <c r="HW9" s="291"/>
      <c r="HX9" s="291"/>
      <c r="HY9" s="291"/>
      <c r="HZ9" s="291"/>
      <c r="IA9" s="291"/>
      <c r="IB9" s="291"/>
      <c r="IC9" s="291"/>
      <c r="ID9" s="291"/>
      <c r="IE9" s="291"/>
      <c r="IF9" s="36"/>
      <c r="IG9" s="291"/>
      <c r="IH9" s="291"/>
      <c r="II9" s="291"/>
    </row>
    <row r="10" spans="1:243" s="5" customFormat="1" ht="14.25">
      <c r="A10" s="391" t="s">
        <v>26</v>
      </c>
      <c r="B10" s="449">
        <v>-9.8000000000000007</v>
      </c>
      <c r="C10" s="449">
        <v>-6.3</v>
      </c>
      <c r="D10" s="291">
        <v>-0.6</v>
      </c>
      <c r="E10" s="291">
        <v>2.2000000000000002</v>
      </c>
      <c r="F10" s="291">
        <v>0.4</v>
      </c>
      <c r="G10" s="291">
        <v>-1.4</v>
      </c>
      <c r="H10" s="291">
        <v>-2.2999999999999998</v>
      </c>
      <c r="I10" s="291"/>
      <c r="J10" s="291"/>
      <c r="K10" s="291"/>
      <c r="L10" s="35"/>
      <c r="M10" s="291"/>
      <c r="N10" s="291"/>
      <c r="O10" s="291"/>
      <c r="P10" s="291"/>
      <c r="Q10" s="291"/>
      <c r="R10" s="291"/>
      <c r="S10" s="291"/>
      <c r="T10" s="291"/>
      <c r="U10" s="291"/>
      <c r="V10" s="291"/>
      <c r="W10" s="291"/>
      <c r="X10" s="35"/>
      <c r="Y10" s="291"/>
      <c r="Z10" s="291"/>
      <c r="AA10" s="291"/>
      <c r="AB10" s="291"/>
      <c r="AC10" s="291"/>
      <c r="AD10" s="291"/>
      <c r="AE10" s="291"/>
      <c r="AF10" s="291"/>
      <c r="AG10" s="291"/>
      <c r="AH10" s="291"/>
      <c r="AI10" s="291"/>
      <c r="AJ10" s="35"/>
      <c r="AK10" s="291"/>
      <c r="AL10" s="291"/>
      <c r="AM10" s="291"/>
      <c r="AN10" s="291"/>
      <c r="AO10" s="291"/>
      <c r="AP10" s="291"/>
      <c r="AQ10" s="291"/>
      <c r="AR10" s="291"/>
      <c r="AS10" s="291"/>
      <c r="AT10" s="291"/>
      <c r="AU10" s="291"/>
      <c r="AV10" s="35"/>
      <c r="AW10" s="291"/>
      <c r="AX10" s="291"/>
      <c r="AY10" s="291"/>
      <c r="AZ10" s="291"/>
      <c r="BA10" s="291"/>
      <c r="BB10" s="291"/>
      <c r="BC10" s="291"/>
      <c r="BD10" s="291"/>
      <c r="BE10" s="291"/>
      <c r="BF10" s="291"/>
      <c r="BG10" s="291"/>
      <c r="BH10" s="35"/>
      <c r="BI10" s="291"/>
      <c r="BJ10" s="291"/>
      <c r="BK10" s="291"/>
      <c r="BL10" s="291"/>
      <c r="BM10" s="291"/>
      <c r="BN10" s="291"/>
      <c r="BO10" s="291"/>
      <c r="BP10" s="291"/>
      <c r="BQ10" s="291"/>
      <c r="BR10" s="291"/>
      <c r="BS10" s="291"/>
      <c r="BT10" s="35"/>
      <c r="BU10" s="291"/>
      <c r="BV10" s="291"/>
      <c r="BW10" s="291"/>
      <c r="BX10" s="291"/>
      <c r="BY10" s="291"/>
      <c r="BZ10" s="291"/>
      <c r="CA10" s="291"/>
      <c r="CB10" s="291"/>
      <c r="CC10" s="291"/>
      <c r="CD10" s="291"/>
      <c r="CE10" s="291"/>
      <c r="CF10" s="35"/>
      <c r="CG10" s="291"/>
      <c r="CH10" s="291"/>
      <c r="CI10" s="291"/>
      <c r="CJ10" s="291"/>
      <c r="CK10" s="291"/>
      <c r="CL10" s="291"/>
      <c r="CM10" s="291"/>
      <c r="CN10" s="291"/>
      <c r="CO10" s="291"/>
      <c r="CP10" s="291"/>
      <c r="CQ10" s="291"/>
      <c r="CR10" s="35"/>
      <c r="CS10" s="291"/>
      <c r="CT10" s="291"/>
      <c r="CU10" s="291"/>
      <c r="CV10" s="291"/>
      <c r="CW10" s="291"/>
      <c r="CX10" s="291"/>
      <c r="CY10" s="291"/>
      <c r="CZ10" s="291"/>
      <c r="DA10" s="291"/>
      <c r="DB10" s="291"/>
      <c r="DC10" s="291"/>
      <c r="DD10" s="35"/>
      <c r="DE10" s="291"/>
      <c r="DF10" s="291"/>
      <c r="DG10" s="291"/>
      <c r="DH10" s="291"/>
      <c r="DI10" s="291"/>
      <c r="DJ10" s="291"/>
      <c r="DK10" s="291"/>
      <c r="DL10" s="291"/>
      <c r="DM10" s="291"/>
      <c r="DN10" s="291"/>
      <c r="DO10" s="291"/>
      <c r="DP10" s="35"/>
      <c r="DQ10" s="291"/>
      <c r="DR10" s="291"/>
      <c r="DS10" s="291"/>
      <c r="DT10" s="291"/>
      <c r="DU10" s="291"/>
      <c r="DV10" s="291"/>
      <c r="DW10" s="291"/>
      <c r="DX10" s="291"/>
      <c r="DY10" s="291"/>
      <c r="DZ10" s="291"/>
      <c r="EA10" s="291"/>
      <c r="EB10" s="35"/>
      <c r="EC10" s="291"/>
      <c r="ED10" s="291"/>
      <c r="EE10" s="291"/>
      <c r="EF10" s="291"/>
      <c r="EG10" s="291"/>
      <c r="EH10" s="291"/>
      <c r="EI10" s="291"/>
      <c r="EJ10" s="291"/>
      <c r="EK10" s="291"/>
      <c r="EL10" s="291"/>
      <c r="EM10" s="291"/>
      <c r="EN10" s="35"/>
      <c r="EO10" s="291"/>
      <c r="EP10" s="291"/>
      <c r="EQ10" s="291"/>
      <c r="ER10" s="291"/>
      <c r="ES10" s="291"/>
      <c r="ET10" s="291"/>
      <c r="EU10" s="291"/>
      <c r="EV10" s="291"/>
      <c r="EW10" s="291"/>
      <c r="EX10" s="291"/>
      <c r="EY10" s="291"/>
      <c r="EZ10" s="35"/>
      <c r="FA10" s="291"/>
      <c r="FB10" s="291"/>
      <c r="FC10" s="291"/>
      <c r="FD10" s="291"/>
      <c r="FE10" s="291"/>
      <c r="FF10" s="291"/>
      <c r="FG10" s="291"/>
      <c r="FH10" s="291"/>
      <c r="FI10" s="291"/>
      <c r="FJ10" s="291"/>
      <c r="FK10" s="291"/>
      <c r="FL10" s="35"/>
      <c r="FM10" s="291"/>
      <c r="FN10" s="291"/>
      <c r="FO10" s="291"/>
      <c r="FP10" s="291"/>
      <c r="FQ10" s="291"/>
      <c r="FR10" s="291"/>
      <c r="FS10" s="291"/>
      <c r="FT10" s="291"/>
      <c r="FU10" s="291"/>
      <c r="FV10" s="291"/>
      <c r="FW10" s="291"/>
      <c r="FX10" s="35"/>
      <c r="FY10" s="291"/>
      <c r="FZ10" s="291"/>
      <c r="GA10" s="291"/>
      <c r="GB10" s="291"/>
      <c r="GC10" s="291"/>
      <c r="GD10" s="291"/>
      <c r="GE10" s="291"/>
      <c r="GF10" s="291"/>
      <c r="GG10" s="291"/>
      <c r="GH10" s="291"/>
      <c r="GI10" s="291"/>
      <c r="GJ10" s="35"/>
      <c r="GK10" s="291"/>
      <c r="GL10" s="291"/>
      <c r="GM10" s="291"/>
      <c r="GN10" s="291"/>
      <c r="GO10" s="291"/>
      <c r="GP10" s="291"/>
      <c r="GQ10" s="291"/>
      <c r="GR10" s="291"/>
      <c r="GS10" s="291"/>
      <c r="GT10" s="291"/>
      <c r="GU10" s="291"/>
      <c r="GV10" s="35"/>
      <c r="GW10" s="291"/>
      <c r="GX10" s="291"/>
      <c r="GY10" s="291"/>
      <c r="GZ10" s="291"/>
      <c r="HA10" s="291"/>
      <c r="HB10" s="291"/>
      <c r="HC10" s="291"/>
      <c r="HD10" s="291"/>
      <c r="HE10" s="291"/>
      <c r="HF10" s="291"/>
      <c r="HG10" s="291"/>
      <c r="HH10" s="35"/>
      <c r="HI10" s="291"/>
      <c r="HJ10" s="291"/>
      <c r="HK10" s="291"/>
      <c r="HL10" s="291"/>
      <c r="HM10" s="291"/>
      <c r="HN10" s="291"/>
      <c r="HO10" s="291"/>
      <c r="HP10" s="291"/>
      <c r="HQ10" s="291"/>
      <c r="HR10" s="291"/>
      <c r="HS10" s="291"/>
      <c r="HT10" s="35"/>
      <c r="HU10" s="291"/>
      <c r="HV10" s="291"/>
      <c r="HW10" s="291"/>
      <c r="HX10" s="291"/>
      <c r="HY10" s="291"/>
      <c r="HZ10" s="291"/>
      <c r="IA10" s="291"/>
      <c r="IB10" s="291"/>
      <c r="IC10" s="291"/>
      <c r="ID10" s="291"/>
      <c r="IE10" s="291"/>
      <c r="IF10" s="35"/>
      <c r="IG10" s="291"/>
      <c r="IH10" s="291"/>
      <c r="II10" s="291"/>
    </row>
    <row r="11" spans="1:243" s="5" customFormat="1" ht="14.25">
      <c r="A11" s="391" t="s">
        <v>25</v>
      </c>
      <c r="B11" s="449">
        <v>-6.9</v>
      </c>
      <c r="C11" s="449">
        <v>-6.1</v>
      </c>
      <c r="D11" s="291">
        <v>-3.4</v>
      </c>
      <c r="E11" s="291">
        <v>-2.1</v>
      </c>
      <c r="F11" s="291">
        <v>-2</v>
      </c>
      <c r="G11" s="397">
        <v>-2.4</v>
      </c>
      <c r="H11" s="397">
        <v>-2.6</v>
      </c>
      <c r="I11" s="397"/>
      <c r="J11" s="397"/>
      <c r="K11" s="397"/>
      <c r="L11" s="35"/>
      <c r="M11" s="291"/>
      <c r="N11" s="291"/>
      <c r="O11" s="291"/>
      <c r="P11" s="291"/>
      <c r="Q11" s="291"/>
      <c r="R11" s="291"/>
      <c r="S11" s="397"/>
      <c r="T11" s="397"/>
      <c r="U11" s="397"/>
      <c r="V11" s="397"/>
      <c r="W11" s="397"/>
      <c r="X11" s="35"/>
      <c r="Y11" s="291"/>
      <c r="Z11" s="291"/>
      <c r="AA11" s="291"/>
      <c r="AB11" s="291"/>
      <c r="AC11" s="291"/>
      <c r="AD11" s="291"/>
      <c r="AE11" s="397"/>
      <c r="AF11" s="397"/>
      <c r="AG11" s="397"/>
      <c r="AH11" s="397"/>
      <c r="AI11" s="397"/>
      <c r="AJ11" s="35"/>
      <c r="AK11" s="291"/>
      <c r="AL11" s="291"/>
      <c r="AM11" s="291"/>
      <c r="AN11" s="291"/>
      <c r="AO11" s="291"/>
      <c r="AP11" s="291"/>
      <c r="AQ11" s="397"/>
      <c r="AR11" s="397"/>
      <c r="AS11" s="397"/>
      <c r="AT11" s="397"/>
      <c r="AU11" s="397"/>
      <c r="AV11" s="35"/>
      <c r="AW11" s="291"/>
      <c r="AX11" s="291"/>
      <c r="AY11" s="291"/>
      <c r="AZ11" s="291"/>
      <c r="BA11" s="291"/>
      <c r="BB11" s="291"/>
      <c r="BC11" s="397"/>
      <c r="BD11" s="397"/>
      <c r="BE11" s="397"/>
      <c r="BF11" s="397"/>
      <c r="BG11" s="397"/>
      <c r="BH11" s="35"/>
      <c r="BI11" s="291"/>
      <c r="BJ11" s="291"/>
      <c r="BK11" s="291"/>
      <c r="BL11" s="291"/>
      <c r="BM11" s="291"/>
      <c r="BN11" s="291"/>
      <c r="BO11" s="397"/>
      <c r="BP11" s="397"/>
      <c r="BQ11" s="397"/>
      <c r="BR11" s="397"/>
      <c r="BS11" s="397"/>
      <c r="BT11" s="35"/>
      <c r="BU11" s="291"/>
      <c r="BV11" s="291"/>
      <c r="BW11" s="291"/>
      <c r="BX11" s="291"/>
      <c r="BY11" s="291"/>
      <c r="BZ11" s="291"/>
      <c r="CA11" s="397"/>
      <c r="CB11" s="397"/>
      <c r="CC11" s="397"/>
      <c r="CD11" s="397"/>
      <c r="CE11" s="397"/>
      <c r="CF11" s="35"/>
      <c r="CG11" s="291"/>
      <c r="CH11" s="291"/>
      <c r="CI11" s="291"/>
      <c r="CJ11" s="291"/>
      <c r="CK11" s="291"/>
      <c r="CL11" s="291"/>
      <c r="CM11" s="397"/>
      <c r="CN11" s="397"/>
      <c r="CO11" s="397"/>
      <c r="CP11" s="397"/>
      <c r="CQ11" s="397"/>
      <c r="CR11" s="35"/>
      <c r="CS11" s="291"/>
      <c r="CT11" s="291"/>
      <c r="CU11" s="291"/>
      <c r="CV11" s="291"/>
      <c r="CW11" s="291"/>
      <c r="CX11" s="291"/>
      <c r="CY11" s="397"/>
      <c r="CZ11" s="397"/>
      <c r="DA11" s="397"/>
      <c r="DB11" s="397"/>
      <c r="DC11" s="397"/>
      <c r="DD11" s="35"/>
      <c r="DE11" s="291"/>
      <c r="DF11" s="291"/>
      <c r="DG11" s="291"/>
      <c r="DH11" s="291"/>
      <c r="DI11" s="291"/>
      <c r="DJ11" s="291"/>
      <c r="DK11" s="397"/>
      <c r="DL11" s="397"/>
      <c r="DM11" s="397"/>
      <c r="DN11" s="397"/>
      <c r="DO11" s="397"/>
      <c r="DP11" s="35"/>
      <c r="DQ11" s="291"/>
      <c r="DR11" s="291"/>
      <c r="DS11" s="291"/>
      <c r="DT11" s="291"/>
      <c r="DU11" s="291"/>
      <c r="DV11" s="291"/>
      <c r="DW11" s="397"/>
      <c r="DX11" s="397"/>
      <c r="DY11" s="397"/>
      <c r="DZ11" s="397"/>
      <c r="EA11" s="397"/>
      <c r="EB11" s="35"/>
      <c r="EC11" s="291"/>
      <c r="ED11" s="291"/>
      <c r="EE11" s="291"/>
      <c r="EF11" s="291"/>
      <c r="EG11" s="291"/>
      <c r="EH11" s="291"/>
      <c r="EI11" s="397"/>
      <c r="EJ11" s="397"/>
      <c r="EK11" s="397"/>
      <c r="EL11" s="397"/>
      <c r="EM11" s="397"/>
      <c r="EN11" s="35"/>
      <c r="EO11" s="291"/>
      <c r="EP11" s="291"/>
      <c r="EQ11" s="291"/>
      <c r="ER11" s="291"/>
      <c r="ES11" s="291"/>
      <c r="ET11" s="291"/>
      <c r="EU11" s="397"/>
      <c r="EV11" s="397"/>
      <c r="EW11" s="397"/>
      <c r="EX11" s="397"/>
      <c r="EY11" s="397"/>
      <c r="EZ11" s="35"/>
      <c r="FA11" s="291"/>
      <c r="FB11" s="291"/>
      <c r="FC11" s="291"/>
      <c r="FD11" s="291"/>
      <c r="FE11" s="291"/>
      <c r="FF11" s="291"/>
      <c r="FG11" s="397"/>
      <c r="FH11" s="397"/>
      <c r="FI11" s="397"/>
      <c r="FJ11" s="397"/>
      <c r="FK11" s="397"/>
      <c r="FL11" s="35"/>
      <c r="FM11" s="291"/>
      <c r="FN11" s="291"/>
      <c r="FO11" s="291"/>
      <c r="FP11" s="291"/>
      <c r="FQ11" s="291"/>
      <c r="FR11" s="291"/>
      <c r="FS11" s="397"/>
      <c r="FT11" s="397"/>
      <c r="FU11" s="397"/>
      <c r="FV11" s="397"/>
      <c r="FW11" s="397"/>
      <c r="FX11" s="35"/>
      <c r="FY11" s="291"/>
      <c r="FZ11" s="291"/>
      <c r="GA11" s="291"/>
      <c r="GB11" s="291"/>
      <c r="GC11" s="291"/>
      <c r="GD11" s="291"/>
      <c r="GE11" s="397"/>
      <c r="GF11" s="397"/>
      <c r="GG11" s="397"/>
      <c r="GH11" s="397"/>
      <c r="GI11" s="397"/>
      <c r="GJ11" s="35"/>
      <c r="GK11" s="291"/>
      <c r="GL11" s="291"/>
      <c r="GM11" s="291"/>
      <c r="GN11" s="291"/>
      <c r="GO11" s="291"/>
      <c r="GP11" s="291"/>
      <c r="GQ11" s="397"/>
      <c r="GR11" s="397"/>
      <c r="GS11" s="397"/>
      <c r="GT11" s="397"/>
      <c r="GU11" s="397"/>
      <c r="GV11" s="35"/>
      <c r="GW11" s="291"/>
      <c r="GX11" s="291"/>
      <c r="GY11" s="291"/>
      <c r="GZ11" s="291"/>
      <c r="HA11" s="291"/>
      <c r="HB11" s="291"/>
      <c r="HC11" s="397"/>
      <c r="HD11" s="397"/>
      <c r="HE11" s="397"/>
      <c r="HF11" s="397"/>
      <c r="HG11" s="397"/>
      <c r="HH11" s="35"/>
      <c r="HI11" s="291"/>
      <c r="HJ11" s="291"/>
      <c r="HK11" s="291"/>
      <c r="HL11" s="291"/>
      <c r="HM11" s="291"/>
      <c r="HN11" s="291"/>
      <c r="HO11" s="397"/>
      <c r="HP11" s="397"/>
      <c r="HQ11" s="397"/>
      <c r="HR11" s="397"/>
      <c r="HS11" s="397"/>
      <c r="HT11" s="35"/>
      <c r="HU11" s="291"/>
      <c r="HV11" s="291"/>
      <c r="HW11" s="291"/>
      <c r="HX11" s="291"/>
      <c r="HY11" s="291"/>
      <c r="HZ11" s="291"/>
      <c r="IA11" s="397"/>
      <c r="IB11" s="397"/>
      <c r="IC11" s="397"/>
      <c r="ID11" s="397"/>
      <c r="IE11" s="397"/>
      <c r="IF11" s="35"/>
      <c r="IG11" s="291"/>
      <c r="IH11" s="291"/>
      <c r="II11" s="291"/>
    </row>
    <row r="12" spans="1:243" s="5" customFormat="1" ht="14.25">
      <c r="A12" s="391" t="s">
        <v>24</v>
      </c>
      <c r="B12" s="449">
        <v>-5.8</v>
      </c>
      <c r="C12" s="449">
        <v>-5</v>
      </c>
      <c r="D12" s="291">
        <v>-4.2</v>
      </c>
      <c r="E12" s="291">
        <v>-3.2</v>
      </c>
      <c r="F12" s="291">
        <v>-2.6</v>
      </c>
      <c r="G12" s="397">
        <v>-2.2999999999999998</v>
      </c>
      <c r="H12" s="397">
        <v>-2.2999999999999998</v>
      </c>
      <c r="I12" s="397"/>
      <c r="J12" s="397"/>
      <c r="K12" s="397"/>
      <c r="L12" s="35"/>
      <c r="M12" s="291"/>
      <c r="N12" s="291"/>
      <c r="O12" s="291"/>
      <c r="P12" s="291"/>
      <c r="Q12" s="291"/>
      <c r="R12" s="291"/>
      <c r="S12" s="397"/>
      <c r="T12" s="397"/>
      <c r="U12" s="397"/>
      <c r="V12" s="397"/>
      <c r="W12" s="397"/>
      <c r="X12" s="35"/>
      <c r="Y12" s="291"/>
      <c r="Z12" s="291"/>
      <c r="AA12" s="291"/>
      <c r="AB12" s="291"/>
      <c r="AC12" s="291"/>
      <c r="AD12" s="291"/>
      <c r="AE12" s="397"/>
      <c r="AF12" s="397"/>
      <c r="AG12" s="397"/>
      <c r="AH12" s="397"/>
      <c r="AI12" s="397"/>
      <c r="AJ12" s="35"/>
      <c r="AK12" s="291"/>
      <c r="AL12" s="291"/>
      <c r="AM12" s="291"/>
      <c r="AN12" s="291"/>
      <c r="AO12" s="291"/>
      <c r="AP12" s="291"/>
      <c r="AQ12" s="397"/>
      <c r="AR12" s="397"/>
      <c r="AS12" s="397"/>
      <c r="AT12" s="397"/>
      <c r="AU12" s="397"/>
      <c r="AV12" s="35"/>
      <c r="AW12" s="291"/>
      <c r="AX12" s="291"/>
      <c r="AY12" s="291"/>
      <c r="AZ12" s="291"/>
      <c r="BA12" s="291"/>
      <c r="BB12" s="291"/>
      <c r="BC12" s="397"/>
      <c r="BD12" s="397"/>
      <c r="BE12" s="397"/>
      <c r="BF12" s="397"/>
      <c r="BG12" s="397"/>
      <c r="BH12" s="35"/>
      <c r="BI12" s="291"/>
      <c r="BJ12" s="291"/>
      <c r="BK12" s="291"/>
      <c r="BL12" s="291"/>
      <c r="BM12" s="291"/>
      <c r="BN12" s="291"/>
      <c r="BO12" s="397"/>
      <c r="BP12" s="397"/>
      <c r="BQ12" s="397"/>
      <c r="BR12" s="397"/>
      <c r="BS12" s="397"/>
      <c r="BT12" s="35"/>
      <c r="BU12" s="291"/>
      <c r="BV12" s="291"/>
      <c r="BW12" s="291"/>
      <c r="BX12" s="291"/>
      <c r="BY12" s="291"/>
      <c r="BZ12" s="291"/>
      <c r="CA12" s="397"/>
      <c r="CB12" s="397"/>
      <c r="CC12" s="397"/>
      <c r="CD12" s="397"/>
      <c r="CE12" s="397"/>
      <c r="CF12" s="35"/>
      <c r="CG12" s="291"/>
      <c r="CH12" s="291"/>
      <c r="CI12" s="291"/>
      <c r="CJ12" s="291"/>
      <c r="CK12" s="291"/>
      <c r="CL12" s="291"/>
      <c r="CM12" s="397"/>
      <c r="CN12" s="397"/>
      <c r="CO12" s="397"/>
      <c r="CP12" s="397"/>
      <c r="CQ12" s="397"/>
      <c r="CR12" s="35"/>
      <c r="CS12" s="291"/>
      <c r="CT12" s="291"/>
      <c r="CU12" s="291"/>
      <c r="CV12" s="291"/>
      <c r="CW12" s="291"/>
      <c r="CX12" s="291"/>
      <c r="CY12" s="397"/>
      <c r="CZ12" s="397"/>
      <c r="DA12" s="397"/>
      <c r="DB12" s="397"/>
      <c r="DC12" s="397"/>
      <c r="DD12" s="35"/>
      <c r="DE12" s="291"/>
      <c r="DF12" s="291"/>
      <c r="DG12" s="291"/>
      <c r="DH12" s="291"/>
      <c r="DI12" s="291"/>
      <c r="DJ12" s="291"/>
      <c r="DK12" s="397"/>
      <c r="DL12" s="397"/>
      <c r="DM12" s="397"/>
      <c r="DN12" s="397"/>
      <c r="DO12" s="397"/>
      <c r="DP12" s="35"/>
      <c r="DQ12" s="291"/>
      <c r="DR12" s="291"/>
      <c r="DS12" s="291"/>
      <c r="DT12" s="291"/>
      <c r="DU12" s="291"/>
      <c r="DV12" s="291"/>
      <c r="DW12" s="397"/>
      <c r="DX12" s="397"/>
      <c r="DY12" s="397"/>
      <c r="DZ12" s="397"/>
      <c r="EA12" s="397"/>
      <c r="EB12" s="35"/>
      <c r="EC12" s="291"/>
      <c r="ED12" s="291"/>
      <c r="EE12" s="291"/>
      <c r="EF12" s="291"/>
      <c r="EG12" s="291"/>
      <c r="EH12" s="291"/>
      <c r="EI12" s="397"/>
      <c r="EJ12" s="397"/>
      <c r="EK12" s="397"/>
      <c r="EL12" s="397"/>
      <c r="EM12" s="397"/>
      <c r="EN12" s="35"/>
      <c r="EO12" s="291"/>
      <c r="EP12" s="291"/>
      <c r="EQ12" s="291"/>
      <c r="ER12" s="291"/>
      <c r="ES12" s="291"/>
      <c r="ET12" s="291"/>
      <c r="EU12" s="397"/>
      <c r="EV12" s="397"/>
      <c r="EW12" s="397"/>
      <c r="EX12" s="397"/>
      <c r="EY12" s="397"/>
      <c r="EZ12" s="35"/>
      <c r="FA12" s="291"/>
      <c r="FB12" s="291"/>
      <c r="FC12" s="291"/>
      <c r="FD12" s="291"/>
      <c r="FE12" s="291"/>
      <c r="FF12" s="291"/>
      <c r="FG12" s="397"/>
      <c r="FH12" s="397"/>
      <c r="FI12" s="397"/>
      <c r="FJ12" s="397"/>
      <c r="FK12" s="397"/>
      <c r="FL12" s="35"/>
      <c r="FM12" s="291"/>
      <c r="FN12" s="291"/>
      <c r="FO12" s="291"/>
      <c r="FP12" s="291"/>
      <c r="FQ12" s="291"/>
      <c r="FR12" s="291"/>
      <c r="FS12" s="397"/>
      <c r="FT12" s="397"/>
      <c r="FU12" s="397"/>
      <c r="FV12" s="397"/>
      <c r="FW12" s="397"/>
      <c r="FX12" s="35"/>
      <c r="FY12" s="291"/>
      <c r="FZ12" s="291"/>
      <c r="GA12" s="291"/>
      <c r="GB12" s="291"/>
      <c r="GC12" s="291"/>
      <c r="GD12" s="291"/>
      <c r="GE12" s="397"/>
      <c r="GF12" s="397"/>
      <c r="GG12" s="397"/>
      <c r="GH12" s="397"/>
      <c r="GI12" s="397"/>
      <c r="GJ12" s="35"/>
      <c r="GK12" s="291"/>
      <c r="GL12" s="291"/>
      <c r="GM12" s="291"/>
      <c r="GN12" s="291"/>
      <c r="GO12" s="291"/>
      <c r="GP12" s="291"/>
      <c r="GQ12" s="397"/>
      <c r="GR12" s="397"/>
      <c r="GS12" s="397"/>
      <c r="GT12" s="397"/>
      <c r="GU12" s="397"/>
      <c r="GV12" s="35"/>
      <c r="GW12" s="291"/>
      <c r="GX12" s="291"/>
      <c r="GY12" s="291"/>
      <c r="GZ12" s="291"/>
      <c r="HA12" s="291"/>
      <c r="HB12" s="291"/>
      <c r="HC12" s="397"/>
      <c r="HD12" s="397"/>
      <c r="HE12" s="397"/>
      <c r="HF12" s="397"/>
      <c r="HG12" s="397"/>
      <c r="HH12" s="35"/>
      <c r="HI12" s="291"/>
      <c r="HJ12" s="291"/>
      <c r="HK12" s="291"/>
      <c r="HL12" s="291"/>
      <c r="HM12" s="291"/>
      <c r="HN12" s="291"/>
      <c r="HO12" s="397"/>
      <c r="HP12" s="397"/>
      <c r="HQ12" s="397"/>
      <c r="HR12" s="397"/>
      <c r="HS12" s="397"/>
      <c r="HT12" s="35"/>
      <c r="HU12" s="291"/>
      <c r="HV12" s="291"/>
      <c r="HW12" s="291"/>
      <c r="HX12" s="291"/>
      <c r="HY12" s="291"/>
      <c r="HZ12" s="291"/>
      <c r="IA12" s="397"/>
      <c r="IB12" s="397"/>
      <c r="IC12" s="397"/>
      <c r="ID12" s="397"/>
      <c r="IE12" s="397"/>
      <c r="IF12" s="35"/>
      <c r="IG12" s="291"/>
      <c r="IH12" s="291"/>
      <c r="II12" s="291"/>
    </row>
    <row r="13" spans="1:243" s="5" customFormat="1" ht="14.25">
      <c r="A13" s="391" t="s">
        <v>23</v>
      </c>
      <c r="B13" s="449">
        <v>-3.3</v>
      </c>
      <c r="C13" s="449">
        <v>-3.3</v>
      </c>
      <c r="D13" s="397">
        <v>-1.3</v>
      </c>
      <c r="E13" s="291">
        <v>-0.8</v>
      </c>
      <c r="F13" s="291">
        <v>-0.9</v>
      </c>
      <c r="G13" s="397">
        <v>-0.7</v>
      </c>
      <c r="H13" s="397">
        <v>-0.8</v>
      </c>
      <c r="I13" s="397"/>
      <c r="J13" s="397"/>
      <c r="K13" s="397"/>
      <c r="L13" s="35"/>
      <c r="M13" s="291"/>
      <c r="N13" s="291"/>
      <c r="O13" s="291"/>
      <c r="P13" s="397"/>
      <c r="Q13" s="291"/>
      <c r="R13" s="291"/>
      <c r="S13" s="397"/>
      <c r="T13" s="397"/>
      <c r="U13" s="397"/>
      <c r="V13" s="397"/>
      <c r="W13" s="397"/>
      <c r="X13" s="35"/>
      <c r="Y13" s="291"/>
      <c r="Z13" s="291"/>
      <c r="AA13" s="291"/>
      <c r="AB13" s="397"/>
      <c r="AC13" s="291"/>
      <c r="AD13" s="291"/>
      <c r="AE13" s="397"/>
      <c r="AF13" s="397"/>
      <c r="AG13" s="397"/>
      <c r="AH13" s="397"/>
      <c r="AI13" s="397"/>
      <c r="AJ13" s="35"/>
      <c r="AK13" s="291"/>
      <c r="AL13" s="291"/>
      <c r="AM13" s="291"/>
      <c r="AN13" s="397"/>
      <c r="AO13" s="291"/>
      <c r="AP13" s="291"/>
      <c r="AQ13" s="397"/>
      <c r="AR13" s="397"/>
      <c r="AS13" s="397"/>
      <c r="AT13" s="397"/>
      <c r="AU13" s="397"/>
      <c r="AV13" s="35"/>
      <c r="AW13" s="291"/>
      <c r="AX13" s="291"/>
      <c r="AY13" s="291"/>
      <c r="AZ13" s="397"/>
      <c r="BA13" s="291"/>
      <c r="BB13" s="291"/>
      <c r="BC13" s="397"/>
      <c r="BD13" s="397"/>
      <c r="BE13" s="397"/>
      <c r="BF13" s="397"/>
      <c r="BG13" s="397"/>
      <c r="BH13" s="35"/>
      <c r="BI13" s="291"/>
      <c r="BJ13" s="291"/>
      <c r="BK13" s="291"/>
      <c r="BL13" s="397"/>
      <c r="BM13" s="291"/>
      <c r="BN13" s="291"/>
      <c r="BO13" s="397"/>
      <c r="BP13" s="397"/>
      <c r="BQ13" s="397"/>
      <c r="BR13" s="397"/>
      <c r="BS13" s="397"/>
      <c r="BT13" s="35"/>
      <c r="BU13" s="291"/>
      <c r="BV13" s="291"/>
      <c r="BW13" s="291"/>
      <c r="BX13" s="397"/>
      <c r="BY13" s="291"/>
      <c r="BZ13" s="291"/>
      <c r="CA13" s="397"/>
      <c r="CB13" s="397"/>
      <c r="CC13" s="397"/>
      <c r="CD13" s="397"/>
      <c r="CE13" s="397"/>
      <c r="CF13" s="35"/>
      <c r="CG13" s="291"/>
      <c r="CH13" s="291"/>
      <c r="CI13" s="291"/>
      <c r="CJ13" s="397"/>
      <c r="CK13" s="291"/>
      <c r="CL13" s="291"/>
      <c r="CM13" s="397"/>
      <c r="CN13" s="397"/>
      <c r="CO13" s="397"/>
      <c r="CP13" s="397"/>
      <c r="CQ13" s="397"/>
      <c r="CR13" s="35"/>
      <c r="CS13" s="291"/>
      <c r="CT13" s="291"/>
      <c r="CU13" s="291"/>
      <c r="CV13" s="397"/>
      <c r="CW13" s="291"/>
      <c r="CX13" s="291"/>
      <c r="CY13" s="397"/>
      <c r="CZ13" s="397"/>
      <c r="DA13" s="397"/>
      <c r="DB13" s="397"/>
      <c r="DC13" s="397"/>
      <c r="DD13" s="35"/>
      <c r="DE13" s="291"/>
      <c r="DF13" s="291"/>
      <c r="DG13" s="291"/>
      <c r="DH13" s="397"/>
      <c r="DI13" s="291"/>
      <c r="DJ13" s="291"/>
      <c r="DK13" s="397"/>
      <c r="DL13" s="397"/>
      <c r="DM13" s="397"/>
      <c r="DN13" s="397"/>
      <c r="DO13" s="397"/>
      <c r="DP13" s="35"/>
      <c r="DQ13" s="291"/>
      <c r="DR13" s="291"/>
      <c r="DS13" s="291"/>
      <c r="DT13" s="397"/>
      <c r="DU13" s="291"/>
      <c r="DV13" s="291"/>
      <c r="DW13" s="397"/>
      <c r="DX13" s="397"/>
      <c r="DY13" s="397"/>
      <c r="DZ13" s="397"/>
      <c r="EA13" s="397"/>
      <c r="EB13" s="35"/>
      <c r="EC13" s="291"/>
      <c r="ED13" s="291"/>
      <c r="EE13" s="291"/>
      <c r="EF13" s="397"/>
      <c r="EG13" s="291"/>
      <c r="EH13" s="291"/>
      <c r="EI13" s="397"/>
      <c r="EJ13" s="397"/>
      <c r="EK13" s="397"/>
      <c r="EL13" s="397"/>
      <c r="EM13" s="397"/>
      <c r="EN13" s="35"/>
      <c r="EO13" s="291"/>
      <c r="EP13" s="291"/>
      <c r="EQ13" s="291"/>
      <c r="ER13" s="397"/>
      <c r="ES13" s="291"/>
      <c r="ET13" s="291"/>
      <c r="EU13" s="397"/>
      <c r="EV13" s="397"/>
      <c r="EW13" s="397"/>
      <c r="EX13" s="397"/>
      <c r="EY13" s="397"/>
      <c r="EZ13" s="35"/>
      <c r="FA13" s="291"/>
      <c r="FB13" s="291"/>
      <c r="FC13" s="291"/>
      <c r="FD13" s="397"/>
      <c r="FE13" s="291"/>
      <c r="FF13" s="291"/>
      <c r="FG13" s="397"/>
      <c r="FH13" s="397"/>
      <c r="FI13" s="397"/>
      <c r="FJ13" s="397"/>
      <c r="FK13" s="397"/>
      <c r="FL13" s="35"/>
      <c r="FM13" s="291"/>
      <c r="FN13" s="291"/>
      <c r="FO13" s="291"/>
      <c r="FP13" s="397"/>
      <c r="FQ13" s="291"/>
      <c r="FR13" s="291"/>
      <c r="FS13" s="397"/>
      <c r="FT13" s="397"/>
      <c r="FU13" s="397"/>
      <c r="FV13" s="397"/>
      <c r="FW13" s="397"/>
      <c r="FX13" s="35"/>
      <c r="FY13" s="291"/>
      <c r="FZ13" s="291"/>
      <c r="GA13" s="291"/>
      <c r="GB13" s="397"/>
      <c r="GC13" s="291"/>
      <c r="GD13" s="291"/>
      <c r="GE13" s="397"/>
      <c r="GF13" s="397"/>
      <c r="GG13" s="397"/>
      <c r="GH13" s="397"/>
      <c r="GI13" s="397"/>
      <c r="GJ13" s="35"/>
      <c r="GK13" s="291"/>
      <c r="GL13" s="291"/>
      <c r="GM13" s="291"/>
      <c r="GN13" s="397"/>
      <c r="GO13" s="291"/>
      <c r="GP13" s="291"/>
      <c r="GQ13" s="397"/>
      <c r="GR13" s="397"/>
      <c r="GS13" s="397"/>
      <c r="GT13" s="397"/>
      <c r="GU13" s="397"/>
      <c r="GV13" s="35"/>
      <c r="GW13" s="291"/>
      <c r="GX13" s="291"/>
      <c r="GY13" s="291"/>
      <c r="GZ13" s="397"/>
      <c r="HA13" s="291"/>
      <c r="HB13" s="291"/>
      <c r="HC13" s="397"/>
      <c r="HD13" s="397"/>
      <c r="HE13" s="397"/>
      <c r="HF13" s="397"/>
      <c r="HG13" s="397"/>
      <c r="HH13" s="35"/>
      <c r="HI13" s="291"/>
      <c r="HJ13" s="291"/>
      <c r="HK13" s="291"/>
      <c r="HL13" s="397"/>
      <c r="HM13" s="291"/>
      <c r="HN13" s="291"/>
      <c r="HO13" s="397"/>
      <c r="HP13" s="397"/>
      <c r="HQ13" s="397"/>
      <c r="HR13" s="397"/>
      <c r="HS13" s="397"/>
      <c r="HT13" s="35"/>
      <c r="HU13" s="291"/>
      <c r="HV13" s="291"/>
      <c r="HW13" s="291"/>
      <c r="HX13" s="397"/>
      <c r="HY13" s="291"/>
      <c r="HZ13" s="291"/>
      <c r="IA13" s="397"/>
      <c r="IB13" s="397"/>
      <c r="IC13" s="397"/>
      <c r="ID13" s="397"/>
      <c r="IE13" s="397"/>
      <c r="IF13" s="35"/>
      <c r="IG13" s="291"/>
      <c r="IH13" s="291"/>
      <c r="II13" s="291"/>
    </row>
    <row r="14" spans="1:243" s="5" customFormat="1" ht="14.25">
      <c r="A14" s="407" t="s">
        <v>22</v>
      </c>
      <c r="B14" s="291">
        <v>-5.0999999999999996</v>
      </c>
      <c r="C14" s="291">
        <v>-5.5</v>
      </c>
      <c r="D14" s="291">
        <v>-5.2</v>
      </c>
      <c r="E14" s="291">
        <v>-2.2000000000000002</v>
      </c>
      <c r="F14" s="291">
        <v>1.5</v>
      </c>
      <c r="G14" s="291">
        <v>0.4</v>
      </c>
      <c r="H14" s="291">
        <v>0</v>
      </c>
      <c r="I14" s="291"/>
      <c r="J14" s="291"/>
      <c r="K14" s="291"/>
      <c r="L14" s="36"/>
      <c r="M14" s="291"/>
      <c r="N14" s="291"/>
      <c r="O14" s="291"/>
      <c r="P14" s="291"/>
      <c r="Q14" s="291"/>
      <c r="R14" s="291"/>
      <c r="S14" s="291"/>
      <c r="T14" s="291"/>
      <c r="U14" s="291"/>
      <c r="V14" s="291"/>
      <c r="W14" s="291"/>
      <c r="X14" s="36"/>
      <c r="Y14" s="291"/>
      <c r="Z14" s="291"/>
      <c r="AA14" s="291"/>
      <c r="AB14" s="291"/>
      <c r="AC14" s="291"/>
      <c r="AD14" s="291"/>
      <c r="AE14" s="291"/>
      <c r="AF14" s="291"/>
      <c r="AG14" s="291"/>
      <c r="AH14" s="291"/>
      <c r="AI14" s="291"/>
      <c r="AJ14" s="36"/>
      <c r="AK14" s="291"/>
      <c r="AL14" s="291"/>
      <c r="AM14" s="291"/>
      <c r="AN14" s="291"/>
      <c r="AO14" s="291"/>
      <c r="AP14" s="291"/>
      <c r="AQ14" s="291"/>
      <c r="AR14" s="291"/>
      <c r="AS14" s="291"/>
      <c r="AT14" s="291"/>
      <c r="AU14" s="291"/>
      <c r="AV14" s="36"/>
      <c r="AW14" s="291"/>
      <c r="AX14" s="291"/>
      <c r="AY14" s="291"/>
      <c r="AZ14" s="291"/>
      <c r="BA14" s="291"/>
      <c r="BB14" s="291"/>
      <c r="BC14" s="291"/>
      <c r="BD14" s="291"/>
      <c r="BE14" s="291"/>
      <c r="BF14" s="291"/>
      <c r="BG14" s="291"/>
      <c r="BH14" s="36"/>
      <c r="BI14" s="291"/>
      <c r="BJ14" s="291"/>
      <c r="BK14" s="291"/>
      <c r="BL14" s="291"/>
      <c r="BM14" s="291"/>
      <c r="BN14" s="291"/>
      <c r="BO14" s="291"/>
      <c r="BP14" s="291"/>
      <c r="BQ14" s="291"/>
      <c r="BR14" s="291"/>
      <c r="BS14" s="291"/>
      <c r="BT14" s="36"/>
      <c r="BU14" s="291"/>
      <c r="BV14" s="291"/>
      <c r="BW14" s="291"/>
      <c r="BX14" s="291"/>
      <c r="BY14" s="291"/>
      <c r="BZ14" s="291"/>
      <c r="CA14" s="291"/>
      <c r="CB14" s="291"/>
      <c r="CC14" s="291"/>
      <c r="CD14" s="291"/>
      <c r="CE14" s="291"/>
      <c r="CF14" s="36"/>
      <c r="CG14" s="291"/>
      <c r="CH14" s="291"/>
      <c r="CI14" s="291"/>
      <c r="CJ14" s="291"/>
      <c r="CK14" s="291"/>
      <c r="CL14" s="291"/>
      <c r="CM14" s="291"/>
      <c r="CN14" s="291"/>
      <c r="CO14" s="291"/>
      <c r="CP14" s="291"/>
      <c r="CQ14" s="291"/>
      <c r="CR14" s="36"/>
      <c r="CS14" s="291"/>
      <c r="CT14" s="291"/>
      <c r="CU14" s="291"/>
      <c r="CV14" s="291"/>
      <c r="CW14" s="291"/>
      <c r="CX14" s="291"/>
      <c r="CY14" s="291"/>
      <c r="CZ14" s="291"/>
      <c r="DA14" s="291"/>
      <c r="DB14" s="291"/>
      <c r="DC14" s="291"/>
      <c r="DD14" s="36"/>
      <c r="DE14" s="291"/>
      <c r="DF14" s="291"/>
      <c r="DG14" s="291"/>
      <c r="DH14" s="291"/>
      <c r="DI14" s="291"/>
      <c r="DJ14" s="291"/>
      <c r="DK14" s="291"/>
      <c r="DL14" s="291"/>
      <c r="DM14" s="291"/>
      <c r="DN14" s="291"/>
      <c r="DO14" s="291"/>
      <c r="DP14" s="36"/>
      <c r="DQ14" s="291"/>
      <c r="DR14" s="291"/>
      <c r="DS14" s="291"/>
      <c r="DT14" s="291"/>
      <c r="DU14" s="291"/>
      <c r="DV14" s="291"/>
      <c r="DW14" s="291"/>
      <c r="DX14" s="291"/>
      <c r="DY14" s="291"/>
      <c r="DZ14" s="291"/>
      <c r="EA14" s="291"/>
      <c r="EB14" s="36"/>
      <c r="EC14" s="291"/>
      <c r="ED14" s="291"/>
      <c r="EE14" s="291"/>
      <c r="EF14" s="291"/>
      <c r="EG14" s="291"/>
      <c r="EH14" s="291"/>
      <c r="EI14" s="291"/>
      <c r="EJ14" s="291"/>
      <c r="EK14" s="291"/>
      <c r="EL14" s="291"/>
      <c r="EM14" s="291"/>
      <c r="EN14" s="36"/>
      <c r="EO14" s="291"/>
      <c r="EP14" s="291"/>
      <c r="EQ14" s="291"/>
      <c r="ER14" s="291"/>
      <c r="ES14" s="291"/>
      <c r="ET14" s="291"/>
      <c r="EU14" s="291"/>
      <c r="EV14" s="291"/>
      <c r="EW14" s="291"/>
      <c r="EX14" s="291"/>
      <c r="EY14" s="291"/>
      <c r="EZ14" s="36"/>
      <c r="FA14" s="291"/>
      <c r="FB14" s="291"/>
      <c r="FC14" s="291"/>
      <c r="FD14" s="291"/>
      <c r="FE14" s="291"/>
      <c r="FF14" s="291"/>
      <c r="FG14" s="291"/>
      <c r="FH14" s="291"/>
      <c r="FI14" s="291"/>
      <c r="FJ14" s="291"/>
      <c r="FK14" s="291"/>
      <c r="FL14" s="36"/>
      <c r="FM14" s="291"/>
      <c r="FN14" s="291"/>
      <c r="FO14" s="291"/>
      <c r="FP14" s="291"/>
      <c r="FQ14" s="291"/>
      <c r="FR14" s="291"/>
      <c r="FS14" s="291"/>
      <c r="FT14" s="291"/>
      <c r="FU14" s="291"/>
      <c r="FV14" s="291"/>
      <c r="FW14" s="291"/>
      <c r="FX14" s="36"/>
      <c r="FY14" s="291"/>
      <c r="FZ14" s="291"/>
      <c r="GA14" s="291"/>
      <c r="GB14" s="291"/>
      <c r="GC14" s="291"/>
      <c r="GD14" s="291"/>
      <c r="GE14" s="291"/>
      <c r="GF14" s="291"/>
      <c r="GG14" s="291"/>
      <c r="GH14" s="291"/>
      <c r="GI14" s="291"/>
      <c r="GJ14" s="36"/>
      <c r="GK14" s="291"/>
      <c r="GL14" s="291"/>
      <c r="GM14" s="291"/>
      <c r="GN14" s="291"/>
      <c r="GO14" s="291"/>
      <c r="GP14" s="291"/>
      <c r="GQ14" s="291"/>
      <c r="GR14" s="291"/>
      <c r="GS14" s="291"/>
      <c r="GT14" s="291"/>
      <c r="GU14" s="291"/>
      <c r="GV14" s="36"/>
      <c r="GW14" s="291"/>
      <c r="GX14" s="291"/>
      <c r="GY14" s="291"/>
      <c r="GZ14" s="291"/>
      <c r="HA14" s="291"/>
      <c r="HB14" s="291"/>
      <c r="HC14" s="291"/>
      <c r="HD14" s="291"/>
      <c r="HE14" s="291"/>
      <c r="HF14" s="291"/>
      <c r="HG14" s="291"/>
      <c r="HH14" s="36"/>
      <c r="HI14" s="291"/>
      <c r="HJ14" s="291"/>
      <c r="HK14" s="291"/>
      <c r="HL14" s="291"/>
      <c r="HM14" s="291"/>
      <c r="HN14" s="291"/>
      <c r="HO14" s="291"/>
      <c r="HP14" s="291"/>
      <c r="HQ14" s="291"/>
      <c r="HR14" s="291"/>
      <c r="HS14" s="291"/>
      <c r="HT14" s="36"/>
      <c r="HU14" s="291"/>
      <c r="HV14" s="291"/>
      <c r="HW14" s="291"/>
      <c r="HX14" s="291"/>
      <c r="HY14" s="291"/>
      <c r="HZ14" s="291"/>
      <c r="IA14" s="291"/>
      <c r="IB14" s="291"/>
      <c r="IC14" s="291"/>
      <c r="ID14" s="291"/>
      <c r="IE14" s="291"/>
      <c r="IF14" s="36"/>
      <c r="IG14" s="291"/>
      <c r="IH14" s="291"/>
      <c r="II14" s="291"/>
    </row>
    <row r="15" spans="1:243" s="5" customFormat="1" ht="14.25">
      <c r="A15" s="391" t="s">
        <v>9</v>
      </c>
      <c r="B15" s="291">
        <v>-2</v>
      </c>
      <c r="C15" s="291">
        <v>-1</v>
      </c>
      <c r="D15" s="397">
        <v>0</v>
      </c>
      <c r="E15" s="291">
        <v>-1</v>
      </c>
      <c r="F15" s="291">
        <v>-1.6</v>
      </c>
      <c r="G15" s="397">
        <v>-1.9</v>
      </c>
      <c r="H15" s="397">
        <v>-2.2000000000000002</v>
      </c>
      <c r="I15" s="397"/>
      <c r="J15" s="397"/>
      <c r="K15" s="397"/>
      <c r="L15" s="35"/>
      <c r="M15" s="291"/>
      <c r="N15" s="291"/>
      <c r="O15" s="291"/>
      <c r="P15" s="397"/>
      <c r="Q15" s="291"/>
      <c r="R15" s="291"/>
      <c r="S15" s="397"/>
      <c r="T15" s="397"/>
      <c r="U15" s="397"/>
      <c r="V15" s="397"/>
      <c r="W15" s="397"/>
      <c r="X15" s="35"/>
      <c r="Y15" s="291"/>
      <c r="Z15" s="291"/>
      <c r="AA15" s="291"/>
      <c r="AB15" s="397"/>
      <c r="AC15" s="291"/>
      <c r="AD15" s="291"/>
      <c r="AE15" s="397"/>
      <c r="AF15" s="397"/>
      <c r="AG15" s="397"/>
      <c r="AH15" s="397"/>
      <c r="AI15" s="397"/>
      <c r="AJ15" s="35"/>
      <c r="AK15" s="291"/>
      <c r="AL15" s="291"/>
      <c r="AM15" s="291"/>
      <c r="AN15" s="397"/>
      <c r="AO15" s="291"/>
      <c r="AP15" s="291"/>
      <c r="AQ15" s="397"/>
      <c r="AR15" s="397"/>
      <c r="AS15" s="397"/>
      <c r="AT15" s="397"/>
      <c r="AU15" s="397"/>
      <c r="AV15" s="35"/>
      <c r="AW15" s="291"/>
      <c r="AX15" s="291"/>
      <c r="AY15" s="291"/>
      <c r="AZ15" s="397"/>
      <c r="BA15" s="291"/>
      <c r="BB15" s="291"/>
      <c r="BC15" s="397"/>
      <c r="BD15" s="397"/>
      <c r="BE15" s="397"/>
      <c r="BF15" s="397"/>
      <c r="BG15" s="397"/>
      <c r="BH15" s="35"/>
      <c r="BI15" s="291"/>
      <c r="BJ15" s="291"/>
      <c r="BK15" s="291"/>
      <c r="BL15" s="397"/>
      <c r="BM15" s="291"/>
      <c r="BN15" s="291"/>
      <c r="BO15" s="397"/>
      <c r="BP15" s="397"/>
      <c r="BQ15" s="397"/>
      <c r="BR15" s="397"/>
      <c r="BS15" s="397"/>
      <c r="BT15" s="35"/>
      <c r="BU15" s="291"/>
      <c r="BV15" s="291"/>
      <c r="BW15" s="291"/>
      <c r="BX15" s="397"/>
      <c r="BY15" s="291"/>
      <c r="BZ15" s="291"/>
      <c r="CA15" s="397"/>
      <c r="CB15" s="397"/>
      <c r="CC15" s="397"/>
      <c r="CD15" s="397"/>
      <c r="CE15" s="397"/>
      <c r="CF15" s="35"/>
      <c r="CG15" s="291"/>
      <c r="CH15" s="291"/>
      <c r="CI15" s="291"/>
      <c r="CJ15" s="397"/>
      <c r="CK15" s="291"/>
      <c r="CL15" s="291"/>
      <c r="CM15" s="397"/>
      <c r="CN15" s="397"/>
      <c r="CO15" s="397"/>
      <c r="CP15" s="397"/>
      <c r="CQ15" s="397"/>
      <c r="CR15" s="35"/>
      <c r="CS15" s="291"/>
      <c r="CT15" s="291"/>
      <c r="CU15" s="291"/>
      <c r="CV15" s="397"/>
      <c r="CW15" s="291"/>
      <c r="CX15" s="291"/>
      <c r="CY15" s="397"/>
      <c r="CZ15" s="397"/>
      <c r="DA15" s="397"/>
      <c r="DB15" s="397"/>
      <c r="DC15" s="397"/>
      <c r="DD15" s="35"/>
      <c r="DE15" s="291"/>
      <c r="DF15" s="291"/>
      <c r="DG15" s="291"/>
      <c r="DH15" s="397"/>
      <c r="DI15" s="291"/>
      <c r="DJ15" s="291"/>
      <c r="DK15" s="397"/>
      <c r="DL15" s="397"/>
      <c r="DM15" s="397"/>
      <c r="DN15" s="397"/>
      <c r="DO15" s="397"/>
      <c r="DP15" s="35"/>
      <c r="DQ15" s="291"/>
      <c r="DR15" s="291"/>
      <c r="DS15" s="291"/>
      <c r="DT15" s="397"/>
      <c r="DU15" s="291"/>
      <c r="DV15" s="291"/>
      <c r="DW15" s="397"/>
      <c r="DX15" s="397"/>
      <c r="DY15" s="397"/>
      <c r="DZ15" s="397"/>
      <c r="EA15" s="397"/>
      <c r="EB15" s="35"/>
      <c r="EC15" s="291"/>
      <c r="ED15" s="291"/>
      <c r="EE15" s="291"/>
      <c r="EF15" s="397"/>
      <c r="EG15" s="291"/>
      <c r="EH15" s="291"/>
      <c r="EI15" s="397"/>
      <c r="EJ15" s="397"/>
      <c r="EK15" s="397"/>
      <c r="EL15" s="397"/>
      <c r="EM15" s="397"/>
      <c r="EN15" s="35"/>
      <c r="EO15" s="291"/>
      <c r="EP15" s="291"/>
      <c r="EQ15" s="291"/>
      <c r="ER15" s="397"/>
      <c r="ES15" s="291"/>
      <c r="ET15" s="291"/>
      <c r="EU15" s="397"/>
      <c r="EV15" s="397"/>
      <c r="EW15" s="397"/>
      <c r="EX15" s="397"/>
      <c r="EY15" s="397"/>
      <c r="EZ15" s="35"/>
      <c r="FA15" s="291"/>
      <c r="FB15" s="291"/>
      <c r="FC15" s="291"/>
      <c r="FD15" s="397"/>
      <c r="FE15" s="291"/>
      <c r="FF15" s="291"/>
      <c r="FG15" s="397"/>
      <c r="FH15" s="397"/>
      <c r="FI15" s="397"/>
      <c r="FJ15" s="397"/>
      <c r="FK15" s="397"/>
      <c r="FL15" s="35"/>
      <c r="FM15" s="291"/>
      <c r="FN15" s="291"/>
      <c r="FO15" s="291"/>
      <c r="FP15" s="397"/>
      <c r="FQ15" s="291"/>
      <c r="FR15" s="291"/>
      <c r="FS15" s="397"/>
      <c r="FT15" s="397"/>
      <c r="FU15" s="397"/>
      <c r="FV15" s="397"/>
      <c r="FW15" s="397"/>
      <c r="FX15" s="35"/>
      <c r="FY15" s="291"/>
      <c r="FZ15" s="291"/>
      <c r="GA15" s="291"/>
      <c r="GB15" s="397"/>
      <c r="GC15" s="291"/>
      <c r="GD15" s="291"/>
      <c r="GE15" s="397"/>
      <c r="GF15" s="397"/>
      <c r="GG15" s="397"/>
      <c r="GH15" s="397"/>
      <c r="GI15" s="397"/>
      <c r="GJ15" s="35"/>
      <c r="GK15" s="291"/>
      <c r="GL15" s="291"/>
      <c r="GM15" s="291"/>
      <c r="GN15" s="397"/>
      <c r="GO15" s="291"/>
      <c r="GP15" s="291"/>
      <c r="GQ15" s="397"/>
      <c r="GR15" s="397"/>
      <c r="GS15" s="397"/>
      <c r="GT15" s="397"/>
      <c r="GU15" s="397"/>
      <c r="GV15" s="35"/>
      <c r="GW15" s="291"/>
      <c r="GX15" s="291"/>
      <c r="GY15" s="291"/>
      <c r="GZ15" s="397"/>
      <c r="HA15" s="291"/>
      <c r="HB15" s="291"/>
      <c r="HC15" s="397"/>
      <c r="HD15" s="397"/>
      <c r="HE15" s="397"/>
      <c r="HF15" s="397"/>
      <c r="HG15" s="397"/>
      <c r="HH15" s="35"/>
      <c r="HI15" s="291"/>
      <c r="HJ15" s="291"/>
      <c r="HK15" s="291"/>
      <c r="HL15" s="397"/>
      <c r="HM15" s="291"/>
      <c r="HN15" s="291"/>
      <c r="HO15" s="397"/>
      <c r="HP15" s="397"/>
      <c r="HQ15" s="397"/>
      <c r="HR15" s="397"/>
      <c r="HS15" s="397"/>
      <c r="HT15" s="35"/>
      <c r="HU15" s="291"/>
      <c r="HV15" s="291"/>
      <c r="HW15" s="291"/>
      <c r="HX15" s="397"/>
      <c r="HY15" s="291"/>
      <c r="HZ15" s="291"/>
      <c r="IA15" s="397"/>
      <c r="IB15" s="397"/>
      <c r="IC15" s="397"/>
      <c r="ID15" s="397"/>
      <c r="IE15" s="397"/>
      <c r="IF15" s="35"/>
      <c r="IG15" s="291"/>
      <c r="IH15" s="291"/>
      <c r="II15" s="291"/>
    </row>
    <row r="16" spans="1:243" s="5" customFormat="1" ht="14.25">
      <c r="A16" s="391" t="s">
        <v>8</v>
      </c>
      <c r="B16" s="291">
        <v>-3.4</v>
      </c>
      <c r="C16" s="291">
        <v>-3.7</v>
      </c>
      <c r="D16" s="291">
        <v>-2.7</v>
      </c>
      <c r="E16" s="291">
        <v>-2.2999999999999998</v>
      </c>
      <c r="F16" s="291">
        <v>-1.2</v>
      </c>
      <c r="G16" s="291">
        <v>-1.9</v>
      </c>
      <c r="H16" s="291">
        <v>-1.2</v>
      </c>
      <c r="I16" s="291"/>
      <c r="J16" s="291"/>
      <c r="K16" s="291"/>
      <c r="L16" s="35"/>
      <c r="M16" s="291"/>
      <c r="N16" s="291"/>
      <c r="O16" s="291"/>
      <c r="P16" s="291"/>
      <c r="Q16" s="291"/>
      <c r="R16" s="291"/>
      <c r="S16" s="291"/>
      <c r="T16" s="291"/>
      <c r="U16" s="291"/>
      <c r="V16" s="291"/>
      <c r="W16" s="291"/>
      <c r="X16" s="35"/>
      <c r="Y16" s="291"/>
      <c r="Z16" s="291"/>
      <c r="AA16" s="291"/>
      <c r="AB16" s="291"/>
      <c r="AC16" s="291"/>
      <c r="AD16" s="291"/>
      <c r="AE16" s="291"/>
      <c r="AF16" s="291"/>
      <c r="AG16" s="291"/>
      <c r="AH16" s="291"/>
      <c r="AI16" s="291"/>
      <c r="AJ16" s="35"/>
      <c r="AK16" s="291"/>
      <c r="AL16" s="291"/>
      <c r="AM16" s="291"/>
      <c r="AN16" s="291"/>
      <c r="AO16" s="291"/>
      <c r="AP16" s="291"/>
      <c r="AQ16" s="291"/>
      <c r="AR16" s="291"/>
      <c r="AS16" s="291"/>
      <c r="AT16" s="291"/>
      <c r="AU16" s="291"/>
      <c r="AV16" s="35"/>
      <c r="AW16" s="291"/>
      <c r="AX16" s="291"/>
      <c r="AY16" s="291"/>
      <c r="AZ16" s="291"/>
      <c r="BA16" s="291"/>
      <c r="BB16" s="291"/>
      <c r="BC16" s="291"/>
      <c r="BD16" s="291"/>
      <c r="BE16" s="291"/>
      <c r="BF16" s="291"/>
      <c r="BG16" s="291"/>
      <c r="BH16" s="35"/>
      <c r="BI16" s="291"/>
      <c r="BJ16" s="291"/>
      <c r="BK16" s="291"/>
      <c r="BL16" s="291"/>
      <c r="BM16" s="291"/>
      <c r="BN16" s="291"/>
      <c r="BO16" s="291"/>
      <c r="BP16" s="291"/>
      <c r="BQ16" s="291"/>
      <c r="BR16" s="291"/>
      <c r="BS16" s="291"/>
      <c r="BT16" s="35"/>
      <c r="BU16" s="291"/>
      <c r="BV16" s="291"/>
      <c r="BW16" s="291"/>
      <c r="BX16" s="291"/>
      <c r="BY16" s="291"/>
      <c r="BZ16" s="291"/>
      <c r="CA16" s="291"/>
      <c r="CB16" s="291"/>
      <c r="CC16" s="291"/>
      <c r="CD16" s="291"/>
      <c r="CE16" s="291"/>
      <c r="CF16" s="35"/>
      <c r="CG16" s="291"/>
      <c r="CH16" s="291"/>
      <c r="CI16" s="291"/>
      <c r="CJ16" s="291"/>
      <c r="CK16" s="291"/>
      <c r="CL16" s="291"/>
      <c r="CM16" s="291"/>
      <c r="CN16" s="291"/>
      <c r="CO16" s="291"/>
      <c r="CP16" s="291"/>
      <c r="CQ16" s="291"/>
      <c r="CR16" s="35"/>
      <c r="CS16" s="291"/>
      <c r="CT16" s="291"/>
      <c r="CU16" s="291"/>
      <c r="CV16" s="291"/>
      <c r="CW16" s="291"/>
      <c r="CX16" s="291"/>
      <c r="CY16" s="291"/>
      <c r="CZ16" s="291"/>
      <c r="DA16" s="291"/>
      <c r="DB16" s="291"/>
      <c r="DC16" s="291"/>
      <c r="DD16" s="35"/>
      <c r="DE16" s="291"/>
      <c r="DF16" s="291"/>
      <c r="DG16" s="291"/>
      <c r="DH16" s="291"/>
      <c r="DI16" s="291"/>
      <c r="DJ16" s="291"/>
      <c r="DK16" s="291"/>
      <c r="DL16" s="291"/>
      <c r="DM16" s="291"/>
      <c r="DN16" s="291"/>
      <c r="DO16" s="291"/>
      <c r="DP16" s="35"/>
      <c r="DQ16" s="291"/>
      <c r="DR16" s="291"/>
      <c r="DS16" s="291"/>
      <c r="DT16" s="291"/>
      <c r="DU16" s="291"/>
      <c r="DV16" s="291"/>
      <c r="DW16" s="291"/>
      <c r="DX16" s="291"/>
      <c r="DY16" s="291"/>
      <c r="DZ16" s="291"/>
      <c r="EA16" s="291"/>
      <c r="EB16" s="35"/>
      <c r="EC16" s="291"/>
      <c r="ED16" s="291"/>
      <c r="EE16" s="291"/>
      <c r="EF16" s="291"/>
      <c r="EG16" s="291"/>
      <c r="EH16" s="291"/>
      <c r="EI16" s="291"/>
      <c r="EJ16" s="291"/>
      <c r="EK16" s="291"/>
      <c r="EL16" s="291"/>
      <c r="EM16" s="291"/>
      <c r="EN16" s="35"/>
      <c r="EO16" s="291"/>
      <c r="EP16" s="291"/>
      <c r="EQ16" s="291"/>
      <c r="ER16" s="291"/>
      <c r="ES16" s="291"/>
      <c r="ET16" s="291"/>
      <c r="EU16" s="291"/>
      <c r="EV16" s="291"/>
      <c r="EW16" s="291"/>
      <c r="EX16" s="291"/>
      <c r="EY16" s="291"/>
      <c r="EZ16" s="35"/>
      <c r="FA16" s="291"/>
      <c r="FB16" s="291"/>
      <c r="FC16" s="291"/>
      <c r="FD16" s="291"/>
      <c r="FE16" s="291"/>
      <c r="FF16" s="291"/>
      <c r="FG16" s="291"/>
      <c r="FH16" s="291"/>
      <c r="FI16" s="291"/>
      <c r="FJ16" s="291"/>
      <c r="FK16" s="291"/>
      <c r="FL16" s="35"/>
      <c r="FM16" s="291"/>
      <c r="FN16" s="291"/>
      <c r="FO16" s="291"/>
      <c r="FP16" s="291"/>
      <c r="FQ16" s="291"/>
      <c r="FR16" s="291"/>
      <c r="FS16" s="291"/>
      <c r="FT16" s="291"/>
      <c r="FU16" s="291"/>
      <c r="FV16" s="291"/>
      <c r="FW16" s="291"/>
      <c r="FX16" s="35"/>
      <c r="FY16" s="291"/>
      <c r="FZ16" s="291"/>
      <c r="GA16" s="291"/>
      <c r="GB16" s="291"/>
      <c r="GC16" s="291"/>
      <c r="GD16" s="291"/>
      <c r="GE16" s="291"/>
      <c r="GF16" s="291"/>
      <c r="GG16" s="291"/>
      <c r="GH16" s="291"/>
      <c r="GI16" s="291"/>
      <c r="GJ16" s="35"/>
      <c r="GK16" s="291"/>
      <c r="GL16" s="291"/>
      <c r="GM16" s="291"/>
      <c r="GN16" s="291"/>
      <c r="GO16" s="291"/>
      <c r="GP16" s="291"/>
      <c r="GQ16" s="291"/>
      <c r="GR16" s="291"/>
      <c r="GS16" s="291"/>
      <c r="GT16" s="291"/>
      <c r="GU16" s="291"/>
      <c r="GV16" s="35"/>
      <c r="GW16" s="291"/>
      <c r="GX16" s="291"/>
      <c r="GY16" s="291"/>
      <c r="GZ16" s="291"/>
      <c r="HA16" s="291"/>
      <c r="HB16" s="291"/>
      <c r="HC16" s="291"/>
      <c r="HD16" s="291"/>
      <c r="HE16" s="291"/>
      <c r="HF16" s="291"/>
      <c r="HG16" s="291"/>
      <c r="HH16" s="35"/>
      <c r="HI16" s="291"/>
      <c r="HJ16" s="291"/>
      <c r="HK16" s="291"/>
      <c r="HL16" s="291"/>
      <c r="HM16" s="291"/>
      <c r="HN16" s="291"/>
      <c r="HO16" s="291"/>
      <c r="HP16" s="291"/>
      <c r="HQ16" s="291"/>
      <c r="HR16" s="291"/>
      <c r="HS16" s="291"/>
      <c r="HT16" s="35"/>
      <c r="HU16" s="291"/>
      <c r="HV16" s="291"/>
      <c r="HW16" s="291"/>
      <c r="HX16" s="291"/>
      <c r="HY16" s="291"/>
      <c r="HZ16" s="291"/>
      <c r="IA16" s="291"/>
      <c r="IB16" s="291"/>
      <c r="IC16" s="291"/>
      <c r="ID16" s="291"/>
      <c r="IE16" s="291"/>
      <c r="IF16" s="35"/>
      <c r="IG16" s="291"/>
      <c r="IH16" s="291"/>
      <c r="II16" s="291"/>
    </row>
    <row r="17" spans="1:243" s="5" customFormat="1" ht="14.25">
      <c r="A17" s="391" t="s">
        <v>21</v>
      </c>
      <c r="B17" s="291">
        <v>0.3</v>
      </c>
      <c r="C17" s="291">
        <v>1</v>
      </c>
      <c r="D17" s="291">
        <v>1.8</v>
      </c>
      <c r="E17" s="291">
        <v>2.5</v>
      </c>
      <c r="F17" s="291">
        <v>1.6</v>
      </c>
      <c r="G17" s="397">
        <v>0.6</v>
      </c>
      <c r="H17" s="397">
        <v>0.4</v>
      </c>
      <c r="I17" s="397"/>
      <c r="J17" s="397"/>
      <c r="K17" s="397"/>
      <c r="L17" s="35"/>
      <c r="M17" s="291"/>
      <c r="N17" s="291"/>
      <c r="O17" s="291"/>
      <c r="P17" s="291"/>
      <c r="Q17" s="291"/>
      <c r="R17" s="291"/>
      <c r="S17" s="397"/>
      <c r="T17" s="397"/>
      <c r="U17" s="397"/>
      <c r="V17" s="397"/>
      <c r="W17" s="397"/>
      <c r="X17" s="35"/>
      <c r="Y17" s="291"/>
      <c r="Z17" s="291"/>
      <c r="AA17" s="291"/>
      <c r="AB17" s="291"/>
      <c r="AC17" s="291"/>
      <c r="AD17" s="291"/>
      <c r="AE17" s="397"/>
      <c r="AF17" s="397"/>
      <c r="AG17" s="397"/>
      <c r="AH17" s="397"/>
      <c r="AI17" s="397"/>
      <c r="AJ17" s="35"/>
      <c r="AK17" s="291"/>
      <c r="AL17" s="291"/>
      <c r="AM17" s="291"/>
      <c r="AN17" s="291"/>
      <c r="AO17" s="291"/>
      <c r="AP17" s="291"/>
      <c r="AQ17" s="397"/>
      <c r="AR17" s="397"/>
      <c r="AS17" s="397"/>
      <c r="AT17" s="397"/>
      <c r="AU17" s="397"/>
      <c r="AV17" s="35"/>
      <c r="AW17" s="291"/>
      <c r="AX17" s="291"/>
      <c r="AY17" s="291"/>
      <c r="AZ17" s="291"/>
      <c r="BA17" s="291"/>
      <c r="BB17" s="291"/>
      <c r="BC17" s="397"/>
      <c r="BD17" s="397"/>
      <c r="BE17" s="397"/>
      <c r="BF17" s="397"/>
      <c r="BG17" s="397"/>
      <c r="BH17" s="35"/>
      <c r="BI17" s="291"/>
      <c r="BJ17" s="291"/>
      <c r="BK17" s="291"/>
      <c r="BL17" s="291"/>
      <c r="BM17" s="291"/>
      <c r="BN17" s="291"/>
      <c r="BO17" s="397"/>
      <c r="BP17" s="397"/>
      <c r="BQ17" s="397"/>
      <c r="BR17" s="397"/>
      <c r="BS17" s="397"/>
      <c r="BT17" s="35"/>
      <c r="BU17" s="291"/>
      <c r="BV17" s="291"/>
      <c r="BW17" s="291"/>
      <c r="BX17" s="291"/>
      <c r="BY17" s="291"/>
      <c r="BZ17" s="291"/>
      <c r="CA17" s="397"/>
      <c r="CB17" s="397"/>
      <c r="CC17" s="397"/>
      <c r="CD17" s="397"/>
      <c r="CE17" s="397"/>
      <c r="CF17" s="35"/>
      <c r="CG17" s="291"/>
      <c r="CH17" s="291"/>
      <c r="CI17" s="291"/>
      <c r="CJ17" s="291"/>
      <c r="CK17" s="291"/>
      <c r="CL17" s="291"/>
      <c r="CM17" s="397"/>
      <c r="CN17" s="397"/>
      <c r="CO17" s="397"/>
      <c r="CP17" s="397"/>
      <c r="CQ17" s="397"/>
      <c r="CR17" s="35"/>
      <c r="CS17" s="291"/>
      <c r="CT17" s="291"/>
      <c r="CU17" s="291"/>
      <c r="CV17" s="291"/>
      <c r="CW17" s="291"/>
      <c r="CX17" s="291"/>
      <c r="CY17" s="397"/>
      <c r="CZ17" s="397"/>
      <c r="DA17" s="397"/>
      <c r="DB17" s="397"/>
      <c r="DC17" s="397"/>
      <c r="DD17" s="35"/>
      <c r="DE17" s="291"/>
      <c r="DF17" s="291"/>
      <c r="DG17" s="291"/>
      <c r="DH17" s="291"/>
      <c r="DI17" s="291"/>
      <c r="DJ17" s="291"/>
      <c r="DK17" s="397"/>
      <c r="DL17" s="397"/>
      <c r="DM17" s="397"/>
      <c r="DN17" s="397"/>
      <c r="DO17" s="397"/>
      <c r="DP17" s="35"/>
      <c r="DQ17" s="291"/>
      <c r="DR17" s="291"/>
      <c r="DS17" s="291"/>
      <c r="DT17" s="291"/>
      <c r="DU17" s="291"/>
      <c r="DV17" s="291"/>
      <c r="DW17" s="397"/>
      <c r="DX17" s="397"/>
      <c r="DY17" s="397"/>
      <c r="DZ17" s="397"/>
      <c r="EA17" s="397"/>
      <c r="EB17" s="35"/>
      <c r="EC17" s="291"/>
      <c r="ED17" s="291"/>
      <c r="EE17" s="291"/>
      <c r="EF17" s="291"/>
      <c r="EG17" s="291"/>
      <c r="EH17" s="291"/>
      <c r="EI17" s="397"/>
      <c r="EJ17" s="397"/>
      <c r="EK17" s="397"/>
      <c r="EL17" s="397"/>
      <c r="EM17" s="397"/>
      <c r="EN17" s="35"/>
      <c r="EO17" s="291"/>
      <c r="EP17" s="291"/>
      <c r="EQ17" s="291"/>
      <c r="ER17" s="291"/>
      <c r="ES17" s="291"/>
      <c r="ET17" s="291"/>
      <c r="EU17" s="397"/>
      <c r="EV17" s="397"/>
      <c r="EW17" s="397"/>
      <c r="EX17" s="397"/>
      <c r="EY17" s="397"/>
      <c r="EZ17" s="35"/>
      <c r="FA17" s="291"/>
      <c r="FB17" s="291"/>
      <c r="FC17" s="291"/>
      <c r="FD17" s="291"/>
      <c r="FE17" s="291"/>
      <c r="FF17" s="291"/>
      <c r="FG17" s="397"/>
      <c r="FH17" s="397"/>
      <c r="FI17" s="397"/>
      <c r="FJ17" s="397"/>
      <c r="FK17" s="397"/>
      <c r="FL17" s="35"/>
      <c r="FM17" s="291"/>
      <c r="FN17" s="291"/>
      <c r="FO17" s="291"/>
      <c r="FP17" s="291"/>
      <c r="FQ17" s="291"/>
      <c r="FR17" s="291"/>
      <c r="FS17" s="397"/>
      <c r="FT17" s="397"/>
      <c r="FU17" s="397"/>
      <c r="FV17" s="397"/>
      <c r="FW17" s="397"/>
      <c r="FX17" s="35"/>
      <c r="FY17" s="291"/>
      <c r="FZ17" s="291"/>
      <c r="GA17" s="291"/>
      <c r="GB17" s="291"/>
      <c r="GC17" s="291"/>
      <c r="GD17" s="291"/>
      <c r="GE17" s="397"/>
      <c r="GF17" s="397"/>
      <c r="GG17" s="397"/>
      <c r="GH17" s="397"/>
      <c r="GI17" s="397"/>
      <c r="GJ17" s="35"/>
      <c r="GK17" s="291"/>
      <c r="GL17" s="291"/>
      <c r="GM17" s="291"/>
      <c r="GN17" s="291"/>
      <c r="GO17" s="291"/>
      <c r="GP17" s="291"/>
      <c r="GQ17" s="397"/>
      <c r="GR17" s="397"/>
      <c r="GS17" s="397"/>
      <c r="GT17" s="397"/>
      <c r="GU17" s="397"/>
      <c r="GV17" s="35"/>
      <c r="GW17" s="291"/>
      <c r="GX17" s="291"/>
      <c r="GY17" s="291"/>
      <c r="GZ17" s="291"/>
      <c r="HA17" s="291"/>
      <c r="HB17" s="291"/>
      <c r="HC17" s="397"/>
      <c r="HD17" s="397"/>
      <c r="HE17" s="397"/>
      <c r="HF17" s="397"/>
      <c r="HG17" s="397"/>
      <c r="HH17" s="35"/>
      <c r="HI17" s="291"/>
      <c r="HJ17" s="291"/>
      <c r="HK17" s="291"/>
      <c r="HL17" s="291"/>
      <c r="HM17" s="291"/>
      <c r="HN17" s="291"/>
      <c r="HO17" s="397"/>
      <c r="HP17" s="397"/>
      <c r="HQ17" s="397"/>
      <c r="HR17" s="397"/>
      <c r="HS17" s="397"/>
      <c r="HT17" s="35"/>
      <c r="HU17" s="291"/>
      <c r="HV17" s="291"/>
      <c r="HW17" s="291"/>
      <c r="HX17" s="291"/>
      <c r="HY17" s="291"/>
      <c r="HZ17" s="291"/>
      <c r="IA17" s="397"/>
      <c r="IB17" s="397"/>
      <c r="IC17" s="397"/>
      <c r="ID17" s="397"/>
      <c r="IE17" s="397"/>
      <c r="IF17" s="35"/>
      <c r="IG17" s="291"/>
      <c r="IH17" s="291"/>
      <c r="II17" s="291"/>
    </row>
    <row r="18" spans="1:243" s="8" customFormat="1" ht="14.25">
      <c r="A18" s="407" t="s">
        <v>20</v>
      </c>
      <c r="B18" s="291">
        <v>-4.0999999999999996</v>
      </c>
      <c r="C18" s="291">
        <v>-2.9</v>
      </c>
      <c r="D18" s="291">
        <v>-3.9</v>
      </c>
      <c r="E18" s="291">
        <v>-2.6</v>
      </c>
      <c r="F18" s="291">
        <v>-2.6</v>
      </c>
      <c r="G18" s="291">
        <v>-2.1</v>
      </c>
      <c r="H18" s="291">
        <v>-1.6</v>
      </c>
      <c r="I18" s="296"/>
      <c r="J18" s="296"/>
      <c r="K18" s="296"/>
      <c r="L18" s="34"/>
      <c r="M18" s="295"/>
      <c r="N18" s="295"/>
      <c r="O18" s="295"/>
      <c r="P18" s="295"/>
      <c r="Q18" s="295"/>
      <c r="R18" s="295"/>
      <c r="S18" s="296"/>
      <c r="T18" s="296"/>
      <c r="U18" s="296"/>
      <c r="V18" s="296"/>
      <c r="W18" s="296"/>
      <c r="X18" s="34"/>
      <c r="Y18" s="295"/>
      <c r="Z18" s="295"/>
      <c r="AA18" s="295"/>
      <c r="AB18" s="295"/>
      <c r="AC18" s="295"/>
      <c r="AD18" s="295"/>
      <c r="AE18" s="296"/>
      <c r="AF18" s="296"/>
      <c r="AG18" s="296"/>
      <c r="AH18" s="296"/>
      <c r="AI18" s="296"/>
      <c r="AJ18" s="34"/>
      <c r="AK18" s="295"/>
      <c r="AL18" s="295"/>
      <c r="AM18" s="295"/>
      <c r="AN18" s="295"/>
      <c r="AO18" s="295"/>
      <c r="AP18" s="295"/>
      <c r="AQ18" s="296"/>
      <c r="AR18" s="296"/>
      <c r="AS18" s="296"/>
      <c r="AT18" s="296"/>
      <c r="AU18" s="296"/>
      <c r="AV18" s="34"/>
      <c r="AW18" s="295"/>
      <c r="AX18" s="295"/>
      <c r="AY18" s="295"/>
      <c r="AZ18" s="295"/>
      <c r="BA18" s="295"/>
      <c r="BB18" s="295"/>
      <c r="BC18" s="296"/>
      <c r="BD18" s="296"/>
      <c r="BE18" s="296"/>
      <c r="BF18" s="296"/>
      <c r="BG18" s="296"/>
      <c r="BH18" s="34"/>
      <c r="BI18" s="295"/>
      <c r="BJ18" s="295"/>
      <c r="BK18" s="295"/>
      <c r="BL18" s="295"/>
      <c r="BM18" s="295"/>
      <c r="BN18" s="295"/>
      <c r="BO18" s="296"/>
      <c r="BP18" s="296"/>
      <c r="BQ18" s="296"/>
      <c r="BR18" s="296"/>
      <c r="BS18" s="296"/>
      <c r="BT18" s="34"/>
      <c r="BU18" s="295"/>
      <c r="BV18" s="295"/>
      <c r="BW18" s="295"/>
      <c r="BX18" s="295"/>
      <c r="BY18" s="295"/>
      <c r="BZ18" s="295"/>
      <c r="CA18" s="296"/>
      <c r="CB18" s="296"/>
      <c r="CC18" s="296"/>
      <c r="CD18" s="296"/>
      <c r="CE18" s="296"/>
      <c r="CF18" s="34"/>
      <c r="CG18" s="295"/>
      <c r="CH18" s="295"/>
      <c r="CI18" s="295"/>
      <c r="CJ18" s="295"/>
      <c r="CK18" s="295"/>
      <c r="CL18" s="295"/>
      <c r="CM18" s="296"/>
      <c r="CN18" s="296"/>
      <c r="CO18" s="296"/>
      <c r="CP18" s="296"/>
      <c r="CQ18" s="296"/>
      <c r="CR18" s="34"/>
      <c r="CS18" s="295"/>
      <c r="CT18" s="295"/>
      <c r="CU18" s="295"/>
      <c r="CV18" s="295"/>
      <c r="CW18" s="295"/>
      <c r="CX18" s="295"/>
      <c r="CY18" s="296"/>
      <c r="CZ18" s="296"/>
      <c r="DA18" s="296"/>
      <c r="DB18" s="296"/>
      <c r="DC18" s="296"/>
      <c r="DD18" s="34"/>
      <c r="DE18" s="295"/>
      <c r="DF18" s="295"/>
      <c r="DG18" s="295"/>
      <c r="DH18" s="295"/>
      <c r="DI18" s="295"/>
      <c r="DJ18" s="295"/>
      <c r="DK18" s="296"/>
      <c r="DL18" s="296"/>
      <c r="DM18" s="296"/>
      <c r="DN18" s="296"/>
      <c r="DO18" s="296"/>
      <c r="DP18" s="34"/>
      <c r="DQ18" s="295"/>
      <c r="DR18" s="295"/>
      <c r="DS18" s="295"/>
      <c r="DT18" s="295"/>
      <c r="DU18" s="295"/>
      <c r="DV18" s="295"/>
      <c r="DW18" s="296"/>
      <c r="DX18" s="296"/>
      <c r="DY18" s="296"/>
      <c r="DZ18" s="296"/>
      <c r="EA18" s="296"/>
      <c r="EB18" s="34"/>
      <c r="EC18" s="295"/>
      <c r="ED18" s="295"/>
      <c r="EE18" s="295"/>
      <c r="EF18" s="295"/>
      <c r="EG18" s="295"/>
      <c r="EH18" s="295"/>
      <c r="EI18" s="296"/>
      <c r="EJ18" s="296"/>
      <c r="EK18" s="296"/>
      <c r="EL18" s="296"/>
      <c r="EM18" s="296"/>
      <c r="EN18" s="34"/>
      <c r="EO18" s="295"/>
      <c r="EP18" s="295"/>
      <c r="EQ18" s="295"/>
      <c r="ER18" s="295"/>
      <c r="ES18" s="295"/>
      <c r="ET18" s="295"/>
      <c r="EU18" s="296"/>
      <c r="EV18" s="296"/>
      <c r="EW18" s="296"/>
      <c r="EX18" s="296"/>
      <c r="EY18" s="296"/>
      <c r="EZ18" s="34"/>
      <c r="FA18" s="295"/>
      <c r="FB18" s="295"/>
      <c r="FC18" s="295"/>
      <c r="FD18" s="295"/>
      <c r="FE18" s="295"/>
      <c r="FF18" s="295"/>
      <c r="FG18" s="296"/>
      <c r="FH18" s="296"/>
      <c r="FI18" s="296"/>
      <c r="FJ18" s="296"/>
      <c r="FK18" s="296"/>
      <c r="FL18" s="34"/>
      <c r="FM18" s="295"/>
      <c r="FN18" s="295"/>
      <c r="FO18" s="295"/>
      <c r="FP18" s="295"/>
      <c r="FQ18" s="295"/>
      <c r="FR18" s="295"/>
      <c r="FS18" s="296"/>
      <c r="FT18" s="296"/>
      <c r="FU18" s="296"/>
      <c r="FV18" s="296"/>
      <c r="FW18" s="296"/>
      <c r="FX18" s="34"/>
      <c r="FY18" s="295"/>
      <c r="FZ18" s="295"/>
      <c r="GA18" s="295"/>
      <c r="GB18" s="295"/>
      <c r="GC18" s="295"/>
      <c r="GD18" s="295"/>
      <c r="GE18" s="296"/>
      <c r="GF18" s="296"/>
      <c r="GG18" s="296"/>
      <c r="GH18" s="296"/>
      <c r="GI18" s="296"/>
      <c r="GJ18" s="34"/>
      <c r="GK18" s="295"/>
      <c r="GL18" s="295"/>
      <c r="GM18" s="295"/>
      <c r="GN18" s="295"/>
      <c r="GO18" s="295"/>
      <c r="GP18" s="295"/>
      <c r="GQ18" s="296"/>
      <c r="GR18" s="296"/>
      <c r="GS18" s="296"/>
      <c r="GT18" s="296"/>
      <c r="GU18" s="296"/>
      <c r="GV18" s="34"/>
      <c r="GW18" s="295"/>
      <c r="GX18" s="295"/>
      <c r="GY18" s="295"/>
      <c r="GZ18" s="295"/>
      <c r="HA18" s="295"/>
      <c r="HB18" s="295"/>
      <c r="HC18" s="296"/>
      <c r="HD18" s="296"/>
      <c r="HE18" s="296"/>
      <c r="HF18" s="296"/>
      <c r="HG18" s="296"/>
      <c r="HH18" s="34"/>
      <c r="HI18" s="295"/>
      <c r="HJ18" s="295"/>
      <c r="HK18" s="295"/>
      <c r="HL18" s="295"/>
      <c r="HM18" s="295"/>
      <c r="HN18" s="295"/>
      <c r="HO18" s="296"/>
      <c r="HP18" s="296"/>
      <c r="HQ18" s="296"/>
      <c r="HR18" s="296"/>
      <c r="HS18" s="296"/>
      <c r="HT18" s="34"/>
      <c r="HU18" s="295"/>
      <c r="HV18" s="295"/>
      <c r="HW18" s="295"/>
      <c r="HX18" s="295"/>
      <c r="HY18" s="295"/>
      <c r="HZ18" s="295"/>
      <c r="IA18" s="296"/>
      <c r="IB18" s="296"/>
      <c r="IC18" s="296"/>
      <c r="ID18" s="296"/>
      <c r="IE18" s="296"/>
      <c r="IF18" s="34"/>
      <c r="IG18" s="295"/>
      <c r="IH18" s="295"/>
      <c r="II18" s="295"/>
    </row>
    <row r="19" spans="1:243" s="8" customFormat="1" ht="14.25">
      <c r="A19" s="391" t="s">
        <v>19</v>
      </c>
      <c r="B19" s="291">
        <v>-3.8</v>
      </c>
      <c r="C19" s="291">
        <v>-3.8</v>
      </c>
      <c r="D19" s="291">
        <v>-2.2000000000000002</v>
      </c>
      <c r="E19" s="291">
        <v>-0.6</v>
      </c>
      <c r="F19" s="291">
        <v>-0.2</v>
      </c>
      <c r="G19" s="291">
        <v>-0.3</v>
      </c>
      <c r="H19" s="291">
        <v>-0.4</v>
      </c>
      <c r="I19" s="296"/>
      <c r="J19" s="296"/>
      <c r="K19" s="296"/>
      <c r="L19" s="34"/>
      <c r="M19" s="295"/>
      <c r="N19" s="295"/>
      <c r="O19" s="295"/>
      <c r="P19" s="295"/>
      <c r="Q19" s="295"/>
      <c r="R19" s="295"/>
      <c r="S19" s="296"/>
      <c r="T19" s="296"/>
      <c r="U19" s="296"/>
      <c r="V19" s="296"/>
      <c r="W19" s="296"/>
      <c r="X19" s="34"/>
      <c r="Y19" s="295"/>
      <c r="Z19" s="295"/>
      <c r="AA19" s="295"/>
      <c r="AB19" s="295"/>
      <c r="AC19" s="295"/>
      <c r="AD19" s="295"/>
      <c r="AE19" s="296"/>
      <c r="AF19" s="296"/>
      <c r="AG19" s="296"/>
      <c r="AH19" s="296"/>
      <c r="AI19" s="296"/>
      <c r="AJ19" s="34"/>
      <c r="AK19" s="295"/>
      <c r="AL19" s="295"/>
      <c r="AM19" s="295"/>
      <c r="AN19" s="295"/>
      <c r="AO19" s="295"/>
      <c r="AP19" s="295"/>
      <c r="AQ19" s="296"/>
      <c r="AR19" s="296"/>
      <c r="AS19" s="296"/>
      <c r="AT19" s="296"/>
      <c r="AU19" s="296"/>
      <c r="AV19" s="34"/>
      <c r="AW19" s="295"/>
      <c r="AX19" s="295"/>
      <c r="AY19" s="295"/>
      <c r="AZ19" s="295"/>
      <c r="BA19" s="295"/>
      <c r="BB19" s="295"/>
      <c r="BC19" s="296"/>
      <c r="BD19" s="296"/>
      <c r="BE19" s="296"/>
      <c r="BF19" s="296"/>
      <c r="BG19" s="296"/>
      <c r="BH19" s="34"/>
      <c r="BI19" s="295"/>
      <c r="BJ19" s="295"/>
      <c r="BK19" s="295"/>
      <c r="BL19" s="295"/>
      <c r="BM19" s="295"/>
      <c r="BN19" s="295"/>
      <c r="BO19" s="296"/>
      <c r="BP19" s="296"/>
      <c r="BQ19" s="296"/>
      <c r="BR19" s="296"/>
      <c r="BS19" s="296"/>
      <c r="BT19" s="34"/>
      <c r="BU19" s="295"/>
      <c r="BV19" s="295"/>
      <c r="BW19" s="295"/>
      <c r="BX19" s="295"/>
      <c r="BY19" s="295"/>
      <c r="BZ19" s="295"/>
      <c r="CA19" s="296"/>
      <c r="CB19" s="296"/>
      <c r="CC19" s="296"/>
      <c r="CD19" s="296"/>
      <c r="CE19" s="296"/>
      <c r="CF19" s="34"/>
      <c r="CG19" s="295"/>
      <c r="CH19" s="295"/>
      <c r="CI19" s="295"/>
      <c r="CJ19" s="295"/>
      <c r="CK19" s="295"/>
      <c r="CL19" s="295"/>
      <c r="CM19" s="296"/>
      <c r="CN19" s="296"/>
      <c r="CO19" s="296"/>
      <c r="CP19" s="296"/>
      <c r="CQ19" s="296"/>
      <c r="CR19" s="34"/>
      <c r="CS19" s="295"/>
      <c r="CT19" s="295"/>
      <c r="CU19" s="295"/>
      <c r="CV19" s="295"/>
      <c r="CW19" s="295"/>
      <c r="CX19" s="295"/>
      <c r="CY19" s="296"/>
      <c r="CZ19" s="296"/>
      <c r="DA19" s="296"/>
      <c r="DB19" s="296"/>
      <c r="DC19" s="296"/>
      <c r="DD19" s="34"/>
      <c r="DE19" s="295"/>
      <c r="DF19" s="295"/>
      <c r="DG19" s="295"/>
      <c r="DH19" s="295"/>
      <c r="DI19" s="295"/>
      <c r="DJ19" s="295"/>
      <c r="DK19" s="296"/>
      <c r="DL19" s="296"/>
      <c r="DM19" s="296"/>
      <c r="DN19" s="296"/>
      <c r="DO19" s="296"/>
      <c r="DP19" s="34"/>
      <c r="DQ19" s="295"/>
      <c r="DR19" s="295"/>
      <c r="DS19" s="295"/>
      <c r="DT19" s="295"/>
      <c r="DU19" s="295"/>
      <c r="DV19" s="295"/>
      <c r="DW19" s="296"/>
      <c r="DX19" s="296"/>
      <c r="DY19" s="296"/>
      <c r="DZ19" s="296"/>
      <c r="EA19" s="296"/>
      <c r="EB19" s="34"/>
      <c r="EC19" s="295"/>
      <c r="ED19" s="295"/>
      <c r="EE19" s="295"/>
      <c r="EF19" s="295"/>
      <c r="EG19" s="295"/>
      <c r="EH19" s="295"/>
      <c r="EI19" s="296"/>
      <c r="EJ19" s="296"/>
      <c r="EK19" s="296"/>
      <c r="EL19" s="296"/>
      <c r="EM19" s="296"/>
      <c r="EN19" s="34"/>
      <c r="EO19" s="295"/>
      <c r="EP19" s="295"/>
      <c r="EQ19" s="295"/>
      <c r="ER19" s="295"/>
      <c r="ES19" s="295"/>
      <c r="ET19" s="295"/>
      <c r="EU19" s="296"/>
      <c r="EV19" s="296"/>
      <c r="EW19" s="296"/>
      <c r="EX19" s="296"/>
      <c r="EY19" s="296"/>
      <c r="EZ19" s="34"/>
      <c r="FA19" s="295"/>
      <c r="FB19" s="295"/>
      <c r="FC19" s="295"/>
      <c r="FD19" s="295"/>
      <c r="FE19" s="295"/>
      <c r="FF19" s="295"/>
      <c r="FG19" s="296"/>
      <c r="FH19" s="296"/>
      <c r="FI19" s="296"/>
      <c r="FJ19" s="296"/>
      <c r="FK19" s="296"/>
      <c r="FL19" s="34"/>
      <c r="FM19" s="295"/>
      <c r="FN19" s="295"/>
      <c r="FO19" s="295"/>
      <c r="FP19" s="295"/>
      <c r="FQ19" s="295"/>
      <c r="FR19" s="295"/>
      <c r="FS19" s="296"/>
      <c r="FT19" s="296"/>
      <c r="FU19" s="296"/>
      <c r="FV19" s="296"/>
      <c r="FW19" s="296"/>
      <c r="FX19" s="34"/>
      <c r="FY19" s="295"/>
      <c r="FZ19" s="295"/>
      <c r="GA19" s="295"/>
      <c r="GB19" s="295"/>
      <c r="GC19" s="295"/>
      <c r="GD19" s="295"/>
      <c r="GE19" s="296"/>
      <c r="GF19" s="296"/>
      <c r="GG19" s="296"/>
      <c r="GH19" s="296"/>
      <c r="GI19" s="296"/>
      <c r="GJ19" s="34"/>
      <c r="GK19" s="295"/>
      <c r="GL19" s="295"/>
      <c r="GM19" s="295"/>
      <c r="GN19" s="295"/>
      <c r="GO19" s="295"/>
      <c r="GP19" s="295"/>
      <c r="GQ19" s="296"/>
      <c r="GR19" s="296"/>
      <c r="GS19" s="296"/>
      <c r="GT19" s="296"/>
      <c r="GU19" s="296"/>
      <c r="GV19" s="34"/>
      <c r="GW19" s="295"/>
      <c r="GX19" s="295"/>
      <c r="GY19" s="295"/>
      <c r="GZ19" s="295"/>
      <c r="HA19" s="295"/>
      <c r="HB19" s="295"/>
      <c r="HC19" s="296"/>
      <c r="HD19" s="296"/>
      <c r="HE19" s="296"/>
      <c r="HF19" s="296"/>
      <c r="HG19" s="296"/>
      <c r="HH19" s="34"/>
      <c r="HI19" s="295"/>
      <c r="HJ19" s="295"/>
      <c r="HK19" s="295"/>
      <c r="HL19" s="295"/>
      <c r="HM19" s="295"/>
      <c r="HN19" s="295"/>
      <c r="HO19" s="296"/>
      <c r="HP19" s="296"/>
      <c r="HQ19" s="296"/>
      <c r="HR19" s="296"/>
      <c r="HS19" s="296"/>
      <c r="HT19" s="34"/>
      <c r="HU19" s="295"/>
      <c r="HV19" s="295"/>
      <c r="HW19" s="295"/>
      <c r="HX19" s="295"/>
      <c r="HY19" s="295"/>
      <c r="HZ19" s="295"/>
      <c r="IA19" s="296"/>
      <c r="IB19" s="296"/>
      <c r="IC19" s="296"/>
      <c r="ID19" s="296"/>
      <c r="IE19" s="296"/>
      <c r="IF19" s="34"/>
      <c r="IG19" s="295"/>
      <c r="IH19" s="295"/>
      <c r="II19" s="295"/>
    </row>
    <row r="20" spans="1:243" s="5" customFormat="1" ht="14.25">
      <c r="A20" s="408" t="s">
        <v>18</v>
      </c>
      <c r="B20" s="295">
        <v>-3</v>
      </c>
      <c r="C20" s="295">
        <v>-2.4</v>
      </c>
      <c r="D20" s="295">
        <v>-1.7</v>
      </c>
      <c r="E20" s="295">
        <v>-1.1000000000000001</v>
      </c>
      <c r="F20" s="295">
        <v>-0.4</v>
      </c>
      <c r="G20" s="295">
        <v>-0.8</v>
      </c>
      <c r="H20" s="295">
        <v>-1.4</v>
      </c>
      <c r="I20" s="291"/>
      <c r="J20" s="291"/>
      <c r="K20" s="291"/>
      <c r="L20" s="36"/>
      <c r="M20" s="291"/>
      <c r="N20" s="291"/>
      <c r="O20" s="291"/>
      <c r="P20" s="291"/>
      <c r="Q20" s="291"/>
      <c r="R20" s="291"/>
      <c r="S20" s="291"/>
      <c r="T20" s="291"/>
      <c r="U20" s="291"/>
      <c r="V20" s="291"/>
      <c r="W20" s="291"/>
      <c r="X20" s="36"/>
      <c r="Y20" s="291"/>
      <c r="Z20" s="291"/>
      <c r="AA20" s="291"/>
      <c r="AB20" s="291"/>
      <c r="AC20" s="291"/>
      <c r="AD20" s="291"/>
      <c r="AE20" s="291"/>
      <c r="AF20" s="291"/>
      <c r="AG20" s="291"/>
      <c r="AH20" s="291"/>
      <c r="AI20" s="291"/>
      <c r="AJ20" s="36"/>
      <c r="AK20" s="291"/>
      <c r="AL20" s="291"/>
      <c r="AM20" s="291"/>
      <c r="AN20" s="291"/>
      <c r="AO20" s="291"/>
      <c r="AP20" s="291"/>
      <c r="AQ20" s="291"/>
      <c r="AR20" s="291"/>
      <c r="AS20" s="291"/>
      <c r="AT20" s="291"/>
      <c r="AU20" s="291"/>
      <c r="AV20" s="36"/>
      <c r="AW20" s="291"/>
      <c r="AX20" s="291"/>
      <c r="AY20" s="291"/>
      <c r="AZ20" s="291"/>
      <c r="BA20" s="291"/>
      <c r="BB20" s="291"/>
      <c r="BC20" s="291"/>
      <c r="BD20" s="291"/>
      <c r="BE20" s="291"/>
      <c r="BF20" s="291"/>
      <c r="BG20" s="291"/>
      <c r="BH20" s="36"/>
      <c r="BI20" s="291"/>
      <c r="BJ20" s="291"/>
      <c r="BK20" s="291"/>
      <c r="BL20" s="291"/>
      <c r="BM20" s="291"/>
      <c r="BN20" s="291"/>
      <c r="BO20" s="291"/>
      <c r="BP20" s="291"/>
      <c r="BQ20" s="291"/>
      <c r="BR20" s="291"/>
      <c r="BS20" s="291"/>
      <c r="BT20" s="36"/>
      <c r="BU20" s="291"/>
      <c r="BV20" s="291"/>
      <c r="BW20" s="291"/>
      <c r="BX20" s="291"/>
      <c r="BY20" s="291"/>
      <c r="BZ20" s="291"/>
      <c r="CA20" s="291"/>
      <c r="CB20" s="291"/>
      <c r="CC20" s="291"/>
      <c r="CD20" s="291"/>
      <c r="CE20" s="291"/>
      <c r="CF20" s="36"/>
      <c r="CG20" s="291"/>
      <c r="CH20" s="291"/>
      <c r="CI20" s="291"/>
      <c r="CJ20" s="291"/>
      <c r="CK20" s="291"/>
      <c r="CL20" s="291"/>
      <c r="CM20" s="291"/>
      <c r="CN20" s="291"/>
      <c r="CO20" s="291"/>
      <c r="CP20" s="291"/>
      <c r="CQ20" s="291"/>
      <c r="CR20" s="36"/>
      <c r="CS20" s="291"/>
      <c r="CT20" s="291"/>
      <c r="CU20" s="291"/>
      <c r="CV20" s="291"/>
      <c r="CW20" s="291"/>
      <c r="CX20" s="291"/>
      <c r="CY20" s="291"/>
      <c r="CZ20" s="291"/>
      <c r="DA20" s="291"/>
      <c r="DB20" s="291"/>
      <c r="DC20" s="291"/>
      <c r="DD20" s="36"/>
      <c r="DE20" s="291"/>
      <c r="DF20" s="291"/>
      <c r="DG20" s="291"/>
      <c r="DH20" s="291"/>
      <c r="DI20" s="291"/>
      <c r="DJ20" s="291"/>
      <c r="DK20" s="291"/>
      <c r="DL20" s="291"/>
      <c r="DM20" s="291"/>
      <c r="DN20" s="291"/>
      <c r="DO20" s="291"/>
      <c r="DP20" s="36"/>
      <c r="DQ20" s="291"/>
      <c r="DR20" s="291"/>
      <c r="DS20" s="291"/>
      <c r="DT20" s="291"/>
      <c r="DU20" s="291"/>
      <c r="DV20" s="291"/>
      <c r="DW20" s="291"/>
      <c r="DX20" s="291"/>
      <c r="DY20" s="291"/>
      <c r="DZ20" s="291"/>
      <c r="EA20" s="291"/>
      <c r="EB20" s="36"/>
      <c r="EC20" s="291"/>
      <c r="ED20" s="291"/>
      <c r="EE20" s="291"/>
      <c r="EF20" s="291"/>
      <c r="EG20" s="291"/>
      <c r="EH20" s="291"/>
      <c r="EI20" s="291"/>
      <c r="EJ20" s="291"/>
      <c r="EK20" s="291"/>
      <c r="EL20" s="291"/>
      <c r="EM20" s="291"/>
      <c r="EN20" s="36"/>
      <c r="EO20" s="291"/>
      <c r="EP20" s="291"/>
      <c r="EQ20" s="291"/>
      <c r="ER20" s="291"/>
      <c r="ES20" s="291"/>
      <c r="ET20" s="291"/>
      <c r="EU20" s="291"/>
      <c r="EV20" s="291"/>
      <c r="EW20" s="291"/>
      <c r="EX20" s="291"/>
      <c r="EY20" s="291"/>
      <c r="EZ20" s="36"/>
      <c r="FA20" s="291"/>
      <c r="FB20" s="291"/>
      <c r="FC20" s="291"/>
      <c r="FD20" s="291"/>
      <c r="FE20" s="291"/>
      <c r="FF20" s="291"/>
      <c r="FG20" s="291"/>
      <c r="FH20" s="291"/>
      <c r="FI20" s="291"/>
      <c r="FJ20" s="291"/>
      <c r="FK20" s="291"/>
      <c r="FL20" s="36"/>
      <c r="FM20" s="291"/>
      <c r="FN20" s="291"/>
      <c r="FO20" s="291"/>
      <c r="FP20" s="291"/>
      <c r="FQ20" s="291"/>
      <c r="FR20" s="291"/>
      <c r="FS20" s="291"/>
      <c r="FT20" s="291"/>
      <c r="FU20" s="291"/>
      <c r="FV20" s="291"/>
      <c r="FW20" s="291"/>
      <c r="FX20" s="36"/>
      <c r="FY20" s="291"/>
      <c r="FZ20" s="291"/>
      <c r="GA20" s="291"/>
      <c r="GB20" s="291"/>
      <c r="GC20" s="291"/>
      <c r="GD20" s="291"/>
      <c r="GE20" s="291"/>
      <c r="GF20" s="291"/>
      <c r="GG20" s="291"/>
      <c r="GH20" s="291"/>
      <c r="GI20" s="291"/>
      <c r="GJ20" s="36"/>
      <c r="GK20" s="291"/>
      <c r="GL20" s="291"/>
      <c r="GM20" s="291"/>
      <c r="GN20" s="291"/>
      <c r="GO20" s="291"/>
      <c r="GP20" s="291"/>
      <c r="GQ20" s="291"/>
      <c r="GR20" s="291"/>
      <c r="GS20" s="291"/>
      <c r="GT20" s="291"/>
      <c r="GU20" s="291"/>
      <c r="GV20" s="36"/>
      <c r="GW20" s="291"/>
      <c r="GX20" s="291"/>
      <c r="GY20" s="291"/>
      <c r="GZ20" s="291"/>
      <c r="HA20" s="291"/>
      <c r="HB20" s="291"/>
      <c r="HC20" s="291"/>
      <c r="HD20" s="291"/>
      <c r="HE20" s="291"/>
      <c r="HF20" s="291"/>
      <c r="HG20" s="291"/>
      <c r="HH20" s="36"/>
      <c r="HI20" s="291"/>
      <c r="HJ20" s="291"/>
      <c r="HK20" s="291"/>
      <c r="HL20" s="291"/>
      <c r="HM20" s="291"/>
      <c r="HN20" s="291"/>
      <c r="HO20" s="291"/>
      <c r="HP20" s="291"/>
      <c r="HQ20" s="291"/>
      <c r="HR20" s="291"/>
      <c r="HS20" s="291"/>
      <c r="HT20" s="36"/>
      <c r="HU20" s="291"/>
      <c r="HV20" s="291"/>
      <c r="HW20" s="291"/>
      <c r="HX20" s="291"/>
      <c r="HY20" s="291"/>
      <c r="HZ20" s="291"/>
      <c r="IA20" s="291"/>
      <c r="IB20" s="291"/>
      <c r="IC20" s="291"/>
      <c r="ID20" s="291"/>
      <c r="IE20" s="291"/>
      <c r="IF20" s="36"/>
      <c r="IG20" s="291"/>
      <c r="IH20" s="291"/>
      <c r="II20" s="291"/>
    </row>
    <row r="21" spans="1:243" s="5" customFormat="1" ht="14.25">
      <c r="A21" s="400" t="s">
        <v>1021</v>
      </c>
      <c r="B21" s="295">
        <v>-3.1986886099793859</v>
      </c>
      <c r="C21" s="295">
        <v>-2.3295617224368037</v>
      </c>
      <c r="D21" s="295">
        <v>-1.7213603063261438</v>
      </c>
      <c r="E21" s="295">
        <v>-1.0752307162986623</v>
      </c>
      <c r="F21" s="295">
        <v>-0.5</v>
      </c>
      <c r="G21" s="295">
        <v>-0.5</v>
      </c>
      <c r="H21" s="295">
        <v>-0.5</v>
      </c>
      <c r="I21" s="291"/>
      <c r="J21" s="291"/>
      <c r="K21" s="291"/>
      <c r="L21" s="35"/>
      <c r="M21" s="291"/>
      <c r="N21" s="291"/>
      <c r="O21" s="291"/>
      <c r="P21" s="291"/>
      <c r="Q21" s="291"/>
      <c r="R21" s="291"/>
      <c r="S21" s="291"/>
      <c r="T21" s="291"/>
      <c r="U21" s="291"/>
      <c r="V21" s="291"/>
      <c r="W21" s="291"/>
      <c r="X21" s="35"/>
      <c r="Y21" s="291"/>
      <c r="Z21" s="291"/>
      <c r="AA21" s="291"/>
      <c r="AB21" s="291"/>
      <c r="AC21" s="291"/>
      <c r="AD21" s="291"/>
      <c r="AE21" s="291"/>
      <c r="AF21" s="291"/>
      <c r="AG21" s="291"/>
      <c r="AH21" s="291"/>
      <c r="AI21" s="291"/>
      <c r="AJ21" s="35"/>
      <c r="AK21" s="291"/>
      <c r="AL21" s="291"/>
      <c r="AM21" s="291"/>
      <c r="AN21" s="291"/>
      <c r="AO21" s="291"/>
      <c r="AP21" s="291"/>
      <c r="AQ21" s="291"/>
      <c r="AR21" s="291"/>
      <c r="AS21" s="291"/>
      <c r="AT21" s="291"/>
      <c r="AU21" s="291"/>
      <c r="AV21" s="35"/>
      <c r="AW21" s="291"/>
      <c r="AX21" s="291"/>
      <c r="AY21" s="291"/>
      <c r="AZ21" s="291"/>
      <c r="BA21" s="291"/>
      <c r="BB21" s="291"/>
      <c r="BC21" s="291"/>
      <c r="BD21" s="291"/>
      <c r="BE21" s="291"/>
      <c r="BF21" s="291"/>
      <c r="BG21" s="291"/>
      <c r="BH21" s="35"/>
      <c r="BI21" s="291"/>
      <c r="BJ21" s="291"/>
      <c r="BK21" s="291"/>
      <c r="BL21" s="291"/>
      <c r="BM21" s="291"/>
      <c r="BN21" s="291"/>
      <c r="BO21" s="291"/>
      <c r="BP21" s="291"/>
      <c r="BQ21" s="291"/>
      <c r="BR21" s="291"/>
      <c r="BS21" s="291"/>
      <c r="BT21" s="35"/>
      <c r="BU21" s="291"/>
      <c r="BV21" s="291"/>
      <c r="BW21" s="291"/>
      <c r="BX21" s="291"/>
      <c r="BY21" s="291"/>
      <c r="BZ21" s="291"/>
      <c r="CA21" s="291"/>
      <c r="CB21" s="291"/>
      <c r="CC21" s="291"/>
      <c r="CD21" s="291"/>
      <c r="CE21" s="291"/>
      <c r="CF21" s="35"/>
      <c r="CG21" s="291"/>
      <c r="CH21" s="291"/>
      <c r="CI21" s="291"/>
      <c r="CJ21" s="291"/>
      <c r="CK21" s="291"/>
      <c r="CL21" s="291"/>
      <c r="CM21" s="291"/>
      <c r="CN21" s="291"/>
      <c r="CO21" s="291"/>
      <c r="CP21" s="291"/>
      <c r="CQ21" s="291"/>
      <c r="CR21" s="35"/>
      <c r="CS21" s="291"/>
      <c r="CT21" s="291"/>
      <c r="CU21" s="291"/>
      <c r="CV21" s="291"/>
      <c r="CW21" s="291"/>
      <c r="CX21" s="291"/>
      <c r="CY21" s="291"/>
      <c r="CZ21" s="291"/>
      <c r="DA21" s="291"/>
      <c r="DB21" s="291"/>
      <c r="DC21" s="291"/>
      <c r="DD21" s="35"/>
      <c r="DE21" s="291"/>
      <c r="DF21" s="291"/>
      <c r="DG21" s="291"/>
      <c r="DH21" s="291"/>
      <c r="DI21" s="291"/>
      <c r="DJ21" s="291"/>
      <c r="DK21" s="291"/>
      <c r="DL21" s="291"/>
      <c r="DM21" s="291"/>
      <c r="DN21" s="291"/>
      <c r="DO21" s="291"/>
      <c r="DP21" s="35"/>
      <c r="DQ21" s="291"/>
      <c r="DR21" s="291"/>
      <c r="DS21" s="291"/>
      <c r="DT21" s="291"/>
      <c r="DU21" s="291"/>
      <c r="DV21" s="291"/>
      <c r="DW21" s="291"/>
      <c r="DX21" s="291"/>
      <c r="DY21" s="291"/>
      <c r="DZ21" s="291"/>
      <c r="EA21" s="291"/>
      <c r="EB21" s="35"/>
      <c r="EC21" s="291"/>
      <c r="ED21" s="291"/>
      <c r="EE21" s="291"/>
      <c r="EF21" s="291"/>
      <c r="EG21" s="291"/>
      <c r="EH21" s="291"/>
      <c r="EI21" s="291"/>
      <c r="EJ21" s="291"/>
      <c r="EK21" s="291"/>
      <c r="EL21" s="291"/>
      <c r="EM21" s="291"/>
      <c r="EN21" s="35"/>
      <c r="EO21" s="291"/>
      <c r="EP21" s="291"/>
      <c r="EQ21" s="291"/>
      <c r="ER21" s="291"/>
      <c r="ES21" s="291"/>
      <c r="ET21" s="291"/>
      <c r="EU21" s="291"/>
      <c r="EV21" s="291"/>
      <c r="EW21" s="291"/>
      <c r="EX21" s="291"/>
      <c r="EY21" s="291"/>
      <c r="EZ21" s="35"/>
      <c r="FA21" s="291"/>
      <c r="FB21" s="291"/>
      <c r="FC21" s="291"/>
      <c r="FD21" s="291"/>
      <c r="FE21" s="291"/>
      <c r="FF21" s="291"/>
      <c r="FG21" s="291"/>
      <c r="FH21" s="291"/>
      <c r="FI21" s="291"/>
      <c r="FJ21" s="291"/>
      <c r="FK21" s="291"/>
      <c r="FL21" s="35"/>
      <c r="FM21" s="291"/>
      <c r="FN21" s="291"/>
      <c r="FO21" s="291"/>
      <c r="FP21" s="291"/>
      <c r="FQ21" s="291"/>
      <c r="FR21" s="291"/>
      <c r="FS21" s="291"/>
      <c r="FT21" s="291"/>
      <c r="FU21" s="291"/>
      <c r="FV21" s="291"/>
      <c r="FW21" s="291"/>
      <c r="FX21" s="35"/>
      <c r="FY21" s="291"/>
      <c r="FZ21" s="291"/>
      <c r="GA21" s="291"/>
      <c r="GB21" s="291"/>
      <c r="GC21" s="291"/>
      <c r="GD21" s="291"/>
      <c r="GE21" s="291"/>
      <c r="GF21" s="291"/>
      <c r="GG21" s="291"/>
      <c r="GH21" s="291"/>
      <c r="GI21" s="291"/>
      <c r="GJ21" s="35"/>
      <c r="GK21" s="291"/>
      <c r="GL21" s="291"/>
      <c r="GM21" s="291"/>
      <c r="GN21" s="291"/>
      <c r="GO21" s="291"/>
      <c r="GP21" s="291"/>
      <c r="GQ21" s="291"/>
      <c r="GR21" s="291"/>
      <c r="GS21" s="291"/>
      <c r="GT21" s="291"/>
      <c r="GU21" s="291"/>
      <c r="GV21" s="35"/>
      <c r="GW21" s="291"/>
      <c r="GX21" s="291"/>
      <c r="GY21" s="291"/>
      <c r="GZ21" s="291"/>
      <c r="HA21" s="291"/>
      <c r="HB21" s="291"/>
      <c r="HC21" s="291"/>
      <c r="HD21" s="291"/>
      <c r="HE21" s="291"/>
      <c r="HF21" s="291"/>
      <c r="HG21" s="291"/>
      <c r="HH21" s="35"/>
      <c r="HI21" s="291"/>
      <c r="HJ21" s="291"/>
      <c r="HK21" s="291"/>
      <c r="HL21" s="291"/>
      <c r="HM21" s="291"/>
      <c r="HN21" s="291"/>
      <c r="HO21" s="291"/>
      <c r="HP21" s="291"/>
      <c r="HQ21" s="291"/>
      <c r="HR21" s="291"/>
      <c r="HS21" s="291"/>
      <c r="HT21" s="35"/>
      <c r="HU21" s="291"/>
      <c r="HV21" s="291"/>
      <c r="HW21" s="291"/>
      <c r="HX21" s="291"/>
      <c r="HY21" s="291"/>
      <c r="HZ21" s="291"/>
      <c r="IA21" s="291"/>
      <c r="IB21" s="291"/>
      <c r="IC21" s="291"/>
      <c r="ID21" s="291"/>
      <c r="IE21" s="291"/>
      <c r="IF21" s="35"/>
      <c r="IG21" s="291"/>
      <c r="IH21" s="291"/>
      <c r="II21" s="291"/>
    </row>
    <row r="22" spans="1:243" s="5" customFormat="1" ht="14.25">
      <c r="A22" s="391" t="s">
        <v>17</v>
      </c>
      <c r="B22" s="291">
        <v>-7.6</v>
      </c>
      <c r="C22" s="291">
        <v>-5.7</v>
      </c>
      <c r="D22" s="291">
        <v>-2.4</v>
      </c>
      <c r="E22" s="291">
        <v>-1.7</v>
      </c>
      <c r="F22" s="291">
        <v>-0.8</v>
      </c>
      <c r="G22" s="397">
        <v>-1.5</v>
      </c>
      <c r="H22" s="397">
        <v>-2.1</v>
      </c>
      <c r="I22" s="397"/>
      <c r="J22" s="397"/>
      <c r="K22" s="397"/>
      <c r="L22" s="35"/>
      <c r="M22" s="291"/>
      <c r="N22" s="291"/>
      <c r="O22" s="291"/>
      <c r="P22" s="291"/>
      <c r="Q22" s="291"/>
      <c r="R22" s="291"/>
      <c r="S22" s="397"/>
      <c r="T22" s="397"/>
      <c r="U22" s="397"/>
      <c r="V22" s="397"/>
      <c r="W22" s="397"/>
      <c r="X22" s="35"/>
      <c r="Y22" s="291"/>
      <c r="Z22" s="291"/>
      <c r="AA22" s="291"/>
      <c r="AB22" s="291"/>
      <c r="AC22" s="291"/>
      <c r="AD22" s="291"/>
      <c r="AE22" s="397"/>
      <c r="AF22" s="397"/>
      <c r="AG22" s="397"/>
      <c r="AH22" s="397"/>
      <c r="AI22" s="397"/>
      <c r="AJ22" s="35"/>
      <c r="AK22" s="291"/>
      <c r="AL22" s="291"/>
      <c r="AM22" s="291"/>
      <c r="AN22" s="291"/>
      <c r="AO22" s="291"/>
      <c r="AP22" s="291"/>
      <c r="AQ22" s="397"/>
      <c r="AR22" s="397"/>
      <c r="AS22" s="397"/>
      <c r="AT22" s="397"/>
      <c r="AU22" s="397"/>
      <c r="AV22" s="35"/>
      <c r="AW22" s="291"/>
      <c r="AX22" s="291"/>
      <c r="AY22" s="291"/>
      <c r="AZ22" s="291"/>
      <c r="BA22" s="291"/>
      <c r="BB22" s="291"/>
      <c r="BC22" s="397"/>
      <c r="BD22" s="397"/>
      <c r="BE22" s="397"/>
      <c r="BF22" s="397"/>
      <c r="BG22" s="397"/>
      <c r="BH22" s="35"/>
      <c r="BI22" s="291"/>
      <c r="BJ22" s="291"/>
      <c r="BK22" s="291"/>
      <c r="BL22" s="291"/>
      <c r="BM22" s="291"/>
      <c r="BN22" s="291"/>
      <c r="BO22" s="397"/>
      <c r="BP22" s="397"/>
      <c r="BQ22" s="397"/>
      <c r="BR22" s="397"/>
      <c r="BS22" s="397"/>
      <c r="BT22" s="35"/>
      <c r="BU22" s="291"/>
      <c r="BV22" s="291"/>
      <c r="BW22" s="291"/>
      <c r="BX22" s="291"/>
      <c r="BY22" s="291"/>
      <c r="BZ22" s="291"/>
      <c r="CA22" s="397"/>
      <c r="CB22" s="397"/>
      <c r="CC22" s="397"/>
      <c r="CD22" s="397"/>
      <c r="CE22" s="397"/>
      <c r="CF22" s="35"/>
      <c r="CG22" s="291"/>
      <c r="CH22" s="291"/>
      <c r="CI22" s="291"/>
      <c r="CJ22" s="291"/>
      <c r="CK22" s="291"/>
      <c r="CL22" s="291"/>
      <c r="CM22" s="397"/>
      <c r="CN22" s="397"/>
      <c r="CO22" s="397"/>
      <c r="CP22" s="397"/>
      <c r="CQ22" s="397"/>
      <c r="CR22" s="35"/>
      <c r="CS22" s="291"/>
      <c r="CT22" s="291"/>
      <c r="CU22" s="291"/>
      <c r="CV22" s="291"/>
      <c r="CW22" s="291"/>
      <c r="CX22" s="291"/>
      <c r="CY22" s="397"/>
      <c r="CZ22" s="397"/>
      <c r="DA22" s="397"/>
      <c r="DB22" s="397"/>
      <c r="DC22" s="397"/>
      <c r="DD22" s="35"/>
      <c r="DE22" s="291"/>
      <c r="DF22" s="291"/>
      <c r="DG22" s="291"/>
      <c r="DH22" s="291"/>
      <c r="DI22" s="291"/>
      <c r="DJ22" s="291"/>
      <c r="DK22" s="397"/>
      <c r="DL22" s="397"/>
      <c r="DM22" s="397"/>
      <c r="DN22" s="397"/>
      <c r="DO22" s="397"/>
      <c r="DP22" s="35"/>
      <c r="DQ22" s="291"/>
      <c r="DR22" s="291"/>
      <c r="DS22" s="291"/>
      <c r="DT22" s="291"/>
      <c r="DU22" s="291"/>
      <c r="DV22" s="291"/>
      <c r="DW22" s="397"/>
      <c r="DX22" s="397"/>
      <c r="DY22" s="397"/>
      <c r="DZ22" s="397"/>
      <c r="EA22" s="397"/>
      <c r="EB22" s="35"/>
      <c r="EC22" s="291"/>
      <c r="ED22" s="291"/>
      <c r="EE22" s="291"/>
      <c r="EF22" s="291"/>
      <c r="EG22" s="291"/>
      <c r="EH22" s="291"/>
      <c r="EI22" s="397"/>
      <c r="EJ22" s="397"/>
      <c r="EK22" s="397"/>
      <c r="EL22" s="397"/>
      <c r="EM22" s="397"/>
      <c r="EN22" s="35"/>
      <c r="EO22" s="291"/>
      <c r="EP22" s="291"/>
      <c r="EQ22" s="291"/>
      <c r="ER22" s="291"/>
      <c r="ES22" s="291"/>
      <c r="ET22" s="291"/>
      <c r="EU22" s="397"/>
      <c r="EV22" s="397"/>
      <c r="EW22" s="397"/>
      <c r="EX22" s="397"/>
      <c r="EY22" s="397"/>
      <c r="EZ22" s="35"/>
      <c r="FA22" s="291"/>
      <c r="FB22" s="291"/>
      <c r="FC22" s="291"/>
      <c r="FD22" s="291"/>
      <c r="FE22" s="291"/>
      <c r="FF22" s="291"/>
      <c r="FG22" s="397"/>
      <c r="FH22" s="397"/>
      <c r="FI22" s="397"/>
      <c r="FJ22" s="397"/>
      <c r="FK22" s="397"/>
      <c r="FL22" s="35"/>
      <c r="FM22" s="291"/>
      <c r="FN22" s="291"/>
      <c r="FO22" s="291"/>
      <c r="FP22" s="291"/>
      <c r="FQ22" s="291"/>
      <c r="FR22" s="291"/>
      <c r="FS22" s="397"/>
      <c r="FT22" s="397"/>
      <c r="FU22" s="397"/>
      <c r="FV22" s="397"/>
      <c r="FW22" s="397"/>
      <c r="FX22" s="35"/>
      <c r="FY22" s="291"/>
      <c r="FZ22" s="291"/>
      <c r="GA22" s="291"/>
      <c r="GB22" s="291"/>
      <c r="GC22" s="291"/>
      <c r="GD22" s="291"/>
      <c r="GE22" s="397"/>
      <c r="GF22" s="397"/>
      <c r="GG22" s="397"/>
      <c r="GH22" s="397"/>
      <c r="GI22" s="397"/>
      <c r="GJ22" s="35"/>
      <c r="GK22" s="291"/>
      <c r="GL22" s="291"/>
      <c r="GM22" s="291"/>
      <c r="GN22" s="291"/>
      <c r="GO22" s="291"/>
      <c r="GP22" s="291"/>
      <c r="GQ22" s="397"/>
      <c r="GR22" s="397"/>
      <c r="GS22" s="397"/>
      <c r="GT22" s="397"/>
      <c r="GU22" s="397"/>
      <c r="GV22" s="35"/>
      <c r="GW22" s="291"/>
      <c r="GX22" s="291"/>
      <c r="GY22" s="291"/>
      <c r="GZ22" s="291"/>
      <c r="HA22" s="291"/>
      <c r="HB22" s="291"/>
      <c r="HC22" s="397"/>
      <c r="HD22" s="397"/>
      <c r="HE22" s="397"/>
      <c r="HF22" s="397"/>
      <c r="HG22" s="397"/>
      <c r="HH22" s="35"/>
      <c r="HI22" s="291"/>
      <c r="HJ22" s="291"/>
      <c r="HK22" s="291"/>
      <c r="HL22" s="291"/>
      <c r="HM22" s="291"/>
      <c r="HN22" s="291"/>
      <c r="HO22" s="397"/>
      <c r="HP22" s="397"/>
      <c r="HQ22" s="397"/>
      <c r="HR22" s="397"/>
      <c r="HS22" s="397"/>
      <c r="HT22" s="35"/>
      <c r="HU22" s="291"/>
      <c r="HV22" s="291"/>
      <c r="HW22" s="291"/>
      <c r="HX22" s="291"/>
      <c r="HY22" s="291"/>
      <c r="HZ22" s="291"/>
      <c r="IA22" s="397"/>
      <c r="IB22" s="397"/>
      <c r="IC22" s="397"/>
      <c r="ID22" s="397"/>
      <c r="IE22" s="397"/>
      <c r="IF22" s="35"/>
      <c r="IG22" s="291"/>
      <c r="IH22" s="291"/>
      <c r="II22" s="291"/>
    </row>
    <row r="23" spans="1:243" s="5" customFormat="1" ht="14.25">
      <c r="A23" s="391" t="s">
        <v>16</v>
      </c>
      <c r="B23" s="291">
        <v>-4.5999999999999996</v>
      </c>
      <c r="C23" s="291">
        <v>-4.9000000000000004</v>
      </c>
      <c r="D23" s="291">
        <v>-2.1</v>
      </c>
      <c r="E23" s="291">
        <v>-2.2000000000000002</v>
      </c>
      <c r="F23" s="291">
        <v>-2.5</v>
      </c>
      <c r="G23" s="397">
        <v>-2.4</v>
      </c>
      <c r="H23" s="397">
        <v>-2.9</v>
      </c>
      <c r="I23" s="397"/>
      <c r="J23" s="397"/>
      <c r="K23" s="397"/>
      <c r="L23" s="35"/>
      <c r="M23" s="291"/>
      <c r="N23" s="291"/>
      <c r="O23" s="291"/>
      <c r="P23" s="291"/>
      <c r="Q23" s="291"/>
      <c r="R23" s="291"/>
      <c r="S23" s="397"/>
      <c r="T23" s="397"/>
      <c r="U23" s="397"/>
      <c r="V23" s="397"/>
      <c r="W23" s="397"/>
      <c r="X23" s="35"/>
      <c r="Y23" s="291"/>
      <c r="Z23" s="291"/>
      <c r="AA23" s="291"/>
      <c r="AB23" s="291"/>
      <c r="AC23" s="291"/>
      <c r="AD23" s="291"/>
      <c r="AE23" s="397"/>
      <c r="AF23" s="397"/>
      <c r="AG23" s="397"/>
      <c r="AH23" s="397"/>
      <c r="AI23" s="397"/>
      <c r="AJ23" s="35"/>
      <c r="AK23" s="291"/>
      <c r="AL23" s="291"/>
      <c r="AM23" s="291"/>
      <c r="AN23" s="291"/>
      <c r="AO23" s="291"/>
      <c r="AP23" s="291"/>
      <c r="AQ23" s="397"/>
      <c r="AR23" s="397"/>
      <c r="AS23" s="397"/>
      <c r="AT23" s="397"/>
      <c r="AU23" s="397"/>
      <c r="AV23" s="35"/>
      <c r="AW23" s="291"/>
      <c r="AX23" s="291"/>
      <c r="AY23" s="291"/>
      <c r="AZ23" s="291"/>
      <c r="BA23" s="291"/>
      <c r="BB23" s="291"/>
      <c r="BC23" s="397"/>
      <c r="BD23" s="397"/>
      <c r="BE23" s="397"/>
      <c r="BF23" s="397"/>
      <c r="BG23" s="397"/>
      <c r="BH23" s="35"/>
      <c r="BI23" s="291"/>
      <c r="BJ23" s="291"/>
      <c r="BK23" s="291"/>
      <c r="BL23" s="291"/>
      <c r="BM23" s="291"/>
      <c r="BN23" s="291"/>
      <c r="BO23" s="397"/>
      <c r="BP23" s="397"/>
      <c r="BQ23" s="397"/>
      <c r="BR23" s="397"/>
      <c r="BS23" s="397"/>
      <c r="BT23" s="35"/>
      <c r="BU23" s="291"/>
      <c r="BV23" s="291"/>
      <c r="BW23" s="291"/>
      <c r="BX23" s="291"/>
      <c r="BY23" s="291"/>
      <c r="BZ23" s="291"/>
      <c r="CA23" s="397"/>
      <c r="CB23" s="397"/>
      <c r="CC23" s="397"/>
      <c r="CD23" s="397"/>
      <c r="CE23" s="397"/>
      <c r="CF23" s="35"/>
      <c r="CG23" s="291"/>
      <c r="CH23" s="291"/>
      <c r="CI23" s="291"/>
      <c r="CJ23" s="291"/>
      <c r="CK23" s="291"/>
      <c r="CL23" s="291"/>
      <c r="CM23" s="397"/>
      <c r="CN23" s="397"/>
      <c r="CO23" s="397"/>
      <c r="CP23" s="397"/>
      <c r="CQ23" s="397"/>
      <c r="CR23" s="35"/>
      <c r="CS23" s="291"/>
      <c r="CT23" s="291"/>
      <c r="CU23" s="291"/>
      <c r="CV23" s="291"/>
      <c r="CW23" s="291"/>
      <c r="CX23" s="291"/>
      <c r="CY23" s="397"/>
      <c r="CZ23" s="397"/>
      <c r="DA23" s="397"/>
      <c r="DB23" s="397"/>
      <c r="DC23" s="397"/>
      <c r="DD23" s="35"/>
      <c r="DE23" s="291"/>
      <c r="DF23" s="291"/>
      <c r="DG23" s="291"/>
      <c r="DH23" s="291"/>
      <c r="DI23" s="291"/>
      <c r="DJ23" s="291"/>
      <c r="DK23" s="397"/>
      <c r="DL23" s="397"/>
      <c r="DM23" s="397"/>
      <c r="DN23" s="397"/>
      <c r="DO23" s="397"/>
      <c r="DP23" s="35"/>
      <c r="DQ23" s="291"/>
      <c r="DR23" s="291"/>
      <c r="DS23" s="291"/>
      <c r="DT23" s="291"/>
      <c r="DU23" s="291"/>
      <c r="DV23" s="291"/>
      <c r="DW23" s="397"/>
      <c r="DX23" s="397"/>
      <c r="DY23" s="397"/>
      <c r="DZ23" s="397"/>
      <c r="EA23" s="397"/>
      <c r="EB23" s="35"/>
      <c r="EC23" s="291"/>
      <c r="ED23" s="291"/>
      <c r="EE23" s="291"/>
      <c r="EF23" s="291"/>
      <c r="EG23" s="291"/>
      <c r="EH23" s="291"/>
      <c r="EI23" s="397"/>
      <c r="EJ23" s="397"/>
      <c r="EK23" s="397"/>
      <c r="EL23" s="397"/>
      <c r="EM23" s="397"/>
      <c r="EN23" s="35"/>
      <c r="EO23" s="291"/>
      <c r="EP23" s="291"/>
      <c r="EQ23" s="291"/>
      <c r="ER23" s="291"/>
      <c r="ES23" s="291"/>
      <c r="ET23" s="291"/>
      <c r="EU23" s="397"/>
      <c r="EV23" s="397"/>
      <c r="EW23" s="397"/>
      <c r="EX23" s="397"/>
      <c r="EY23" s="397"/>
      <c r="EZ23" s="35"/>
      <c r="FA23" s="291"/>
      <c r="FB23" s="291"/>
      <c r="FC23" s="291"/>
      <c r="FD23" s="291"/>
      <c r="FE23" s="291"/>
      <c r="FF23" s="291"/>
      <c r="FG23" s="397"/>
      <c r="FH23" s="397"/>
      <c r="FI23" s="397"/>
      <c r="FJ23" s="397"/>
      <c r="FK23" s="397"/>
      <c r="FL23" s="35"/>
      <c r="FM23" s="291"/>
      <c r="FN23" s="291"/>
      <c r="FO23" s="291"/>
      <c r="FP23" s="291"/>
      <c r="FQ23" s="291"/>
      <c r="FR23" s="291"/>
      <c r="FS23" s="397"/>
      <c r="FT23" s="397"/>
      <c r="FU23" s="397"/>
      <c r="FV23" s="397"/>
      <c r="FW23" s="397"/>
      <c r="FX23" s="35"/>
      <c r="FY23" s="291"/>
      <c r="FZ23" s="291"/>
      <c r="GA23" s="291"/>
      <c r="GB23" s="291"/>
      <c r="GC23" s="291"/>
      <c r="GD23" s="291"/>
      <c r="GE23" s="397"/>
      <c r="GF23" s="397"/>
      <c r="GG23" s="397"/>
      <c r="GH23" s="397"/>
      <c r="GI23" s="397"/>
      <c r="GJ23" s="35"/>
      <c r="GK23" s="291"/>
      <c r="GL23" s="291"/>
      <c r="GM23" s="291"/>
      <c r="GN23" s="291"/>
      <c r="GO23" s="291"/>
      <c r="GP23" s="291"/>
      <c r="GQ23" s="397"/>
      <c r="GR23" s="397"/>
      <c r="GS23" s="397"/>
      <c r="GT23" s="397"/>
      <c r="GU23" s="397"/>
      <c r="GV23" s="35"/>
      <c r="GW23" s="291"/>
      <c r="GX23" s="291"/>
      <c r="GY23" s="291"/>
      <c r="GZ23" s="291"/>
      <c r="HA23" s="291"/>
      <c r="HB23" s="291"/>
      <c r="HC23" s="397"/>
      <c r="HD23" s="397"/>
      <c r="HE23" s="397"/>
      <c r="HF23" s="397"/>
      <c r="HG23" s="397"/>
      <c r="HH23" s="35"/>
      <c r="HI23" s="291"/>
      <c r="HJ23" s="291"/>
      <c r="HK23" s="291"/>
      <c r="HL23" s="291"/>
      <c r="HM23" s="291"/>
      <c r="HN23" s="291"/>
      <c r="HO23" s="397"/>
      <c r="HP23" s="397"/>
      <c r="HQ23" s="397"/>
      <c r="HR23" s="397"/>
      <c r="HS23" s="397"/>
      <c r="HT23" s="35"/>
      <c r="HU23" s="291"/>
      <c r="HV23" s="291"/>
      <c r="HW23" s="291"/>
      <c r="HX23" s="291"/>
      <c r="HY23" s="291"/>
      <c r="HZ23" s="291"/>
      <c r="IA23" s="397"/>
      <c r="IB23" s="397"/>
      <c r="IC23" s="397"/>
      <c r="ID23" s="397"/>
      <c r="IE23" s="397"/>
      <c r="IF23" s="35"/>
      <c r="IG23" s="291"/>
      <c r="IH23" s="291"/>
      <c r="II23" s="291"/>
    </row>
    <row r="24" spans="1:243" s="5" customFormat="1" ht="14.25">
      <c r="A24" s="391" t="s">
        <v>15</v>
      </c>
      <c r="B24" s="291">
        <v>-7.2</v>
      </c>
      <c r="C24" s="291">
        <v>-4.2</v>
      </c>
      <c r="D24" s="397">
        <v>-3.7</v>
      </c>
      <c r="E24" s="291">
        <v>-1.8</v>
      </c>
      <c r="F24" s="291">
        <v>-2.5</v>
      </c>
      <c r="G24" s="397">
        <v>-2.4</v>
      </c>
      <c r="H24" s="397">
        <v>-2.4</v>
      </c>
      <c r="I24" s="397"/>
      <c r="J24" s="397"/>
      <c r="K24" s="397"/>
      <c r="L24" s="35"/>
      <c r="M24" s="291"/>
      <c r="N24" s="291"/>
      <c r="O24" s="291"/>
      <c r="P24" s="291"/>
      <c r="Q24" s="291"/>
      <c r="R24" s="291"/>
      <c r="S24" s="397"/>
      <c r="T24" s="397"/>
      <c r="U24" s="397"/>
      <c r="V24" s="397"/>
      <c r="W24" s="397"/>
      <c r="X24" s="35"/>
      <c r="Y24" s="291"/>
      <c r="Z24" s="291"/>
      <c r="AA24" s="291"/>
      <c r="AB24" s="291"/>
      <c r="AC24" s="291"/>
      <c r="AD24" s="291"/>
      <c r="AE24" s="397"/>
      <c r="AF24" s="397"/>
      <c r="AG24" s="397"/>
      <c r="AH24" s="397"/>
      <c r="AI24" s="397"/>
      <c r="AJ24" s="35"/>
      <c r="AK24" s="291"/>
      <c r="AL24" s="291"/>
      <c r="AM24" s="291"/>
      <c r="AN24" s="291"/>
      <c r="AO24" s="291"/>
      <c r="AP24" s="291"/>
      <c r="AQ24" s="397"/>
      <c r="AR24" s="397"/>
      <c r="AS24" s="397"/>
      <c r="AT24" s="397"/>
      <c r="AU24" s="397"/>
      <c r="AV24" s="35"/>
      <c r="AW24" s="291"/>
      <c r="AX24" s="291"/>
      <c r="AY24" s="291"/>
      <c r="AZ24" s="291"/>
      <c r="BA24" s="291"/>
      <c r="BB24" s="291"/>
      <c r="BC24" s="397"/>
      <c r="BD24" s="397"/>
      <c r="BE24" s="397"/>
      <c r="BF24" s="397"/>
      <c r="BG24" s="397"/>
      <c r="BH24" s="35"/>
      <c r="BI24" s="291"/>
      <c r="BJ24" s="291"/>
      <c r="BK24" s="291"/>
      <c r="BL24" s="291"/>
      <c r="BM24" s="291"/>
      <c r="BN24" s="291"/>
      <c r="BO24" s="397"/>
      <c r="BP24" s="397"/>
      <c r="BQ24" s="397"/>
      <c r="BR24" s="397"/>
      <c r="BS24" s="397"/>
      <c r="BT24" s="35"/>
      <c r="BU24" s="291"/>
      <c r="BV24" s="291"/>
      <c r="BW24" s="291"/>
      <c r="BX24" s="291"/>
      <c r="BY24" s="291"/>
      <c r="BZ24" s="291"/>
      <c r="CA24" s="397"/>
      <c r="CB24" s="397"/>
      <c r="CC24" s="397"/>
      <c r="CD24" s="397"/>
      <c r="CE24" s="397"/>
      <c r="CF24" s="35"/>
      <c r="CG24" s="291"/>
      <c r="CH24" s="291"/>
      <c r="CI24" s="291"/>
      <c r="CJ24" s="291"/>
      <c r="CK24" s="291"/>
      <c r="CL24" s="291"/>
      <c r="CM24" s="397"/>
      <c r="CN24" s="397"/>
      <c r="CO24" s="397"/>
      <c r="CP24" s="397"/>
      <c r="CQ24" s="397"/>
      <c r="CR24" s="35"/>
      <c r="CS24" s="291"/>
      <c r="CT24" s="291"/>
      <c r="CU24" s="291"/>
      <c r="CV24" s="291"/>
      <c r="CW24" s="291"/>
      <c r="CX24" s="291"/>
      <c r="CY24" s="397"/>
      <c r="CZ24" s="397"/>
      <c r="DA24" s="397"/>
      <c r="DB24" s="397"/>
      <c r="DC24" s="397"/>
      <c r="DD24" s="35"/>
      <c r="DE24" s="291"/>
      <c r="DF24" s="291"/>
      <c r="DG24" s="291"/>
      <c r="DH24" s="291"/>
      <c r="DI24" s="291"/>
      <c r="DJ24" s="291"/>
      <c r="DK24" s="397"/>
      <c r="DL24" s="397"/>
      <c r="DM24" s="397"/>
      <c r="DN24" s="397"/>
      <c r="DO24" s="397"/>
      <c r="DP24" s="35"/>
      <c r="DQ24" s="291"/>
      <c r="DR24" s="291"/>
      <c r="DS24" s="291"/>
      <c r="DT24" s="291"/>
      <c r="DU24" s="291"/>
      <c r="DV24" s="291"/>
      <c r="DW24" s="397"/>
      <c r="DX24" s="397"/>
      <c r="DY24" s="397"/>
      <c r="DZ24" s="397"/>
      <c r="EA24" s="397"/>
      <c r="EB24" s="35"/>
      <c r="EC24" s="291"/>
      <c r="ED24" s="291"/>
      <c r="EE24" s="291"/>
      <c r="EF24" s="291"/>
      <c r="EG24" s="291"/>
      <c r="EH24" s="291"/>
      <c r="EI24" s="397"/>
      <c r="EJ24" s="397"/>
      <c r="EK24" s="397"/>
      <c r="EL24" s="397"/>
      <c r="EM24" s="397"/>
      <c r="EN24" s="35"/>
      <c r="EO24" s="291"/>
      <c r="EP24" s="291"/>
      <c r="EQ24" s="291"/>
      <c r="ER24" s="291"/>
      <c r="ES24" s="291"/>
      <c r="ET24" s="291"/>
      <c r="EU24" s="397"/>
      <c r="EV24" s="397"/>
      <c r="EW24" s="397"/>
      <c r="EX24" s="397"/>
      <c r="EY24" s="397"/>
      <c r="EZ24" s="35"/>
      <c r="FA24" s="291"/>
      <c r="FB24" s="291"/>
      <c r="FC24" s="291"/>
      <c r="FD24" s="291"/>
      <c r="FE24" s="291"/>
      <c r="FF24" s="291"/>
      <c r="FG24" s="397"/>
      <c r="FH24" s="397"/>
      <c r="FI24" s="397"/>
      <c r="FJ24" s="397"/>
      <c r="FK24" s="397"/>
      <c r="FL24" s="35"/>
      <c r="FM24" s="291"/>
      <c r="FN24" s="291"/>
      <c r="FO24" s="291"/>
      <c r="FP24" s="291"/>
      <c r="FQ24" s="291"/>
      <c r="FR24" s="291"/>
      <c r="FS24" s="397"/>
      <c r="FT24" s="397"/>
      <c r="FU24" s="397"/>
      <c r="FV24" s="397"/>
      <c r="FW24" s="397"/>
      <c r="FX24" s="35"/>
      <c r="FY24" s="291"/>
      <c r="FZ24" s="291"/>
      <c r="GA24" s="291"/>
      <c r="GB24" s="291"/>
      <c r="GC24" s="291"/>
      <c r="GD24" s="291"/>
      <c r="GE24" s="397"/>
      <c r="GF24" s="397"/>
      <c r="GG24" s="397"/>
      <c r="GH24" s="397"/>
      <c r="GI24" s="397"/>
      <c r="GJ24" s="35"/>
      <c r="GK24" s="291"/>
      <c r="GL24" s="291"/>
      <c r="GM24" s="291"/>
      <c r="GN24" s="291"/>
      <c r="GO24" s="291"/>
      <c r="GP24" s="291"/>
      <c r="GQ24" s="397"/>
      <c r="GR24" s="397"/>
      <c r="GS24" s="397"/>
      <c r="GT24" s="397"/>
      <c r="GU24" s="397"/>
      <c r="GV24" s="35"/>
      <c r="GW24" s="291"/>
      <c r="GX24" s="291"/>
      <c r="GY24" s="291"/>
      <c r="GZ24" s="291"/>
      <c r="HA24" s="291"/>
      <c r="HB24" s="291"/>
      <c r="HC24" s="397"/>
      <c r="HD24" s="397"/>
      <c r="HE24" s="397"/>
      <c r="HF24" s="397"/>
      <c r="HG24" s="397"/>
      <c r="HH24" s="35"/>
      <c r="HI24" s="291"/>
      <c r="HJ24" s="291"/>
      <c r="HK24" s="291"/>
      <c r="HL24" s="291"/>
      <c r="HM24" s="291"/>
      <c r="HN24" s="291"/>
      <c r="HO24" s="397"/>
      <c r="HP24" s="397"/>
      <c r="HQ24" s="397"/>
      <c r="HR24" s="397"/>
      <c r="HS24" s="397"/>
      <c r="HT24" s="35"/>
      <c r="HU24" s="291"/>
      <c r="HV24" s="291"/>
      <c r="HW24" s="291"/>
      <c r="HX24" s="291"/>
      <c r="HY24" s="291"/>
      <c r="HZ24" s="291"/>
      <c r="IA24" s="397"/>
      <c r="IB24" s="397"/>
      <c r="IC24" s="397"/>
      <c r="ID24" s="397"/>
      <c r="IE24" s="397"/>
      <c r="IF24" s="35"/>
      <c r="IG24" s="291"/>
      <c r="IH24" s="291"/>
      <c r="II24" s="291"/>
    </row>
    <row r="25" spans="1:243" s="38" customFormat="1" ht="14.25">
      <c r="A25" s="407" t="s">
        <v>14</v>
      </c>
      <c r="B25" s="291">
        <v>-1.1000000000000001</v>
      </c>
      <c r="C25" s="291">
        <v>-0.8</v>
      </c>
      <c r="D25" s="291">
        <v>-1.1000000000000001</v>
      </c>
      <c r="E25" s="291">
        <v>-0.8</v>
      </c>
      <c r="F25" s="291">
        <v>-1.6</v>
      </c>
      <c r="G25" s="291">
        <v>-1.8</v>
      </c>
      <c r="H25" s="291">
        <v>-2.2000000000000002</v>
      </c>
      <c r="I25" s="295"/>
      <c r="J25" s="295"/>
      <c r="K25" s="295"/>
      <c r="L25" s="39"/>
      <c r="M25" s="295"/>
      <c r="N25" s="295"/>
      <c r="O25" s="295"/>
      <c r="P25" s="295"/>
      <c r="Q25" s="295"/>
      <c r="R25" s="295"/>
      <c r="S25" s="295"/>
      <c r="T25" s="295"/>
      <c r="U25" s="295"/>
      <c r="V25" s="295"/>
      <c r="W25" s="295"/>
      <c r="X25" s="39"/>
      <c r="Y25" s="295"/>
      <c r="Z25" s="295"/>
      <c r="AA25" s="295"/>
      <c r="AB25" s="295"/>
      <c r="AC25" s="295"/>
      <c r="AD25" s="295"/>
      <c r="AE25" s="295"/>
      <c r="AF25" s="295"/>
      <c r="AG25" s="295"/>
      <c r="AH25" s="295"/>
      <c r="AI25" s="295"/>
      <c r="AJ25" s="39"/>
      <c r="AK25" s="295"/>
      <c r="AL25" s="295"/>
      <c r="AM25" s="295"/>
      <c r="AN25" s="295"/>
      <c r="AO25" s="295"/>
      <c r="AP25" s="295"/>
      <c r="AQ25" s="295"/>
      <c r="AR25" s="295"/>
      <c r="AS25" s="295"/>
      <c r="AT25" s="295"/>
      <c r="AU25" s="295"/>
      <c r="AV25" s="39"/>
      <c r="AW25" s="295"/>
      <c r="AX25" s="295"/>
      <c r="AY25" s="295"/>
      <c r="AZ25" s="295"/>
      <c r="BA25" s="295"/>
      <c r="BB25" s="295"/>
      <c r="BC25" s="295"/>
      <c r="BD25" s="295"/>
      <c r="BE25" s="295"/>
      <c r="BF25" s="295"/>
      <c r="BG25" s="295"/>
      <c r="BH25" s="39"/>
      <c r="BI25" s="295"/>
      <c r="BJ25" s="295"/>
      <c r="BK25" s="295"/>
      <c r="BL25" s="295"/>
      <c r="BM25" s="295"/>
      <c r="BN25" s="295"/>
      <c r="BO25" s="295"/>
      <c r="BP25" s="295"/>
      <c r="BQ25" s="295"/>
      <c r="BR25" s="295"/>
      <c r="BS25" s="295"/>
      <c r="BT25" s="39"/>
      <c r="BU25" s="295"/>
      <c r="BV25" s="295"/>
      <c r="BW25" s="295"/>
      <c r="BX25" s="295"/>
      <c r="BY25" s="295"/>
      <c r="BZ25" s="295"/>
      <c r="CA25" s="295"/>
      <c r="CB25" s="295"/>
      <c r="CC25" s="295"/>
      <c r="CD25" s="295"/>
      <c r="CE25" s="295"/>
      <c r="CF25" s="39"/>
      <c r="CG25" s="295"/>
      <c r="CH25" s="295"/>
      <c r="CI25" s="295"/>
      <c r="CJ25" s="295"/>
      <c r="CK25" s="295"/>
      <c r="CL25" s="295"/>
      <c r="CM25" s="295"/>
      <c r="CN25" s="295"/>
      <c r="CO25" s="295"/>
      <c r="CP25" s="295"/>
      <c r="CQ25" s="295"/>
      <c r="CR25" s="39"/>
      <c r="CS25" s="295"/>
      <c r="CT25" s="295"/>
      <c r="CU25" s="295"/>
      <c r="CV25" s="295"/>
      <c r="CW25" s="295"/>
      <c r="CX25" s="295"/>
      <c r="CY25" s="295"/>
      <c r="CZ25" s="295"/>
      <c r="DA25" s="295"/>
      <c r="DB25" s="295"/>
      <c r="DC25" s="295"/>
      <c r="DD25" s="39"/>
      <c r="DE25" s="295"/>
      <c r="DF25" s="295"/>
      <c r="DG25" s="295"/>
      <c r="DH25" s="295"/>
      <c r="DI25" s="295"/>
      <c r="DJ25" s="295"/>
      <c r="DK25" s="295"/>
      <c r="DL25" s="295"/>
      <c r="DM25" s="295"/>
      <c r="DN25" s="295"/>
      <c r="DO25" s="295"/>
      <c r="DP25" s="39"/>
      <c r="DQ25" s="295"/>
      <c r="DR25" s="295"/>
      <c r="DS25" s="295"/>
      <c r="DT25" s="295"/>
      <c r="DU25" s="295"/>
      <c r="DV25" s="295"/>
      <c r="DW25" s="295"/>
      <c r="DX25" s="295"/>
      <c r="DY25" s="295"/>
      <c r="DZ25" s="295"/>
      <c r="EA25" s="295"/>
      <c r="EB25" s="39"/>
      <c r="EC25" s="295"/>
      <c r="ED25" s="295"/>
      <c r="EE25" s="295"/>
      <c r="EF25" s="295"/>
      <c r="EG25" s="295"/>
      <c r="EH25" s="295"/>
      <c r="EI25" s="295"/>
      <c r="EJ25" s="295"/>
      <c r="EK25" s="295"/>
      <c r="EL25" s="295"/>
      <c r="EM25" s="295"/>
      <c r="EN25" s="39"/>
      <c r="EO25" s="295"/>
      <c r="EP25" s="295"/>
      <c r="EQ25" s="295"/>
      <c r="ER25" s="295"/>
      <c r="ES25" s="295"/>
      <c r="ET25" s="295"/>
      <c r="EU25" s="295"/>
      <c r="EV25" s="295"/>
      <c r="EW25" s="295"/>
      <c r="EX25" s="295"/>
      <c r="EY25" s="295"/>
      <c r="EZ25" s="39"/>
      <c r="FA25" s="295"/>
      <c r="FB25" s="295"/>
      <c r="FC25" s="295"/>
      <c r="FD25" s="295"/>
      <c r="FE25" s="295"/>
      <c r="FF25" s="295"/>
      <c r="FG25" s="295"/>
      <c r="FH25" s="295"/>
      <c r="FI25" s="295"/>
      <c r="FJ25" s="295"/>
      <c r="FK25" s="295"/>
      <c r="FL25" s="39"/>
      <c r="FM25" s="295"/>
      <c r="FN25" s="295"/>
      <c r="FO25" s="295"/>
      <c r="FP25" s="295"/>
      <c r="FQ25" s="295"/>
      <c r="FR25" s="295"/>
      <c r="FS25" s="295"/>
      <c r="FT25" s="295"/>
      <c r="FU25" s="295"/>
      <c r="FV25" s="295"/>
      <c r="FW25" s="295"/>
      <c r="FX25" s="39"/>
      <c r="FY25" s="295"/>
      <c r="FZ25" s="295"/>
      <c r="GA25" s="295"/>
      <c r="GB25" s="295"/>
      <c r="GC25" s="295"/>
      <c r="GD25" s="295"/>
      <c r="GE25" s="295"/>
      <c r="GF25" s="295"/>
      <c r="GG25" s="295"/>
      <c r="GH25" s="295"/>
      <c r="GI25" s="295"/>
      <c r="GJ25" s="39"/>
      <c r="GK25" s="295"/>
      <c r="GL25" s="295"/>
      <c r="GM25" s="295"/>
      <c r="GN25" s="295"/>
      <c r="GO25" s="295"/>
      <c r="GP25" s="295"/>
      <c r="GQ25" s="295"/>
      <c r="GR25" s="295"/>
      <c r="GS25" s="295"/>
      <c r="GT25" s="295"/>
      <c r="GU25" s="295"/>
      <c r="GV25" s="39"/>
      <c r="GW25" s="295"/>
      <c r="GX25" s="295"/>
      <c r="GY25" s="295"/>
      <c r="GZ25" s="295"/>
      <c r="HA25" s="295"/>
      <c r="HB25" s="295"/>
      <c r="HC25" s="295"/>
      <c r="HD25" s="295"/>
      <c r="HE25" s="295"/>
      <c r="HF25" s="295"/>
      <c r="HG25" s="295"/>
      <c r="HH25" s="39"/>
      <c r="HI25" s="295"/>
      <c r="HJ25" s="295"/>
      <c r="HK25" s="295"/>
      <c r="HL25" s="295"/>
      <c r="HM25" s="295"/>
      <c r="HN25" s="295"/>
      <c r="HO25" s="295"/>
      <c r="HP25" s="295"/>
      <c r="HQ25" s="295"/>
      <c r="HR25" s="295"/>
      <c r="HS25" s="295"/>
      <c r="HT25" s="39"/>
      <c r="HU25" s="295"/>
      <c r="HV25" s="295"/>
      <c r="HW25" s="295"/>
      <c r="HX25" s="295"/>
      <c r="HY25" s="295"/>
      <c r="HZ25" s="295"/>
      <c r="IA25" s="295"/>
      <c r="IB25" s="295"/>
      <c r="IC25" s="295"/>
      <c r="ID25" s="295"/>
      <c r="IE25" s="295"/>
      <c r="IF25" s="39"/>
      <c r="IG25" s="295"/>
      <c r="IH25" s="295"/>
      <c r="II25" s="295"/>
    </row>
    <row r="26" spans="1:243" s="5" customFormat="1" ht="14.25">
      <c r="A26" s="400" t="s">
        <v>12</v>
      </c>
      <c r="B26" s="295">
        <v>-4.2</v>
      </c>
      <c r="C26" s="295">
        <v>-3.5</v>
      </c>
      <c r="D26" s="295">
        <v>-2</v>
      </c>
      <c r="E26" s="295">
        <v>-1.1000000000000001</v>
      </c>
      <c r="F26" s="295">
        <v>-0.8</v>
      </c>
      <c r="G26" s="295">
        <v>-0.9</v>
      </c>
      <c r="H26" s="295">
        <v>-1.1000000000000001</v>
      </c>
      <c r="I26" s="291"/>
      <c r="J26" s="291"/>
      <c r="K26" s="291"/>
      <c r="L26" s="35"/>
      <c r="M26" s="291"/>
      <c r="N26" s="291"/>
      <c r="O26" s="291"/>
      <c r="P26" s="291"/>
      <c r="Q26" s="291"/>
      <c r="R26" s="291"/>
      <c r="S26" s="291"/>
      <c r="T26" s="291"/>
      <c r="U26" s="291"/>
      <c r="V26" s="291"/>
      <c r="W26" s="291"/>
      <c r="X26" s="35"/>
      <c r="Y26" s="291"/>
      <c r="Z26" s="291"/>
      <c r="AA26" s="291"/>
      <c r="AB26" s="291"/>
      <c r="AC26" s="291"/>
      <c r="AD26" s="291"/>
      <c r="AE26" s="291"/>
      <c r="AF26" s="291"/>
      <c r="AG26" s="291"/>
      <c r="AH26" s="291"/>
      <c r="AI26" s="291"/>
      <c r="AJ26" s="35"/>
      <c r="AK26" s="291"/>
      <c r="AL26" s="291"/>
      <c r="AM26" s="291"/>
      <c r="AN26" s="291"/>
      <c r="AO26" s="291"/>
      <c r="AP26" s="291"/>
      <c r="AQ26" s="291"/>
      <c r="AR26" s="291"/>
      <c r="AS26" s="291"/>
      <c r="AT26" s="291"/>
      <c r="AU26" s="291"/>
      <c r="AV26" s="35"/>
      <c r="AW26" s="291"/>
      <c r="AX26" s="291"/>
      <c r="AY26" s="291"/>
      <c r="AZ26" s="291"/>
      <c r="BA26" s="291"/>
      <c r="BB26" s="291"/>
      <c r="BC26" s="291"/>
      <c r="BD26" s="291"/>
      <c r="BE26" s="291"/>
      <c r="BF26" s="291"/>
      <c r="BG26" s="291"/>
      <c r="BH26" s="35"/>
      <c r="BI26" s="291"/>
      <c r="BJ26" s="291"/>
      <c r="BK26" s="291"/>
      <c r="BL26" s="291"/>
      <c r="BM26" s="291"/>
      <c r="BN26" s="291"/>
      <c r="BO26" s="291"/>
      <c r="BP26" s="291"/>
      <c r="BQ26" s="291"/>
      <c r="BR26" s="291"/>
      <c r="BS26" s="291"/>
      <c r="BT26" s="35"/>
      <c r="BU26" s="291"/>
      <c r="BV26" s="291"/>
      <c r="BW26" s="291"/>
      <c r="BX26" s="291"/>
      <c r="BY26" s="291"/>
      <c r="BZ26" s="291"/>
      <c r="CA26" s="291"/>
      <c r="CB26" s="291"/>
      <c r="CC26" s="291"/>
      <c r="CD26" s="291"/>
      <c r="CE26" s="291"/>
      <c r="CF26" s="35"/>
      <c r="CG26" s="291"/>
      <c r="CH26" s="291"/>
      <c r="CI26" s="291"/>
      <c r="CJ26" s="291"/>
      <c r="CK26" s="291"/>
      <c r="CL26" s="291"/>
      <c r="CM26" s="291"/>
      <c r="CN26" s="291"/>
      <c r="CO26" s="291"/>
      <c r="CP26" s="291"/>
      <c r="CQ26" s="291"/>
      <c r="CR26" s="35"/>
      <c r="CS26" s="291"/>
      <c r="CT26" s="291"/>
      <c r="CU26" s="291"/>
      <c r="CV26" s="291"/>
      <c r="CW26" s="291"/>
      <c r="CX26" s="291"/>
      <c r="CY26" s="291"/>
      <c r="CZ26" s="291"/>
      <c r="DA26" s="291"/>
      <c r="DB26" s="291"/>
      <c r="DC26" s="291"/>
      <c r="DD26" s="35"/>
      <c r="DE26" s="291"/>
      <c r="DF26" s="291"/>
      <c r="DG26" s="291"/>
      <c r="DH26" s="291"/>
      <c r="DI26" s="291"/>
      <c r="DJ26" s="291"/>
      <c r="DK26" s="291"/>
      <c r="DL26" s="291"/>
      <c r="DM26" s="291"/>
      <c r="DN26" s="291"/>
      <c r="DO26" s="291"/>
      <c r="DP26" s="35"/>
      <c r="DQ26" s="291"/>
      <c r="DR26" s="291"/>
      <c r="DS26" s="291"/>
      <c r="DT26" s="291"/>
      <c r="DU26" s="291"/>
      <c r="DV26" s="291"/>
      <c r="DW26" s="291"/>
      <c r="DX26" s="291"/>
      <c r="DY26" s="291"/>
      <c r="DZ26" s="291"/>
      <c r="EA26" s="291"/>
      <c r="EB26" s="35"/>
      <c r="EC26" s="291"/>
      <c r="ED26" s="291"/>
      <c r="EE26" s="291"/>
      <c r="EF26" s="291"/>
      <c r="EG26" s="291"/>
      <c r="EH26" s="291"/>
      <c r="EI26" s="291"/>
      <c r="EJ26" s="291"/>
      <c r="EK26" s="291"/>
      <c r="EL26" s="291"/>
      <c r="EM26" s="291"/>
      <c r="EN26" s="35"/>
      <c r="EO26" s="291"/>
      <c r="EP26" s="291"/>
      <c r="EQ26" s="291"/>
      <c r="ER26" s="291"/>
      <c r="ES26" s="291"/>
      <c r="ET26" s="291"/>
      <c r="EU26" s="291"/>
      <c r="EV26" s="291"/>
      <c r="EW26" s="291"/>
      <c r="EX26" s="291"/>
      <c r="EY26" s="291"/>
      <c r="EZ26" s="35"/>
      <c r="FA26" s="291"/>
      <c r="FB26" s="291"/>
      <c r="FC26" s="291"/>
      <c r="FD26" s="291"/>
      <c r="FE26" s="291"/>
      <c r="FF26" s="291"/>
      <c r="FG26" s="291"/>
      <c r="FH26" s="291"/>
      <c r="FI26" s="291"/>
      <c r="FJ26" s="291"/>
      <c r="FK26" s="291"/>
      <c r="FL26" s="35"/>
      <c r="FM26" s="291"/>
      <c r="FN26" s="291"/>
      <c r="FO26" s="291"/>
      <c r="FP26" s="291"/>
      <c r="FQ26" s="291"/>
      <c r="FR26" s="291"/>
      <c r="FS26" s="291"/>
      <c r="FT26" s="291"/>
      <c r="FU26" s="291"/>
      <c r="FV26" s="291"/>
      <c r="FW26" s="291"/>
      <c r="FX26" s="35"/>
      <c r="FY26" s="291"/>
      <c r="FZ26" s="291"/>
      <c r="GA26" s="291"/>
      <c r="GB26" s="291"/>
      <c r="GC26" s="291"/>
      <c r="GD26" s="291"/>
      <c r="GE26" s="291"/>
      <c r="GF26" s="291"/>
      <c r="GG26" s="291"/>
      <c r="GH26" s="291"/>
      <c r="GI26" s="291"/>
      <c r="GJ26" s="35"/>
      <c r="GK26" s="291"/>
      <c r="GL26" s="291"/>
      <c r="GM26" s="291"/>
      <c r="GN26" s="291"/>
      <c r="GO26" s="291"/>
      <c r="GP26" s="291"/>
      <c r="GQ26" s="291"/>
      <c r="GR26" s="291"/>
      <c r="GS26" s="291"/>
      <c r="GT26" s="291"/>
      <c r="GU26" s="291"/>
      <c r="GV26" s="35"/>
      <c r="GW26" s="291"/>
      <c r="GX26" s="291"/>
      <c r="GY26" s="291"/>
      <c r="GZ26" s="291"/>
      <c r="HA26" s="291"/>
      <c r="HB26" s="291"/>
      <c r="HC26" s="291"/>
      <c r="HD26" s="291"/>
      <c r="HE26" s="291"/>
      <c r="HF26" s="291"/>
      <c r="HG26" s="291"/>
      <c r="HH26" s="35"/>
      <c r="HI26" s="291"/>
      <c r="HJ26" s="291"/>
      <c r="HK26" s="291"/>
      <c r="HL26" s="291"/>
      <c r="HM26" s="291"/>
      <c r="HN26" s="291"/>
      <c r="HO26" s="291"/>
      <c r="HP26" s="291"/>
      <c r="HQ26" s="291"/>
      <c r="HR26" s="291"/>
      <c r="HS26" s="291"/>
      <c r="HT26" s="35"/>
      <c r="HU26" s="291"/>
      <c r="HV26" s="291"/>
      <c r="HW26" s="291"/>
      <c r="HX26" s="291"/>
      <c r="HY26" s="291"/>
      <c r="HZ26" s="291"/>
      <c r="IA26" s="291"/>
      <c r="IB26" s="291"/>
      <c r="IC26" s="291"/>
      <c r="ID26" s="291"/>
      <c r="IE26" s="291"/>
      <c r="IF26" s="35"/>
      <c r="IG26" s="291"/>
      <c r="IH26" s="291"/>
      <c r="II26" s="291"/>
    </row>
    <row r="27" spans="1:243" s="5" customFormat="1" ht="14.25">
      <c r="A27" s="391" t="s">
        <v>11</v>
      </c>
      <c r="B27" s="291">
        <v>-2.5</v>
      </c>
      <c r="C27" s="291">
        <v>-1.9</v>
      </c>
      <c r="D27" s="291">
        <v>-0.6</v>
      </c>
      <c r="E27" s="291">
        <v>-0.9</v>
      </c>
      <c r="F27" s="291">
        <v>-2.6</v>
      </c>
      <c r="G27" s="397">
        <v>-2.6</v>
      </c>
      <c r="H27" s="397">
        <v>-2.5</v>
      </c>
      <c r="I27" s="397"/>
      <c r="J27" s="397"/>
      <c r="K27" s="397"/>
      <c r="L27" s="35"/>
      <c r="M27" s="291"/>
      <c r="N27" s="291"/>
      <c r="O27" s="291"/>
      <c r="P27" s="291"/>
      <c r="Q27" s="291"/>
      <c r="R27" s="291"/>
      <c r="S27" s="397"/>
      <c r="T27" s="397"/>
      <c r="U27" s="397"/>
      <c r="V27" s="397"/>
      <c r="W27" s="397"/>
      <c r="X27" s="35"/>
      <c r="Y27" s="291"/>
      <c r="Z27" s="291"/>
      <c r="AA27" s="291"/>
      <c r="AB27" s="291"/>
      <c r="AC27" s="291"/>
      <c r="AD27" s="291"/>
      <c r="AE27" s="397"/>
      <c r="AF27" s="397"/>
      <c r="AG27" s="397"/>
      <c r="AH27" s="397"/>
      <c r="AI27" s="397"/>
      <c r="AJ27" s="35"/>
      <c r="AK27" s="291"/>
      <c r="AL27" s="291"/>
      <c r="AM27" s="291"/>
      <c r="AN27" s="291"/>
      <c r="AO27" s="291"/>
      <c r="AP27" s="291"/>
      <c r="AQ27" s="397"/>
      <c r="AR27" s="397"/>
      <c r="AS27" s="397"/>
      <c r="AT27" s="397"/>
      <c r="AU27" s="397"/>
      <c r="AV27" s="35"/>
      <c r="AW27" s="291"/>
      <c r="AX27" s="291"/>
      <c r="AY27" s="291"/>
      <c r="AZ27" s="291"/>
      <c r="BA27" s="291"/>
      <c r="BB27" s="291"/>
      <c r="BC27" s="397"/>
      <c r="BD27" s="397"/>
      <c r="BE27" s="397"/>
      <c r="BF27" s="397"/>
      <c r="BG27" s="397"/>
      <c r="BH27" s="35"/>
      <c r="BI27" s="291"/>
      <c r="BJ27" s="291"/>
      <c r="BK27" s="291"/>
      <c r="BL27" s="291"/>
      <c r="BM27" s="291"/>
      <c r="BN27" s="291"/>
      <c r="BO27" s="397"/>
      <c r="BP27" s="397"/>
      <c r="BQ27" s="397"/>
      <c r="BR27" s="397"/>
      <c r="BS27" s="397"/>
      <c r="BT27" s="35"/>
      <c r="BU27" s="291"/>
      <c r="BV27" s="291"/>
      <c r="BW27" s="291"/>
      <c r="BX27" s="291"/>
      <c r="BY27" s="291"/>
      <c r="BZ27" s="291"/>
      <c r="CA27" s="397"/>
      <c r="CB27" s="397"/>
      <c r="CC27" s="397"/>
      <c r="CD27" s="397"/>
      <c r="CE27" s="397"/>
      <c r="CF27" s="35"/>
      <c r="CG27" s="291"/>
      <c r="CH27" s="291"/>
      <c r="CI27" s="291"/>
      <c r="CJ27" s="291"/>
      <c r="CK27" s="291"/>
      <c r="CL27" s="291"/>
      <c r="CM27" s="397"/>
      <c r="CN27" s="397"/>
      <c r="CO27" s="397"/>
      <c r="CP27" s="397"/>
      <c r="CQ27" s="397"/>
      <c r="CR27" s="35"/>
      <c r="CS27" s="291"/>
      <c r="CT27" s="291"/>
      <c r="CU27" s="291"/>
      <c r="CV27" s="291"/>
      <c r="CW27" s="291"/>
      <c r="CX27" s="291"/>
      <c r="CY27" s="397"/>
      <c r="CZ27" s="397"/>
      <c r="DA27" s="397"/>
      <c r="DB27" s="397"/>
      <c r="DC27" s="397"/>
      <c r="DD27" s="35"/>
      <c r="DE27" s="291"/>
      <c r="DF27" s="291"/>
      <c r="DG27" s="291"/>
      <c r="DH27" s="291"/>
      <c r="DI27" s="291"/>
      <c r="DJ27" s="291"/>
      <c r="DK27" s="397"/>
      <c r="DL27" s="397"/>
      <c r="DM27" s="397"/>
      <c r="DN27" s="397"/>
      <c r="DO27" s="397"/>
      <c r="DP27" s="35"/>
      <c r="DQ27" s="291"/>
      <c r="DR27" s="291"/>
      <c r="DS27" s="291"/>
      <c r="DT27" s="291"/>
      <c r="DU27" s="291"/>
      <c r="DV27" s="291"/>
      <c r="DW27" s="397"/>
      <c r="DX27" s="397"/>
      <c r="DY27" s="397"/>
      <c r="DZ27" s="397"/>
      <c r="EA27" s="397"/>
      <c r="EB27" s="35"/>
      <c r="EC27" s="291"/>
      <c r="ED27" s="291"/>
      <c r="EE27" s="291"/>
      <c r="EF27" s="291"/>
      <c r="EG27" s="291"/>
      <c r="EH27" s="291"/>
      <c r="EI27" s="397"/>
      <c r="EJ27" s="397"/>
      <c r="EK27" s="397"/>
      <c r="EL27" s="397"/>
      <c r="EM27" s="397"/>
      <c r="EN27" s="35"/>
      <c r="EO27" s="291"/>
      <c r="EP27" s="291"/>
      <c r="EQ27" s="291"/>
      <c r="ER27" s="291"/>
      <c r="ES27" s="291"/>
      <c r="ET27" s="291"/>
      <c r="EU27" s="397"/>
      <c r="EV27" s="397"/>
      <c r="EW27" s="397"/>
      <c r="EX27" s="397"/>
      <c r="EY27" s="397"/>
      <c r="EZ27" s="35"/>
      <c r="FA27" s="291"/>
      <c r="FB27" s="291"/>
      <c r="FC27" s="291"/>
      <c r="FD27" s="291"/>
      <c r="FE27" s="291"/>
      <c r="FF27" s="291"/>
      <c r="FG27" s="397"/>
      <c r="FH27" s="397"/>
      <c r="FI27" s="397"/>
      <c r="FJ27" s="397"/>
      <c r="FK27" s="397"/>
      <c r="FL27" s="35"/>
      <c r="FM27" s="291"/>
      <c r="FN27" s="291"/>
      <c r="FO27" s="291"/>
      <c r="FP27" s="291"/>
      <c r="FQ27" s="291"/>
      <c r="FR27" s="291"/>
      <c r="FS27" s="397"/>
      <c r="FT27" s="397"/>
      <c r="FU27" s="397"/>
      <c r="FV27" s="397"/>
      <c r="FW27" s="397"/>
      <c r="FX27" s="35"/>
      <c r="FY27" s="291"/>
      <c r="FZ27" s="291"/>
      <c r="GA27" s="291"/>
      <c r="GB27" s="291"/>
      <c r="GC27" s="291"/>
      <c r="GD27" s="291"/>
      <c r="GE27" s="397"/>
      <c r="GF27" s="397"/>
      <c r="GG27" s="397"/>
      <c r="GH27" s="397"/>
      <c r="GI27" s="397"/>
      <c r="GJ27" s="35"/>
      <c r="GK27" s="291"/>
      <c r="GL27" s="291"/>
      <c r="GM27" s="291"/>
      <c r="GN27" s="291"/>
      <c r="GO27" s="291"/>
      <c r="GP27" s="291"/>
      <c r="GQ27" s="397"/>
      <c r="GR27" s="397"/>
      <c r="GS27" s="397"/>
      <c r="GT27" s="397"/>
      <c r="GU27" s="397"/>
      <c r="GV27" s="35"/>
      <c r="GW27" s="291"/>
      <c r="GX27" s="291"/>
      <c r="GY27" s="291"/>
      <c r="GZ27" s="291"/>
      <c r="HA27" s="291"/>
      <c r="HB27" s="291"/>
      <c r="HC27" s="397"/>
      <c r="HD27" s="397"/>
      <c r="HE27" s="397"/>
      <c r="HF27" s="397"/>
      <c r="HG27" s="397"/>
      <c r="HH27" s="35"/>
      <c r="HI27" s="291"/>
      <c r="HJ27" s="291"/>
      <c r="HK27" s="291"/>
      <c r="HL27" s="291"/>
      <c r="HM27" s="291"/>
      <c r="HN27" s="291"/>
      <c r="HO27" s="397"/>
      <c r="HP27" s="397"/>
      <c r="HQ27" s="397"/>
      <c r="HR27" s="397"/>
      <c r="HS27" s="397"/>
      <c r="HT27" s="35"/>
      <c r="HU27" s="291"/>
      <c r="HV27" s="291"/>
      <c r="HW27" s="291"/>
      <c r="HX27" s="291"/>
      <c r="HY27" s="291"/>
      <c r="HZ27" s="291"/>
      <c r="IA27" s="397"/>
      <c r="IB27" s="397"/>
      <c r="IC27" s="397"/>
      <c r="ID27" s="397"/>
      <c r="IE27" s="397"/>
      <c r="IF27" s="35"/>
      <c r="IG27" s="291"/>
      <c r="IH27" s="291"/>
      <c r="II27" s="291"/>
    </row>
    <row r="28" spans="1:243" s="5" customFormat="1" ht="14.25">
      <c r="A28" s="391" t="s">
        <v>33</v>
      </c>
      <c r="B28" s="291">
        <v>-4.0999999999999996</v>
      </c>
      <c r="C28" s="291">
        <v>-2.5</v>
      </c>
      <c r="D28" s="291">
        <v>-1.4</v>
      </c>
      <c r="E28" s="291">
        <v>0.2</v>
      </c>
      <c r="F28" s="291">
        <v>-1</v>
      </c>
      <c r="G28" s="397">
        <v>-1.6</v>
      </c>
      <c r="H28" s="397">
        <v>-1.6</v>
      </c>
      <c r="I28" s="397"/>
      <c r="J28" s="397"/>
      <c r="K28" s="397"/>
      <c r="L28" s="35"/>
      <c r="M28" s="291"/>
      <c r="N28" s="291"/>
      <c r="O28" s="291"/>
      <c r="P28" s="291"/>
      <c r="Q28" s="291"/>
      <c r="R28" s="291"/>
      <c r="S28" s="397"/>
      <c r="T28" s="397"/>
      <c r="U28" s="397"/>
      <c r="V28" s="397"/>
      <c r="W28" s="397"/>
      <c r="X28" s="35"/>
      <c r="Y28" s="291"/>
      <c r="Z28" s="291"/>
      <c r="AA28" s="291"/>
      <c r="AB28" s="291"/>
      <c r="AC28" s="291"/>
      <c r="AD28" s="291"/>
      <c r="AE28" s="397"/>
      <c r="AF28" s="397"/>
      <c r="AG28" s="397"/>
      <c r="AH28" s="397"/>
      <c r="AI28" s="397"/>
      <c r="AJ28" s="35"/>
      <c r="AK28" s="291"/>
      <c r="AL28" s="291"/>
      <c r="AM28" s="291"/>
      <c r="AN28" s="291"/>
      <c r="AO28" s="291"/>
      <c r="AP28" s="291"/>
      <c r="AQ28" s="397"/>
      <c r="AR28" s="397"/>
      <c r="AS28" s="397"/>
      <c r="AT28" s="397"/>
      <c r="AU28" s="397"/>
      <c r="AV28" s="35"/>
      <c r="AW28" s="291"/>
      <c r="AX28" s="291"/>
      <c r="AY28" s="291"/>
      <c r="AZ28" s="291"/>
      <c r="BA28" s="291"/>
      <c r="BB28" s="291"/>
      <c r="BC28" s="397"/>
      <c r="BD28" s="397"/>
      <c r="BE28" s="397"/>
      <c r="BF28" s="397"/>
      <c r="BG28" s="397"/>
      <c r="BH28" s="35"/>
      <c r="BI28" s="291"/>
      <c r="BJ28" s="291"/>
      <c r="BK28" s="291"/>
      <c r="BL28" s="291"/>
      <c r="BM28" s="291"/>
      <c r="BN28" s="291"/>
      <c r="BO28" s="397"/>
      <c r="BP28" s="397"/>
      <c r="BQ28" s="397"/>
      <c r="BR28" s="397"/>
      <c r="BS28" s="397"/>
      <c r="BT28" s="35"/>
      <c r="BU28" s="291"/>
      <c r="BV28" s="291"/>
      <c r="BW28" s="291"/>
      <c r="BX28" s="291"/>
      <c r="BY28" s="291"/>
      <c r="BZ28" s="291"/>
      <c r="CA28" s="397"/>
      <c r="CB28" s="397"/>
      <c r="CC28" s="397"/>
      <c r="CD28" s="397"/>
      <c r="CE28" s="397"/>
      <c r="CF28" s="35"/>
      <c r="CG28" s="291"/>
      <c r="CH28" s="291"/>
      <c r="CI28" s="291"/>
      <c r="CJ28" s="291"/>
      <c r="CK28" s="291"/>
      <c r="CL28" s="291"/>
      <c r="CM28" s="397"/>
      <c r="CN28" s="397"/>
      <c r="CO28" s="397"/>
      <c r="CP28" s="397"/>
      <c r="CQ28" s="397"/>
      <c r="CR28" s="35"/>
      <c r="CS28" s="291"/>
      <c r="CT28" s="291"/>
      <c r="CU28" s="291"/>
      <c r="CV28" s="291"/>
      <c r="CW28" s="291"/>
      <c r="CX28" s="291"/>
      <c r="CY28" s="397"/>
      <c r="CZ28" s="397"/>
      <c r="DA28" s="397"/>
      <c r="DB28" s="397"/>
      <c r="DC28" s="397"/>
      <c r="DD28" s="35"/>
      <c r="DE28" s="291"/>
      <c r="DF28" s="291"/>
      <c r="DG28" s="291"/>
      <c r="DH28" s="291"/>
      <c r="DI28" s="291"/>
      <c r="DJ28" s="291"/>
      <c r="DK28" s="397"/>
      <c r="DL28" s="397"/>
      <c r="DM28" s="397"/>
      <c r="DN28" s="397"/>
      <c r="DO28" s="397"/>
      <c r="DP28" s="35"/>
      <c r="DQ28" s="291"/>
      <c r="DR28" s="291"/>
      <c r="DS28" s="291"/>
      <c r="DT28" s="291"/>
      <c r="DU28" s="291"/>
      <c r="DV28" s="291"/>
      <c r="DW28" s="397"/>
      <c r="DX28" s="397"/>
      <c r="DY28" s="397"/>
      <c r="DZ28" s="397"/>
      <c r="EA28" s="397"/>
      <c r="EB28" s="35"/>
      <c r="EC28" s="291"/>
      <c r="ED28" s="291"/>
      <c r="EE28" s="291"/>
      <c r="EF28" s="291"/>
      <c r="EG28" s="291"/>
      <c r="EH28" s="291"/>
      <c r="EI28" s="397"/>
      <c r="EJ28" s="397"/>
      <c r="EK28" s="397"/>
      <c r="EL28" s="397"/>
      <c r="EM28" s="397"/>
      <c r="EN28" s="35"/>
      <c r="EO28" s="291"/>
      <c r="EP28" s="291"/>
      <c r="EQ28" s="291"/>
      <c r="ER28" s="291"/>
      <c r="ES28" s="291"/>
      <c r="ET28" s="291"/>
      <c r="EU28" s="397"/>
      <c r="EV28" s="397"/>
      <c r="EW28" s="397"/>
      <c r="EX28" s="397"/>
      <c r="EY28" s="397"/>
      <c r="EZ28" s="35"/>
      <c r="FA28" s="291"/>
      <c r="FB28" s="291"/>
      <c r="FC28" s="291"/>
      <c r="FD28" s="291"/>
      <c r="FE28" s="291"/>
      <c r="FF28" s="291"/>
      <c r="FG28" s="397"/>
      <c r="FH28" s="397"/>
      <c r="FI28" s="397"/>
      <c r="FJ28" s="397"/>
      <c r="FK28" s="397"/>
      <c r="FL28" s="35"/>
      <c r="FM28" s="291"/>
      <c r="FN28" s="291"/>
      <c r="FO28" s="291"/>
      <c r="FP28" s="291"/>
      <c r="FQ28" s="291"/>
      <c r="FR28" s="291"/>
      <c r="FS28" s="397"/>
      <c r="FT28" s="397"/>
      <c r="FU28" s="397"/>
      <c r="FV28" s="397"/>
      <c r="FW28" s="397"/>
      <c r="FX28" s="35"/>
      <c r="FY28" s="291"/>
      <c r="FZ28" s="291"/>
      <c r="GA28" s="291"/>
      <c r="GB28" s="291"/>
      <c r="GC28" s="291"/>
      <c r="GD28" s="291"/>
      <c r="GE28" s="397"/>
      <c r="GF28" s="397"/>
      <c r="GG28" s="397"/>
      <c r="GH28" s="397"/>
      <c r="GI28" s="397"/>
      <c r="GJ28" s="35"/>
      <c r="GK28" s="291"/>
      <c r="GL28" s="291"/>
      <c r="GM28" s="291"/>
      <c r="GN28" s="291"/>
      <c r="GO28" s="291"/>
      <c r="GP28" s="291"/>
      <c r="GQ28" s="397"/>
      <c r="GR28" s="397"/>
      <c r="GS28" s="397"/>
      <c r="GT28" s="397"/>
      <c r="GU28" s="397"/>
      <c r="GV28" s="35"/>
      <c r="GW28" s="291"/>
      <c r="GX28" s="291"/>
      <c r="GY28" s="291"/>
      <c r="GZ28" s="291"/>
      <c r="HA28" s="291"/>
      <c r="HB28" s="291"/>
      <c r="HC28" s="397"/>
      <c r="HD28" s="397"/>
      <c r="HE28" s="397"/>
      <c r="HF28" s="397"/>
      <c r="HG28" s="397"/>
      <c r="HH28" s="35"/>
      <c r="HI28" s="291"/>
      <c r="HJ28" s="291"/>
      <c r="HK28" s="291"/>
      <c r="HL28" s="291"/>
      <c r="HM28" s="291"/>
      <c r="HN28" s="291"/>
      <c r="HO28" s="397"/>
      <c r="HP28" s="397"/>
      <c r="HQ28" s="397"/>
      <c r="HR28" s="397"/>
      <c r="HS28" s="397"/>
      <c r="HT28" s="35"/>
      <c r="HU28" s="291"/>
      <c r="HV28" s="291"/>
      <c r="HW28" s="291"/>
      <c r="HX28" s="291"/>
      <c r="HY28" s="291"/>
      <c r="HZ28" s="291"/>
      <c r="IA28" s="397"/>
      <c r="IB28" s="397"/>
      <c r="IC28" s="397"/>
      <c r="ID28" s="397"/>
      <c r="IE28" s="397"/>
      <c r="IF28" s="35"/>
      <c r="IG28" s="291"/>
      <c r="IH28" s="291"/>
      <c r="II28" s="291"/>
    </row>
    <row r="29" spans="1:243" s="5" customFormat="1" ht="14.25">
      <c r="A29" s="391" t="s">
        <v>10</v>
      </c>
      <c r="B29" s="291">
        <v>-0.7</v>
      </c>
      <c r="C29" s="291">
        <v>-0.5</v>
      </c>
      <c r="D29" s="291">
        <v>0</v>
      </c>
      <c r="E29" s="291">
        <v>0.1</v>
      </c>
      <c r="F29" s="291">
        <v>0.4</v>
      </c>
      <c r="G29" s="397">
        <v>-0.5</v>
      </c>
      <c r="H29" s="397">
        <v>-1.4</v>
      </c>
      <c r="I29" s="397"/>
      <c r="J29" s="397"/>
      <c r="K29" s="397"/>
      <c r="L29" s="35"/>
      <c r="M29" s="291"/>
      <c r="N29" s="291"/>
      <c r="O29" s="291"/>
      <c r="P29" s="291"/>
      <c r="Q29" s="291"/>
      <c r="R29" s="291"/>
      <c r="S29" s="397"/>
      <c r="T29" s="397"/>
      <c r="U29" s="397"/>
      <c r="V29" s="397"/>
      <c r="W29" s="397"/>
      <c r="X29" s="35"/>
      <c r="Y29" s="291"/>
      <c r="Z29" s="291"/>
      <c r="AA29" s="291"/>
      <c r="AB29" s="291"/>
      <c r="AC29" s="291"/>
      <c r="AD29" s="291"/>
      <c r="AE29" s="397"/>
      <c r="AF29" s="397"/>
      <c r="AG29" s="397"/>
      <c r="AH29" s="397"/>
      <c r="AI29" s="397"/>
      <c r="AJ29" s="35"/>
      <c r="AK29" s="291"/>
      <c r="AL29" s="291"/>
      <c r="AM29" s="291"/>
      <c r="AN29" s="291"/>
      <c r="AO29" s="291"/>
      <c r="AP29" s="291"/>
      <c r="AQ29" s="397"/>
      <c r="AR29" s="397"/>
      <c r="AS29" s="397"/>
      <c r="AT29" s="397"/>
      <c r="AU29" s="397"/>
      <c r="AV29" s="35"/>
      <c r="AW29" s="291"/>
      <c r="AX29" s="291"/>
      <c r="AY29" s="291"/>
      <c r="AZ29" s="291"/>
      <c r="BA29" s="291"/>
      <c r="BB29" s="291"/>
      <c r="BC29" s="397"/>
      <c r="BD29" s="397"/>
      <c r="BE29" s="397"/>
      <c r="BF29" s="397"/>
      <c r="BG29" s="397"/>
      <c r="BH29" s="35"/>
      <c r="BI29" s="291"/>
      <c r="BJ29" s="291"/>
      <c r="BK29" s="291"/>
      <c r="BL29" s="291"/>
      <c r="BM29" s="291"/>
      <c r="BN29" s="291"/>
      <c r="BO29" s="397"/>
      <c r="BP29" s="397"/>
      <c r="BQ29" s="397"/>
      <c r="BR29" s="397"/>
      <c r="BS29" s="397"/>
      <c r="BT29" s="35"/>
      <c r="BU29" s="291"/>
      <c r="BV29" s="291"/>
      <c r="BW29" s="291"/>
      <c r="BX29" s="291"/>
      <c r="BY29" s="291"/>
      <c r="BZ29" s="291"/>
      <c r="CA29" s="397"/>
      <c r="CB29" s="397"/>
      <c r="CC29" s="397"/>
      <c r="CD29" s="397"/>
      <c r="CE29" s="397"/>
      <c r="CF29" s="35"/>
      <c r="CG29" s="291"/>
      <c r="CH29" s="291"/>
      <c r="CI29" s="291"/>
      <c r="CJ29" s="291"/>
      <c r="CK29" s="291"/>
      <c r="CL29" s="291"/>
      <c r="CM29" s="397"/>
      <c r="CN29" s="397"/>
      <c r="CO29" s="397"/>
      <c r="CP29" s="397"/>
      <c r="CQ29" s="397"/>
      <c r="CR29" s="35"/>
      <c r="CS29" s="291"/>
      <c r="CT29" s="291"/>
      <c r="CU29" s="291"/>
      <c r="CV29" s="291"/>
      <c r="CW29" s="291"/>
      <c r="CX29" s="291"/>
      <c r="CY29" s="397"/>
      <c r="CZ29" s="397"/>
      <c r="DA29" s="397"/>
      <c r="DB29" s="397"/>
      <c r="DC29" s="397"/>
      <c r="DD29" s="35"/>
      <c r="DE29" s="291"/>
      <c r="DF29" s="291"/>
      <c r="DG29" s="291"/>
      <c r="DH29" s="291"/>
      <c r="DI29" s="291"/>
      <c r="DJ29" s="291"/>
      <c r="DK29" s="397"/>
      <c r="DL29" s="397"/>
      <c r="DM29" s="397"/>
      <c r="DN29" s="397"/>
      <c r="DO29" s="397"/>
      <c r="DP29" s="35"/>
      <c r="DQ29" s="291"/>
      <c r="DR29" s="291"/>
      <c r="DS29" s="291"/>
      <c r="DT29" s="291"/>
      <c r="DU29" s="291"/>
      <c r="DV29" s="291"/>
      <c r="DW29" s="397"/>
      <c r="DX29" s="397"/>
      <c r="DY29" s="397"/>
      <c r="DZ29" s="397"/>
      <c r="EA29" s="397"/>
      <c r="EB29" s="35"/>
      <c r="EC29" s="291"/>
      <c r="ED29" s="291"/>
      <c r="EE29" s="291"/>
      <c r="EF29" s="291"/>
      <c r="EG29" s="291"/>
      <c r="EH29" s="291"/>
      <c r="EI29" s="397"/>
      <c r="EJ29" s="397"/>
      <c r="EK29" s="397"/>
      <c r="EL29" s="397"/>
      <c r="EM29" s="397"/>
      <c r="EN29" s="35"/>
      <c r="EO29" s="291"/>
      <c r="EP29" s="291"/>
      <c r="EQ29" s="291"/>
      <c r="ER29" s="291"/>
      <c r="ES29" s="291"/>
      <c r="ET29" s="291"/>
      <c r="EU29" s="397"/>
      <c r="EV29" s="397"/>
      <c r="EW29" s="397"/>
      <c r="EX29" s="397"/>
      <c r="EY29" s="397"/>
      <c r="EZ29" s="35"/>
      <c r="FA29" s="291"/>
      <c r="FB29" s="291"/>
      <c r="FC29" s="291"/>
      <c r="FD29" s="291"/>
      <c r="FE29" s="291"/>
      <c r="FF29" s="291"/>
      <c r="FG29" s="397"/>
      <c r="FH29" s="397"/>
      <c r="FI29" s="397"/>
      <c r="FJ29" s="397"/>
      <c r="FK29" s="397"/>
      <c r="FL29" s="35"/>
      <c r="FM29" s="291"/>
      <c r="FN29" s="291"/>
      <c r="FO29" s="291"/>
      <c r="FP29" s="291"/>
      <c r="FQ29" s="291"/>
      <c r="FR29" s="291"/>
      <c r="FS29" s="397"/>
      <c r="FT29" s="397"/>
      <c r="FU29" s="397"/>
      <c r="FV29" s="397"/>
      <c r="FW29" s="397"/>
      <c r="FX29" s="35"/>
      <c r="FY29" s="291"/>
      <c r="FZ29" s="291"/>
      <c r="GA29" s="291"/>
      <c r="GB29" s="291"/>
      <c r="GC29" s="291"/>
      <c r="GD29" s="291"/>
      <c r="GE29" s="397"/>
      <c r="GF29" s="397"/>
      <c r="GG29" s="397"/>
      <c r="GH29" s="397"/>
      <c r="GI29" s="397"/>
      <c r="GJ29" s="35"/>
      <c r="GK29" s="291"/>
      <c r="GL29" s="291"/>
      <c r="GM29" s="291"/>
      <c r="GN29" s="291"/>
      <c r="GO29" s="291"/>
      <c r="GP29" s="291"/>
      <c r="GQ29" s="397"/>
      <c r="GR29" s="397"/>
      <c r="GS29" s="397"/>
      <c r="GT29" s="397"/>
      <c r="GU29" s="397"/>
      <c r="GV29" s="35"/>
      <c r="GW29" s="291"/>
      <c r="GX29" s="291"/>
      <c r="GY29" s="291"/>
      <c r="GZ29" s="291"/>
      <c r="HA29" s="291"/>
      <c r="HB29" s="291"/>
      <c r="HC29" s="397"/>
      <c r="HD29" s="397"/>
      <c r="HE29" s="397"/>
      <c r="HF29" s="397"/>
      <c r="HG29" s="397"/>
      <c r="HH29" s="35"/>
      <c r="HI29" s="291"/>
      <c r="HJ29" s="291"/>
      <c r="HK29" s="291"/>
      <c r="HL29" s="291"/>
      <c r="HM29" s="291"/>
      <c r="HN29" s="291"/>
      <c r="HO29" s="397"/>
      <c r="HP29" s="397"/>
      <c r="HQ29" s="397"/>
      <c r="HR29" s="397"/>
      <c r="HS29" s="397"/>
      <c r="HT29" s="35"/>
      <c r="HU29" s="291"/>
      <c r="HV29" s="291"/>
      <c r="HW29" s="291"/>
      <c r="HX29" s="291"/>
      <c r="HY29" s="291"/>
      <c r="HZ29" s="291"/>
      <c r="IA29" s="397"/>
      <c r="IB29" s="397"/>
      <c r="IC29" s="397"/>
      <c r="ID29" s="397"/>
      <c r="IE29" s="397"/>
      <c r="IF29" s="35"/>
      <c r="IG29" s="291"/>
      <c r="IH29" s="291"/>
      <c r="II29" s="291"/>
    </row>
    <row r="30" spans="1:243" s="5" customFormat="1" ht="14.25">
      <c r="A30" s="407" t="s">
        <v>816</v>
      </c>
      <c r="B30" s="389" t="s">
        <v>818</v>
      </c>
      <c r="C30" s="291">
        <v>-7</v>
      </c>
      <c r="D30" s="291">
        <v>-4.0999999999999996</v>
      </c>
      <c r="E30" s="291">
        <v>-3.6</v>
      </c>
      <c r="F30" s="291">
        <v>-4</v>
      </c>
      <c r="G30" s="291">
        <v>-4.2</v>
      </c>
      <c r="H30" s="291">
        <v>-4.7</v>
      </c>
      <c r="I30" s="291"/>
      <c r="J30" s="291"/>
      <c r="K30" s="291"/>
      <c r="L30" s="36"/>
      <c r="M30" s="291"/>
      <c r="N30" s="291"/>
      <c r="O30" s="291"/>
      <c r="P30" s="291"/>
      <c r="Q30" s="291"/>
      <c r="R30" s="291"/>
      <c r="S30" s="291"/>
      <c r="T30" s="291"/>
      <c r="U30" s="291"/>
      <c r="V30" s="291"/>
      <c r="W30" s="291"/>
      <c r="X30" s="36"/>
      <c r="Y30" s="291"/>
      <c r="Z30" s="291"/>
      <c r="AA30" s="291"/>
      <c r="AB30" s="291"/>
      <c r="AC30" s="291"/>
      <c r="AD30" s="291"/>
      <c r="AE30" s="291"/>
      <c r="AF30" s="291"/>
      <c r="AG30" s="291"/>
      <c r="AH30" s="291"/>
      <c r="AI30" s="291"/>
      <c r="AJ30" s="36"/>
      <c r="AK30" s="291"/>
      <c r="AL30" s="291"/>
      <c r="AM30" s="291"/>
      <c r="AN30" s="291"/>
      <c r="AO30" s="291"/>
      <c r="AP30" s="291"/>
      <c r="AQ30" s="291"/>
      <c r="AR30" s="291"/>
      <c r="AS30" s="291"/>
      <c r="AT30" s="291"/>
      <c r="AU30" s="291"/>
      <c r="AV30" s="36"/>
      <c r="AW30" s="291"/>
      <c r="AX30" s="291"/>
      <c r="AY30" s="291"/>
      <c r="AZ30" s="291"/>
      <c r="BA30" s="291"/>
      <c r="BB30" s="291"/>
      <c r="BC30" s="291"/>
      <c r="BD30" s="291"/>
      <c r="BE30" s="291"/>
      <c r="BF30" s="291"/>
      <c r="BG30" s="291"/>
      <c r="BH30" s="36"/>
      <c r="BI30" s="291"/>
      <c r="BJ30" s="291"/>
      <c r="BK30" s="291"/>
      <c r="BL30" s="291"/>
      <c r="BM30" s="291"/>
      <c r="BN30" s="291"/>
      <c r="BO30" s="291"/>
      <c r="BP30" s="291"/>
      <c r="BQ30" s="291"/>
      <c r="BR30" s="291"/>
      <c r="BS30" s="291"/>
      <c r="BT30" s="36"/>
      <c r="BU30" s="291"/>
      <c r="BV30" s="291"/>
      <c r="BW30" s="291"/>
      <c r="BX30" s="291"/>
      <c r="BY30" s="291"/>
      <c r="BZ30" s="291"/>
      <c r="CA30" s="291"/>
      <c r="CB30" s="291"/>
      <c r="CC30" s="291"/>
      <c r="CD30" s="291"/>
      <c r="CE30" s="291"/>
      <c r="CF30" s="36"/>
      <c r="CG30" s="291"/>
      <c r="CH30" s="291"/>
      <c r="CI30" s="291"/>
      <c r="CJ30" s="291"/>
      <c r="CK30" s="291"/>
      <c r="CL30" s="291"/>
      <c r="CM30" s="291"/>
      <c r="CN30" s="291"/>
      <c r="CO30" s="291"/>
      <c r="CP30" s="291"/>
      <c r="CQ30" s="291"/>
      <c r="CR30" s="36"/>
      <c r="CS30" s="291"/>
      <c r="CT30" s="291"/>
      <c r="CU30" s="291"/>
      <c r="CV30" s="291"/>
      <c r="CW30" s="291"/>
      <c r="CX30" s="291"/>
      <c r="CY30" s="291"/>
      <c r="CZ30" s="291"/>
      <c r="DA30" s="291"/>
      <c r="DB30" s="291"/>
      <c r="DC30" s="291"/>
      <c r="DD30" s="36"/>
      <c r="DE30" s="291"/>
      <c r="DF30" s="291"/>
      <c r="DG30" s="291"/>
      <c r="DH30" s="291"/>
      <c r="DI30" s="291"/>
      <c r="DJ30" s="291"/>
      <c r="DK30" s="291"/>
      <c r="DL30" s="291"/>
      <c r="DM30" s="291"/>
      <c r="DN30" s="291"/>
      <c r="DO30" s="291"/>
      <c r="DP30" s="36"/>
      <c r="DQ30" s="291"/>
      <c r="DR30" s="291"/>
      <c r="DS30" s="291"/>
      <c r="DT30" s="291"/>
      <c r="DU30" s="291"/>
      <c r="DV30" s="291"/>
      <c r="DW30" s="291"/>
      <c r="DX30" s="291"/>
      <c r="DY30" s="291"/>
      <c r="DZ30" s="291"/>
      <c r="EA30" s="291"/>
      <c r="EB30" s="36"/>
      <c r="EC30" s="291"/>
      <c r="ED30" s="291"/>
      <c r="EE30" s="291"/>
      <c r="EF30" s="291"/>
      <c r="EG30" s="291"/>
      <c r="EH30" s="291"/>
      <c r="EI30" s="291"/>
      <c r="EJ30" s="291"/>
      <c r="EK30" s="291"/>
      <c r="EL30" s="291"/>
      <c r="EM30" s="291"/>
      <c r="EN30" s="36"/>
      <c r="EO30" s="291"/>
      <c r="EP30" s="291"/>
      <c r="EQ30" s="291"/>
      <c r="ER30" s="291"/>
      <c r="ES30" s="291"/>
      <c r="ET30" s="291"/>
      <c r="EU30" s="291"/>
      <c r="EV30" s="291"/>
      <c r="EW30" s="291"/>
      <c r="EX30" s="291"/>
      <c r="EY30" s="291"/>
      <c r="EZ30" s="36"/>
      <c r="FA30" s="291"/>
      <c r="FB30" s="291"/>
      <c r="FC30" s="291"/>
      <c r="FD30" s="291"/>
      <c r="FE30" s="291"/>
      <c r="FF30" s="291"/>
      <c r="FG30" s="291"/>
      <c r="FH30" s="291"/>
      <c r="FI30" s="291"/>
      <c r="FJ30" s="291"/>
      <c r="FK30" s="291"/>
      <c r="FL30" s="36"/>
      <c r="FM30" s="291"/>
      <c r="FN30" s="291"/>
      <c r="FO30" s="291"/>
      <c r="FP30" s="291"/>
      <c r="FQ30" s="291"/>
      <c r="FR30" s="291"/>
      <c r="FS30" s="291"/>
      <c r="FT30" s="291"/>
      <c r="FU30" s="291"/>
      <c r="FV30" s="291"/>
      <c r="FW30" s="291"/>
      <c r="FX30" s="36"/>
      <c r="FY30" s="291"/>
      <c r="FZ30" s="291"/>
      <c r="GA30" s="291"/>
      <c r="GB30" s="291"/>
      <c r="GC30" s="291"/>
      <c r="GD30" s="291"/>
      <c r="GE30" s="291"/>
      <c r="GF30" s="291"/>
      <c r="GG30" s="291"/>
      <c r="GH30" s="291"/>
      <c r="GI30" s="291"/>
      <c r="GJ30" s="36"/>
      <c r="GK30" s="291"/>
      <c r="GL30" s="291"/>
      <c r="GM30" s="291"/>
      <c r="GN30" s="291"/>
      <c r="GO30" s="291"/>
      <c r="GP30" s="291"/>
      <c r="GQ30" s="291"/>
      <c r="GR30" s="291"/>
      <c r="GS30" s="291"/>
      <c r="GT30" s="291"/>
      <c r="GU30" s="291"/>
      <c r="GV30" s="36"/>
      <c r="GW30" s="291"/>
      <c r="GX30" s="291"/>
      <c r="GY30" s="291"/>
      <c r="GZ30" s="291"/>
      <c r="HA30" s="291"/>
      <c r="HB30" s="291"/>
      <c r="HC30" s="291"/>
      <c r="HD30" s="291"/>
      <c r="HE30" s="291"/>
      <c r="HF30" s="291"/>
      <c r="HG30" s="291"/>
      <c r="HH30" s="36"/>
      <c r="HI30" s="291"/>
      <c r="HJ30" s="291"/>
      <c r="HK30" s="291"/>
      <c r="HL30" s="291"/>
      <c r="HM30" s="291"/>
      <c r="HN30" s="291"/>
      <c r="HO30" s="291"/>
      <c r="HP30" s="291"/>
      <c r="HQ30" s="291"/>
      <c r="HR30" s="291"/>
      <c r="HS30" s="291"/>
      <c r="HT30" s="36"/>
      <c r="HU30" s="291"/>
      <c r="HV30" s="291"/>
      <c r="HW30" s="291"/>
      <c r="HX30" s="291"/>
      <c r="HY30" s="291"/>
      <c r="HZ30" s="291"/>
      <c r="IA30" s="291"/>
      <c r="IB30" s="291"/>
      <c r="IC30" s="291"/>
      <c r="ID30" s="291"/>
      <c r="IE30" s="291"/>
      <c r="IF30" s="36"/>
      <c r="IG30" s="291"/>
      <c r="IH30" s="291"/>
      <c r="II30" s="291"/>
    </row>
    <row r="31" spans="1:243" s="5" customFormat="1" ht="14.25">
      <c r="A31" s="391" t="s">
        <v>7</v>
      </c>
      <c r="B31" s="291">
        <v>-3.3</v>
      </c>
      <c r="C31" s="291">
        <v>-4.2</v>
      </c>
      <c r="D31" s="291">
        <v>-1.2</v>
      </c>
      <c r="E31" s="291">
        <v>-1.2</v>
      </c>
      <c r="F31" s="291">
        <v>-2.5</v>
      </c>
      <c r="G31" s="291">
        <v>-2.5</v>
      </c>
      <c r="H31" s="291">
        <v>-2.4</v>
      </c>
      <c r="I31" s="291"/>
      <c r="J31" s="291"/>
      <c r="K31" s="291"/>
      <c r="L31" s="35"/>
      <c r="M31" s="291"/>
      <c r="N31" s="291"/>
      <c r="O31" s="291"/>
      <c r="P31" s="291"/>
      <c r="Q31" s="291"/>
      <c r="R31" s="291"/>
      <c r="S31" s="291"/>
      <c r="T31" s="291"/>
      <c r="U31" s="291"/>
      <c r="V31" s="291"/>
      <c r="W31" s="291"/>
      <c r="X31" s="35"/>
      <c r="Y31" s="291"/>
      <c r="Z31" s="291"/>
      <c r="AA31" s="291"/>
      <c r="AB31" s="291"/>
      <c r="AC31" s="291"/>
      <c r="AD31" s="291"/>
      <c r="AE31" s="291"/>
      <c r="AF31" s="291"/>
      <c r="AG31" s="291"/>
      <c r="AH31" s="291"/>
      <c r="AI31" s="291"/>
      <c r="AJ31" s="35"/>
      <c r="AK31" s="291"/>
      <c r="AL31" s="291"/>
      <c r="AM31" s="291"/>
      <c r="AN31" s="291"/>
      <c r="AO31" s="291"/>
      <c r="AP31" s="291"/>
      <c r="AQ31" s="291"/>
      <c r="AR31" s="291"/>
      <c r="AS31" s="291"/>
      <c r="AT31" s="291"/>
      <c r="AU31" s="291"/>
      <c r="AV31" s="35"/>
      <c r="AW31" s="291"/>
      <c r="AX31" s="291"/>
      <c r="AY31" s="291"/>
      <c r="AZ31" s="291"/>
      <c r="BA31" s="291"/>
      <c r="BB31" s="291"/>
      <c r="BC31" s="291"/>
      <c r="BD31" s="291"/>
      <c r="BE31" s="291"/>
      <c r="BF31" s="291"/>
      <c r="BG31" s="291"/>
      <c r="BH31" s="35"/>
      <c r="BI31" s="291"/>
      <c r="BJ31" s="291"/>
      <c r="BK31" s="291"/>
      <c r="BL31" s="291"/>
      <c r="BM31" s="291"/>
      <c r="BN31" s="291"/>
      <c r="BO31" s="291"/>
      <c r="BP31" s="291"/>
      <c r="BQ31" s="291"/>
      <c r="BR31" s="291"/>
      <c r="BS31" s="291"/>
      <c r="BT31" s="35"/>
      <c r="BU31" s="291"/>
      <c r="BV31" s="291"/>
      <c r="BW31" s="291"/>
      <c r="BX31" s="291"/>
      <c r="BY31" s="291"/>
      <c r="BZ31" s="291"/>
      <c r="CA31" s="291"/>
      <c r="CB31" s="291"/>
      <c r="CC31" s="291"/>
      <c r="CD31" s="291"/>
      <c r="CE31" s="291"/>
      <c r="CF31" s="35"/>
      <c r="CG31" s="291"/>
      <c r="CH31" s="291"/>
      <c r="CI31" s="291"/>
      <c r="CJ31" s="291"/>
      <c r="CK31" s="291"/>
      <c r="CL31" s="291"/>
      <c r="CM31" s="291"/>
      <c r="CN31" s="291"/>
      <c r="CO31" s="291"/>
      <c r="CP31" s="291"/>
      <c r="CQ31" s="291"/>
      <c r="CR31" s="35"/>
      <c r="CS31" s="291"/>
      <c r="CT31" s="291"/>
      <c r="CU31" s="291"/>
      <c r="CV31" s="291"/>
      <c r="CW31" s="291"/>
      <c r="CX31" s="291"/>
      <c r="CY31" s="291"/>
      <c r="CZ31" s="291"/>
      <c r="DA31" s="291"/>
      <c r="DB31" s="291"/>
      <c r="DC31" s="291"/>
      <c r="DD31" s="35"/>
      <c r="DE31" s="291"/>
      <c r="DF31" s="291"/>
      <c r="DG31" s="291"/>
      <c r="DH31" s="291"/>
      <c r="DI31" s="291"/>
      <c r="DJ31" s="291"/>
      <c r="DK31" s="291"/>
      <c r="DL31" s="291"/>
      <c r="DM31" s="291"/>
      <c r="DN31" s="291"/>
      <c r="DO31" s="291"/>
      <c r="DP31" s="35"/>
      <c r="DQ31" s="291"/>
      <c r="DR31" s="291"/>
      <c r="DS31" s="291"/>
      <c r="DT31" s="291"/>
      <c r="DU31" s="291"/>
      <c r="DV31" s="291"/>
      <c r="DW31" s="291"/>
      <c r="DX31" s="291"/>
      <c r="DY31" s="291"/>
      <c r="DZ31" s="291"/>
      <c r="EA31" s="291"/>
      <c r="EB31" s="35"/>
      <c r="EC31" s="291"/>
      <c r="ED31" s="291"/>
      <c r="EE31" s="291"/>
      <c r="EF31" s="291"/>
      <c r="EG31" s="291"/>
      <c r="EH31" s="291"/>
      <c r="EI31" s="291"/>
      <c r="EJ31" s="291"/>
      <c r="EK31" s="291"/>
      <c r="EL31" s="291"/>
      <c r="EM31" s="291"/>
      <c r="EN31" s="35"/>
      <c r="EO31" s="291"/>
      <c r="EP31" s="291"/>
      <c r="EQ31" s="291"/>
      <c r="ER31" s="291"/>
      <c r="ES31" s="291"/>
      <c r="ET31" s="291"/>
      <c r="EU31" s="291"/>
      <c r="EV31" s="291"/>
      <c r="EW31" s="291"/>
      <c r="EX31" s="291"/>
      <c r="EY31" s="291"/>
      <c r="EZ31" s="35"/>
      <c r="FA31" s="291"/>
      <c r="FB31" s="291"/>
      <c r="FC31" s="291"/>
      <c r="FD31" s="291"/>
      <c r="FE31" s="291"/>
      <c r="FF31" s="291"/>
      <c r="FG31" s="291"/>
      <c r="FH31" s="291"/>
      <c r="FI31" s="291"/>
      <c r="FJ31" s="291"/>
      <c r="FK31" s="291"/>
      <c r="FL31" s="35"/>
      <c r="FM31" s="291"/>
      <c r="FN31" s="291"/>
      <c r="FO31" s="291"/>
      <c r="FP31" s="291"/>
      <c r="FQ31" s="291"/>
      <c r="FR31" s="291"/>
      <c r="FS31" s="291"/>
      <c r="FT31" s="291"/>
      <c r="FU31" s="291"/>
      <c r="FV31" s="291"/>
      <c r="FW31" s="291"/>
      <c r="FX31" s="35"/>
      <c r="FY31" s="291"/>
      <c r="FZ31" s="291"/>
      <c r="GA31" s="291"/>
      <c r="GB31" s="291"/>
      <c r="GC31" s="291"/>
      <c r="GD31" s="291"/>
      <c r="GE31" s="291"/>
      <c r="GF31" s="291"/>
      <c r="GG31" s="291"/>
      <c r="GH31" s="291"/>
      <c r="GI31" s="291"/>
      <c r="GJ31" s="35"/>
      <c r="GK31" s="291"/>
      <c r="GL31" s="291"/>
      <c r="GM31" s="291"/>
      <c r="GN31" s="291"/>
      <c r="GO31" s="291"/>
      <c r="GP31" s="291"/>
      <c r="GQ31" s="291"/>
      <c r="GR31" s="291"/>
      <c r="GS31" s="291"/>
      <c r="GT31" s="291"/>
      <c r="GU31" s="291"/>
      <c r="GV31" s="35"/>
      <c r="GW31" s="291"/>
      <c r="GX31" s="291"/>
      <c r="GY31" s="291"/>
      <c r="GZ31" s="291"/>
      <c r="HA31" s="291"/>
      <c r="HB31" s="291"/>
      <c r="HC31" s="291"/>
      <c r="HD31" s="291"/>
      <c r="HE31" s="291"/>
      <c r="HF31" s="291"/>
      <c r="HG31" s="291"/>
      <c r="HH31" s="35"/>
      <c r="HI31" s="291"/>
      <c r="HJ31" s="291"/>
      <c r="HK31" s="291"/>
      <c r="HL31" s="291"/>
      <c r="HM31" s="291"/>
      <c r="HN31" s="291"/>
      <c r="HO31" s="291"/>
      <c r="HP31" s="291"/>
      <c r="HQ31" s="291"/>
      <c r="HR31" s="291"/>
      <c r="HS31" s="291"/>
      <c r="HT31" s="35"/>
      <c r="HU31" s="291"/>
      <c r="HV31" s="291"/>
      <c r="HW31" s="291"/>
      <c r="HX31" s="291"/>
      <c r="HY31" s="291"/>
      <c r="HZ31" s="291"/>
      <c r="IA31" s="291"/>
      <c r="IB31" s="291"/>
      <c r="IC31" s="291"/>
      <c r="ID31" s="291"/>
      <c r="IE31" s="291"/>
      <c r="IF31" s="35"/>
      <c r="IG31" s="291"/>
      <c r="IH31" s="291"/>
      <c r="II31" s="291"/>
    </row>
    <row r="32" spans="1:243" s="5" customFormat="1" ht="14.25">
      <c r="A32" s="391" t="s">
        <v>6</v>
      </c>
      <c r="B32" s="291">
        <v>-8.3000000000000007</v>
      </c>
      <c r="C32" s="291">
        <v>-5.9</v>
      </c>
      <c r="D32" s="291">
        <v>-3.9</v>
      </c>
      <c r="E32" s="291">
        <v>-3.6</v>
      </c>
      <c r="F32" s="291">
        <v>-2.7</v>
      </c>
      <c r="G32" s="397">
        <v>-2.5</v>
      </c>
      <c r="H32" s="397">
        <v>-2.2999999999999998</v>
      </c>
      <c r="I32" s="397"/>
      <c r="J32" s="397"/>
      <c r="K32" s="397"/>
      <c r="L32" s="35"/>
      <c r="M32" s="291"/>
      <c r="N32" s="291"/>
      <c r="O32" s="291"/>
      <c r="P32" s="291"/>
      <c r="Q32" s="291"/>
      <c r="R32" s="291"/>
      <c r="S32" s="397"/>
      <c r="T32" s="397"/>
      <c r="U32" s="397"/>
      <c r="V32" s="397"/>
      <c r="W32" s="397"/>
      <c r="X32" s="35"/>
      <c r="Y32" s="291"/>
      <c r="Z32" s="291"/>
      <c r="AA32" s="291"/>
      <c r="AB32" s="291"/>
      <c r="AC32" s="291"/>
      <c r="AD32" s="291"/>
      <c r="AE32" s="397"/>
      <c r="AF32" s="397"/>
      <c r="AG32" s="397"/>
      <c r="AH32" s="397"/>
      <c r="AI32" s="397"/>
      <c r="AJ32" s="35"/>
      <c r="AK32" s="291"/>
      <c r="AL32" s="291"/>
      <c r="AM32" s="291"/>
      <c r="AN32" s="291"/>
      <c r="AO32" s="291"/>
      <c r="AP32" s="291"/>
      <c r="AQ32" s="397"/>
      <c r="AR32" s="397"/>
      <c r="AS32" s="397"/>
      <c r="AT32" s="397"/>
      <c r="AU32" s="397"/>
      <c r="AV32" s="35"/>
      <c r="AW32" s="291"/>
      <c r="AX32" s="291"/>
      <c r="AY32" s="291"/>
      <c r="AZ32" s="291"/>
      <c r="BA32" s="291"/>
      <c r="BB32" s="291"/>
      <c r="BC32" s="397"/>
      <c r="BD32" s="397"/>
      <c r="BE32" s="397"/>
      <c r="BF32" s="397"/>
      <c r="BG32" s="397"/>
      <c r="BH32" s="35"/>
      <c r="BI32" s="291"/>
      <c r="BJ32" s="291"/>
      <c r="BK32" s="291"/>
      <c r="BL32" s="291"/>
      <c r="BM32" s="291"/>
      <c r="BN32" s="291"/>
      <c r="BO32" s="397"/>
      <c r="BP32" s="397"/>
      <c r="BQ32" s="397"/>
      <c r="BR32" s="397"/>
      <c r="BS32" s="397"/>
      <c r="BT32" s="35"/>
      <c r="BU32" s="291"/>
      <c r="BV32" s="291"/>
      <c r="BW32" s="291"/>
      <c r="BX32" s="291"/>
      <c r="BY32" s="291"/>
      <c r="BZ32" s="291"/>
      <c r="CA32" s="397"/>
      <c r="CB32" s="397"/>
      <c r="CC32" s="397"/>
      <c r="CD32" s="397"/>
      <c r="CE32" s="397"/>
      <c r="CF32" s="35"/>
      <c r="CG32" s="291"/>
      <c r="CH32" s="291"/>
      <c r="CI32" s="291"/>
      <c r="CJ32" s="291"/>
      <c r="CK32" s="291"/>
      <c r="CL32" s="291"/>
      <c r="CM32" s="397"/>
      <c r="CN32" s="397"/>
      <c r="CO32" s="397"/>
      <c r="CP32" s="397"/>
      <c r="CQ32" s="397"/>
      <c r="CR32" s="35"/>
      <c r="CS32" s="291"/>
      <c r="CT32" s="291"/>
      <c r="CU32" s="291"/>
      <c r="CV32" s="291"/>
      <c r="CW32" s="291"/>
      <c r="CX32" s="291"/>
      <c r="CY32" s="397"/>
      <c r="CZ32" s="397"/>
      <c r="DA32" s="397"/>
      <c r="DB32" s="397"/>
      <c r="DC32" s="397"/>
      <c r="DD32" s="35"/>
      <c r="DE32" s="291"/>
      <c r="DF32" s="291"/>
      <c r="DG32" s="291"/>
      <c r="DH32" s="291"/>
      <c r="DI32" s="291"/>
      <c r="DJ32" s="291"/>
      <c r="DK32" s="397"/>
      <c r="DL32" s="397"/>
      <c r="DM32" s="397"/>
      <c r="DN32" s="397"/>
      <c r="DO32" s="397"/>
      <c r="DP32" s="35"/>
      <c r="DQ32" s="291"/>
      <c r="DR32" s="291"/>
      <c r="DS32" s="291"/>
      <c r="DT32" s="291"/>
      <c r="DU32" s="291"/>
      <c r="DV32" s="291"/>
      <c r="DW32" s="397"/>
      <c r="DX32" s="397"/>
      <c r="DY32" s="397"/>
      <c r="DZ32" s="397"/>
      <c r="EA32" s="397"/>
      <c r="EB32" s="35"/>
      <c r="EC32" s="291"/>
      <c r="ED32" s="291"/>
      <c r="EE32" s="291"/>
      <c r="EF32" s="291"/>
      <c r="EG32" s="291"/>
      <c r="EH32" s="291"/>
      <c r="EI32" s="397"/>
      <c r="EJ32" s="397"/>
      <c r="EK32" s="397"/>
      <c r="EL32" s="397"/>
      <c r="EM32" s="397"/>
      <c r="EN32" s="35"/>
      <c r="EO32" s="291"/>
      <c r="EP32" s="291"/>
      <c r="EQ32" s="291"/>
      <c r="ER32" s="291"/>
      <c r="ES32" s="291"/>
      <c r="ET32" s="291"/>
      <c r="EU32" s="397"/>
      <c r="EV32" s="397"/>
      <c r="EW32" s="397"/>
      <c r="EX32" s="397"/>
      <c r="EY32" s="397"/>
      <c r="EZ32" s="35"/>
      <c r="FA32" s="291"/>
      <c r="FB32" s="291"/>
      <c r="FC32" s="291"/>
      <c r="FD32" s="291"/>
      <c r="FE32" s="291"/>
      <c r="FF32" s="291"/>
      <c r="FG32" s="397"/>
      <c r="FH32" s="397"/>
      <c r="FI32" s="397"/>
      <c r="FJ32" s="397"/>
      <c r="FK32" s="397"/>
      <c r="FL32" s="35"/>
      <c r="FM32" s="291"/>
      <c r="FN32" s="291"/>
      <c r="FO32" s="291"/>
      <c r="FP32" s="291"/>
      <c r="FQ32" s="291"/>
      <c r="FR32" s="291"/>
      <c r="FS32" s="397"/>
      <c r="FT32" s="397"/>
      <c r="FU32" s="397"/>
      <c r="FV32" s="397"/>
      <c r="FW32" s="397"/>
      <c r="FX32" s="35"/>
      <c r="FY32" s="291"/>
      <c r="FZ32" s="291"/>
      <c r="GA32" s="291"/>
      <c r="GB32" s="291"/>
      <c r="GC32" s="291"/>
      <c r="GD32" s="291"/>
      <c r="GE32" s="397"/>
      <c r="GF32" s="397"/>
      <c r="GG32" s="397"/>
      <c r="GH32" s="397"/>
      <c r="GI32" s="397"/>
      <c r="GJ32" s="35"/>
      <c r="GK32" s="291"/>
      <c r="GL32" s="291"/>
      <c r="GM32" s="291"/>
      <c r="GN32" s="291"/>
      <c r="GO32" s="291"/>
      <c r="GP32" s="291"/>
      <c r="GQ32" s="397"/>
      <c r="GR32" s="397"/>
      <c r="GS32" s="397"/>
      <c r="GT32" s="397"/>
      <c r="GU32" s="397"/>
      <c r="GV32" s="35"/>
      <c r="GW32" s="291"/>
      <c r="GX32" s="291"/>
      <c r="GY32" s="291"/>
      <c r="GZ32" s="291"/>
      <c r="HA32" s="291"/>
      <c r="HB32" s="291"/>
      <c r="HC32" s="397"/>
      <c r="HD32" s="397"/>
      <c r="HE32" s="397"/>
      <c r="HF32" s="397"/>
      <c r="HG32" s="397"/>
      <c r="HH32" s="35"/>
      <c r="HI32" s="291"/>
      <c r="HJ32" s="291"/>
      <c r="HK32" s="291"/>
      <c r="HL32" s="291"/>
      <c r="HM32" s="291"/>
      <c r="HN32" s="291"/>
      <c r="HO32" s="397"/>
      <c r="HP32" s="397"/>
      <c r="HQ32" s="397"/>
      <c r="HR32" s="397"/>
      <c r="HS32" s="397"/>
      <c r="HT32" s="35"/>
      <c r="HU32" s="291"/>
      <c r="HV32" s="291"/>
      <c r="HW32" s="291"/>
      <c r="HX32" s="291"/>
      <c r="HY32" s="291"/>
      <c r="HZ32" s="291"/>
      <c r="IA32" s="397"/>
      <c r="IB32" s="397"/>
      <c r="IC32" s="397"/>
      <c r="ID32" s="397"/>
      <c r="IE32" s="397"/>
      <c r="IF32" s="35"/>
      <c r="IG32" s="291"/>
      <c r="IH32" s="291"/>
      <c r="II32" s="291"/>
    </row>
    <row r="33" spans="1:243" s="5" customFormat="1" ht="14.25">
      <c r="A33" s="391" t="s">
        <v>5</v>
      </c>
      <c r="B33" s="291">
        <v>-5.9</v>
      </c>
      <c r="C33" s="291">
        <v>-3.3</v>
      </c>
      <c r="D33" s="291">
        <v>-2.1</v>
      </c>
      <c r="E33" s="291">
        <v>-1.5</v>
      </c>
      <c r="F33" s="291">
        <v>-1</v>
      </c>
      <c r="G33" s="397">
        <v>-1.3</v>
      </c>
      <c r="H33" s="397">
        <v>-3.4</v>
      </c>
      <c r="I33" s="397"/>
      <c r="J33" s="397"/>
      <c r="K33" s="397"/>
      <c r="L33" s="35"/>
      <c r="M33" s="291"/>
      <c r="N33" s="291"/>
      <c r="O33" s="291"/>
      <c r="P33" s="291"/>
      <c r="Q33" s="291"/>
      <c r="R33" s="291"/>
      <c r="S33" s="397"/>
      <c r="T33" s="397"/>
      <c r="U33" s="397"/>
      <c r="V33" s="397"/>
      <c r="W33" s="397"/>
      <c r="X33" s="35"/>
      <c r="Y33" s="291"/>
      <c r="Z33" s="291"/>
      <c r="AA33" s="291"/>
      <c r="AB33" s="291"/>
      <c r="AC33" s="291"/>
      <c r="AD33" s="291"/>
      <c r="AE33" s="397"/>
      <c r="AF33" s="397"/>
      <c r="AG33" s="397"/>
      <c r="AH33" s="397"/>
      <c r="AI33" s="397"/>
      <c r="AJ33" s="35"/>
      <c r="AK33" s="291"/>
      <c r="AL33" s="291"/>
      <c r="AM33" s="291"/>
      <c r="AN33" s="291"/>
      <c r="AO33" s="291"/>
      <c r="AP33" s="291"/>
      <c r="AQ33" s="397"/>
      <c r="AR33" s="397"/>
      <c r="AS33" s="397"/>
      <c r="AT33" s="397"/>
      <c r="AU33" s="397"/>
      <c r="AV33" s="35"/>
      <c r="AW33" s="291"/>
      <c r="AX33" s="291"/>
      <c r="AY33" s="291"/>
      <c r="AZ33" s="291"/>
      <c r="BA33" s="291"/>
      <c r="BB33" s="291"/>
      <c r="BC33" s="397"/>
      <c r="BD33" s="397"/>
      <c r="BE33" s="397"/>
      <c r="BF33" s="397"/>
      <c r="BG33" s="397"/>
      <c r="BH33" s="35"/>
      <c r="BI33" s="291"/>
      <c r="BJ33" s="291"/>
      <c r="BK33" s="291"/>
      <c r="BL33" s="291"/>
      <c r="BM33" s="291"/>
      <c r="BN33" s="291"/>
      <c r="BO33" s="397"/>
      <c r="BP33" s="397"/>
      <c r="BQ33" s="397"/>
      <c r="BR33" s="397"/>
      <c r="BS33" s="397"/>
      <c r="BT33" s="35"/>
      <c r="BU33" s="291"/>
      <c r="BV33" s="291"/>
      <c r="BW33" s="291"/>
      <c r="BX33" s="291"/>
      <c r="BY33" s="291"/>
      <c r="BZ33" s="291"/>
      <c r="CA33" s="397"/>
      <c r="CB33" s="397"/>
      <c r="CC33" s="397"/>
      <c r="CD33" s="397"/>
      <c r="CE33" s="397"/>
      <c r="CF33" s="35"/>
      <c r="CG33" s="291"/>
      <c r="CH33" s="291"/>
      <c r="CI33" s="291"/>
      <c r="CJ33" s="291"/>
      <c r="CK33" s="291"/>
      <c r="CL33" s="291"/>
      <c r="CM33" s="397"/>
      <c r="CN33" s="397"/>
      <c r="CO33" s="397"/>
      <c r="CP33" s="397"/>
      <c r="CQ33" s="397"/>
      <c r="CR33" s="35"/>
      <c r="CS33" s="291"/>
      <c r="CT33" s="291"/>
      <c r="CU33" s="291"/>
      <c r="CV33" s="291"/>
      <c r="CW33" s="291"/>
      <c r="CX33" s="291"/>
      <c r="CY33" s="397"/>
      <c r="CZ33" s="397"/>
      <c r="DA33" s="397"/>
      <c r="DB33" s="397"/>
      <c r="DC33" s="397"/>
      <c r="DD33" s="35"/>
      <c r="DE33" s="291"/>
      <c r="DF33" s="291"/>
      <c r="DG33" s="291"/>
      <c r="DH33" s="291"/>
      <c r="DI33" s="291"/>
      <c r="DJ33" s="291"/>
      <c r="DK33" s="397"/>
      <c r="DL33" s="397"/>
      <c r="DM33" s="397"/>
      <c r="DN33" s="397"/>
      <c r="DO33" s="397"/>
      <c r="DP33" s="35"/>
      <c r="DQ33" s="291"/>
      <c r="DR33" s="291"/>
      <c r="DS33" s="291"/>
      <c r="DT33" s="291"/>
      <c r="DU33" s="291"/>
      <c r="DV33" s="291"/>
      <c r="DW33" s="397"/>
      <c r="DX33" s="397"/>
      <c r="DY33" s="397"/>
      <c r="DZ33" s="397"/>
      <c r="EA33" s="397"/>
      <c r="EB33" s="35"/>
      <c r="EC33" s="291"/>
      <c r="ED33" s="291"/>
      <c r="EE33" s="291"/>
      <c r="EF33" s="291"/>
      <c r="EG33" s="291"/>
      <c r="EH33" s="291"/>
      <c r="EI33" s="397"/>
      <c r="EJ33" s="397"/>
      <c r="EK33" s="397"/>
      <c r="EL33" s="397"/>
      <c r="EM33" s="397"/>
      <c r="EN33" s="35"/>
      <c r="EO33" s="291"/>
      <c r="EP33" s="291"/>
      <c r="EQ33" s="291"/>
      <c r="ER33" s="291"/>
      <c r="ES33" s="291"/>
      <c r="ET33" s="291"/>
      <c r="EU33" s="397"/>
      <c r="EV33" s="397"/>
      <c r="EW33" s="397"/>
      <c r="EX33" s="397"/>
      <c r="EY33" s="397"/>
      <c r="EZ33" s="35"/>
      <c r="FA33" s="291"/>
      <c r="FB33" s="291"/>
      <c r="FC33" s="291"/>
      <c r="FD33" s="291"/>
      <c r="FE33" s="291"/>
      <c r="FF33" s="291"/>
      <c r="FG33" s="397"/>
      <c r="FH33" s="397"/>
      <c r="FI33" s="397"/>
      <c r="FJ33" s="397"/>
      <c r="FK33" s="397"/>
      <c r="FL33" s="35"/>
      <c r="FM33" s="291"/>
      <c r="FN33" s="291"/>
      <c r="FO33" s="291"/>
      <c r="FP33" s="291"/>
      <c r="FQ33" s="291"/>
      <c r="FR33" s="291"/>
      <c r="FS33" s="397"/>
      <c r="FT33" s="397"/>
      <c r="FU33" s="397"/>
      <c r="FV33" s="397"/>
      <c r="FW33" s="397"/>
      <c r="FX33" s="35"/>
      <c r="FY33" s="291"/>
      <c r="FZ33" s="291"/>
      <c r="GA33" s="291"/>
      <c r="GB33" s="291"/>
      <c r="GC33" s="291"/>
      <c r="GD33" s="291"/>
      <c r="GE33" s="397"/>
      <c r="GF33" s="397"/>
      <c r="GG33" s="397"/>
      <c r="GH33" s="397"/>
      <c r="GI33" s="397"/>
      <c r="GJ33" s="35"/>
      <c r="GK33" s="291"/>
      <c r="GL33" s="291"/>
      <c r="GM33" s="291"/>
      <c r="GN33" s="291"/>
      <c r="GO33" s="291"/>
      <c r="GP33" s="291"/>
      <c r="GQ33" s="397"/>
      <c r="GR33" s="397"/>
      <c r="GS33" s="397"/>
      <c r="GT33" s="397"/>
      <c r="GU33" s="397"/>
      <c r="GV33" s="35"/>
      <c r="GW33" s="291"/>
      <c r="GX33" s="291"/>
      <c r="GY33" s="291"/>
      <c r="GZ33" s="291"/>
      <c r="HA33" s="291"/>
      <c r="HB33" s="291"/>
      <c r="HC33" s="397"/>
      <c r="HD33" s="397"/>
      <c r="HE33" s="397"/>
      <c r="HF33" s="397"/>
      <c r="HG33" s="397"/>
      <c r="HH33" s="35"/>
      <c r="HI33" s="291"/>
      <c r="HJ33" s="291"/>
      <c r="HK33" s="291"/>
      <c r="HL33" s="291"/>
      <c r="HM33" s="291"/>
      <c r="HN33" s="291"/>
      <c r="HO33" s="397"/>
      <c r="HP33" s="397"/>
      <c r="HQ33" s="397"/>
      <c r="HR33" s="397"/>
      <c r="HS33" s="397"/>
      <c r="HT33" s="35"/>
      <c r="HU33" s="291"/>
      <c r="HV33" s="291"/>
      <c r="HW33" s="291"/>
      <c r="HX33" s="291"/>
      <c r="HY33" s="291"/>
      <c r="HZ33" s="291"/>
      <c r="IA33" s="397"/>
      <c r="IB33" s="397"/>
      <c r="IC33" s="397"/>
      <c r="ID33" s="397"/>
      <c r="IE33" s="397"/>
      <c r="IF33" s="35"/>
      <c r="IG33" s="291"/>
      <c r="IH33" s="291"/>
      <c r="II33" s="291"/>
    </row>
    <row r="34" spans="1:243" s="5" customFormat="1" ht="14.25">
      <c r="A34" s="391" t="s">
        <v>4</v>
      </c>
      <c r="B34" s="291">
        <v>0.8</v>
      </c>
      <c r="C34" s="291">
        <v>0</v>
      </c>
      <c r="D34" s="397">
        <v>0.1</v>
      </c>
      <c r="E34" s="291">
        <v>-0.3</v>
      </c>
      <c r="F34" s="291">
        <v>-1.1000000000000001</v>
      </c>
      <c r="G34" s="397">
        <v>-1</v>
      </c>
      <c r="H34" s="397">
        <v>-0.9</v>
      </c>
      <c r="I34" s="397"/>
      <c r="J34" s="397"/>
      <c r="K34" s="397"/>
      <c r="L34" s="35"/>
      <c r="M34" s="291"/>
      <c r="N34" s="291"/>
      <c r="O34" s="291"/>
      <c r="P34" s="397"/>
      <c r="Q34" s="291"/>
      <c r="R34" s="291"/>
      <c r="S34" s="397"/>
      <c r="T34" s="397"/>
      <c r="U34" s="397"/>
      <c r="V34" s="397"/>
      <c r="W34" s="397"/>
      <c r="X34" s="35"/>
      <c r="Y34" s="291"/>
      <c r="Z34" s="291"/>
      <c r="AA34" s="291"/>
      <c r="AB34" s="397"/>
      <c r="AC34" s="291"/>
      <c r="AD34" s="291"/>
      <c r="AE34" s="397"/>
      <c r="AF34" s="397"/>
      <c r="AG34" s="397"/>
      <c r="AH34" s="397"/>
      <c r="AI34" s="397"/>
      <c r="AJ34" s="35"/>
      <c r="AK34" s="291"/>
      <c r="AL34" s="291"/>
      <c r="AM34" s="291"/>
      <c r="AN34" s="397"/>
      <c r="AO34" s="291"/>
      <c r="AP34" s="291"/>
      <c r="AQ34" s="397"/>
      <c r="AR34" s="397"/>
      <c r="AS34" s="397"/>
      <c r="AT34" s="397"/>
      <c r="AU34" s="397"/>
      <c r="AV34" s="35"/>
      <c r="AW34" s="291"/>
      <c r="AX34" s="291"/>
      <c r="AY34" s="291"/>
      <c r="AZ34" s="397"/>
      <c r="BA34" s="291"/>
      <c r="BB34" s="291"/>
      <c r="BC34" s="397"/>
      <c r="BD34" s="397"/>
      <c r="BE34" s="397"/>
      <c r="BF34" s="397"/>
      <c r="BG34" s="397"/>
      <c r="BH34" s="35"/>
      <c r="BI34" s="291"/>
      <c r="BJ34" s="291"/>
      <c r="BK34" s="291"/>
      <c r="BL34" s="397"/>
      <c r="BM34" s="291"/>
      <c r="BN34" s="291"/>
      <c r="BO34" s="397"/>
      <c r="BP34" s="397"/>
      <c r="BQ34" s="397"/>
      <c r="BR34" s="397"/>
      <c r="BS34" s="397"/>
      <c r="BT34" s="35"/>
      <c r="BU34" s="291"/>
      <c r="BV34" s="291"/>
      <c r="BW34" s="291"/>
      <c r="BX34" s="397"/>
      <c r="BY34" s="291"/>
      <c r="BZ34" s="291"/>
      <c r="CA34" s="397"/>
      <c r="CB34" s="397"/>
      <c r="CC34" s="397"/>
      <c r="CD34" s="397"/>
      <c r="CE34" s="397"/>
      <c r="CF34" s="35"/>
      <c r="CG34" s="291"/>
      <c r="CH34" s="291"/>
      <c r="CI34" s="291"/>
      <c r="CJ34" s="397"/>
      <c r="CK34" s="291"/>
      <c r="CL34" s="291"/>
      <c r="CM34" s="397"/>
      <c r="CN34" s="397"/>
      <c r="CO34" s="397"/>
      <c r="CP34" s="397"/>
      <c r="CQ34" s="397"/>
      <c r="CR34" s="35"/>
      <c r="CS34" s="291"/>
      <c r="CT34" s="291"/>
      <c r="CU34" s="291"/>
      <c r="CV34" s="397"/>
      <c r="CW34" s="291"/>
      <c r="CX34" s="291"/>
      <c r="CY34" s="397"/>
      <c r="CZ34" s="397"/>
      <c r="DA34" s="397"/>
      <c r="DB34" s="397"/>
      <c r="DC34" s="397"/>
      <c r="DD34" s="35"/>
      <c r="DE34" s="291"/>
      <c r="DF34" s="291"/>
      <c r="DG34" s="291"/>
      <c r="DH34" s="397"/>
      <c r="DI34" s="291"/>
      <c r="DJ34" s="291"/>
      <c r="DK34" s="397"/>
      <c r="DL34" s="397"/>
      <c r="DM34" s="397"/>
      <c r="DN34" s="397"/>
      <c r="DO34" s="397"/>
      <c r="DP34" s="35"/>
      <c r="DQ34" s="291"/>
      <c r="DR34" s="291"/>
      <c r="DS34" s="291"/>
      <c r="DT34" s="397"/>
      <c r="DU34" s="291"/>
      <c r="DV34" s="291"/>
      <c r="DW34" s="397"/>
      <c r="DX34" s="397"/>
      <c r="DY34" s="397"/>
      <c r="DZ34" s="397"/>
      <c r="EA34" s="397"/>
      <c r="EB34" s="35"/>
      <c r="EC34" s="291"/>
      <c r="ED34" s="291"/>
      <c r="EE34" s="291"/>
      <c r="EF34" s="397"/>
      <c r="EG34" s="291"/>
      <c r="EH34" s="291"/>
      <c r="EI34" s="397"/>
      <c r="EJ34" s="397"/>
      <c r="EK34" s="397"/>
      <c r="EL34" s="397"/>
      <c r="EM34" s="397"/>
      <c r="EN34" s="35"/>
      <c r="EO34" s="291"/>
      <c r="EP34" s="291"/>
      <c r="EQ34" s="291"/>
      <c r="ER34" s="397"/>
      <c r="ES34" s="291"/>
      <c r="ET34" s="291"/>
      <c r="EU34" s="397"/>
      <c r="EV34" s="397"/>
      <c r="EW34" s="397"/>
      <c r="EX34" s="397"/>
      <c r="EY34" s="397"/>
      <c r="EZ34" s="35"/>
      <c r="FA34" s="291"/>
      <c r="FB34" s="291"/>
      <c r="FC34" s="291"/>
      <c r="FD34" s="397"/>
      <c r="FE34" s="291"/>
      <c r="FF34" s="291"/>
      <c r="FG34" s="397"/>
      <c r="FH34" s="397"/>
      <c r="FI34" s="397"/>
      <c r="FJ34" s="397"/>
      <c r="FK34" s="397"/>
      <c r="FL34" s="35"/>
      <c r="FM34" s="291"/>
      <c r="FN34" s="291"/>
      <c r="FO34" s="291"/>
      <c r="FP34" s="397"/>
      <c r="FQ34" s="291"/>
      <c r="FR34" s="291"/>
      <c r="FS34" s="397"/>
      <c r="FT34" s="397"/>
      <c r="FU34" s="397"/>
      <c r="FV34" s="397"/>
      <c r="FW34" s="397"/>
      <c r="FX34" s="35"/>
      <c r="FY34" s="291"/>
      <c r="FZ34" s="291"/>
      <c r="GA34" s="291"/>
      <c r="GB34" s="397"/>
      <c r="GC34" s="291"/>
      <c r="GD34" s="291"/>
      <c r="GE34" s="397"/>
      <c r="GF34" s="397"/>
      <c r="GG34" s="397"/>
      <c r="GH34" s="397"/>
      <c r="GI34" s="397"/>
      <c r="GJ34" s="35"/>
      <c r="GK34" s="291"/>
      <c r="GL34" s="291"/>
      <c r="GM34" s="291"/>
      <c r="GN34" s="397"/>
      <c r="GO34" s="291"/>
      <c r="GP34" s="291"/>
      <c r="GQ34" s="397"/>
      <c r="GR34" s="397"/>
      <c r="GS34" s="397"/>
      <c r="GT34" s="397"/>
      <c r="GU34" s="397"/>
      <c r="GV34" s="35"/>
      <c r="GW34" s="291"/>
      <c r="GX34" s="291"/>
      <c r="GY34" s="291"/>
      <c r="GZ34" s="397"/>
      <c r="HA34" s="291"/>
      <c r="HB34" s="291"/>
      <c r="HC34" s="397"/>
      <c r="HD34" s="397"/>
      <c r="HE34" s="397"/>
      <c r="HF34" s="397"/>
      <c r="HG34" s="397"/>
      <c r="HH34" s="35"/>
      <c r="HI34" s="291"/>
      <c r="HJ34" s="291"/>
      <c r="HK34" s="291"/>
      <c r="HL34" s="397"/>
      <c r="HM34" s="291"/>
      <c r="HN34" s="291"/>
      <c r="HO34" s="397"/>
      <c r="HP34" s="397"/>
      <c r="HQ34" s="397"/>
      <c r="HR34" s="397"/>
      <c r="HS34" s="397"/>
      <c r="HT34" s="35"/>
      <c r="HU34" s="291"/>
      <c r="HV34" s="291"/>
      <c r="HW34" s="291"/>
      <c r="HX34" s="397"/>
      <c r="HY34" s="291"/>
      <c r="HZ34" s="291"/>
      <c r="IA34" s="397"/>
      <c r="IB34" s="397"/>
      <c r="IC34" s="397"/>
      <c r="ID34" s="397"/>
      <c r="IE34" s="397"/>
      <c r="IF34" s="35"/>
      <c r="IG34" s="291"/>
      <c r="IH34" s="291"/>
      <c r="II34" s="291"/>
    </row>
    <row r="35" spans="1:243" s="5" customFormat="1" ht="14.25">
      <c r="A35" s="407" t="s">
        <v>1022</v>
      </c>
      <c r="B35" s="291">
        <v>-7.5</v>
      </c>
      <c r="C35" s="291">
        <v>-5.9</v>
      </c>
      <c r="D35" s="291">
        <v>-6.5</v>
      </c>
      <c r="E35" s="291">
        <v>-4.3</v>
      </c>
      <c r="F35" s="291">
        <v>-5.3</v>
      </c>
      <c r="G35" s="291">
        <v>-4.5</v>
      </c>
      <c r="H35" s="291">
        <v>-3.5</v>
      </c>
      <c r="I35" s="291"/>
      <c r="J35" s="291"/>
      <c r="K35" s="291"/>
      <c r="L35" s="36"/>
      <c r="M35" s="291"/>
      <c r="N35" s="291"/>
      <c r="O35" s="291"/>
      <c r="P35" s="291"/>
      <c r="Q35" s="291"/>
      <c r="R35" s="291"/>
      <c r="S35" s="291"/>
      <c r="T35" s="291"/>
      <c r="U35" s="291"/>
      <c r="V35" s="291"/>
      <c r="W35" s="291"/>
      <c r="X35" s="36"/>
      <c r="Y35" s="291"/>
      <c r="Z35" s="291"/>
      <c r="AA35" s="291"/>
      <c r="AB35" s="291"/>
      <c r="AC35" s="291"/>
      <c r="AD35" s="291"/>
      <c r="AE35" s="291"/>
      <c r="AF35" s="291"/>
      <c r="AG35" s="291"/>
      <c r="AH35" s="291"/>
      <c r="AI35" s="291"/>
      <c r="AJ35" s="36"/>
      <c r="AK35" s="291"/>
      <c r="AL35" s="291"/>
      <c r="AM35" s="291"/>
      <c r="AN35" s="291"/>
      <c r="AO35" s="291"/>
      <c r="AP35" s="291"/>
      <c r="AQ35" s="291"/>
      <c r="AR35" s="291"/>
      <c r="AS35" s="291"/>
      <c r="AT35" s="291"/>
      <c r="AU35" s="291"/>
      <c r="AV35" s="36"/>
      <c r="AW35" s="291"/>
      <c r="AX35" s="291"/>
      <c r="AY35" s="291"/>
      <c r="AZ35" s="291"/>
      <c r="BA35" s="291"/>
      <c r="BB35" s="291"/>
      <c r="BC35" s="291"/>
      <c r="BD35" s="291"/>
      <c r="BE35" s="291"/>
      <c r="BF35" s="291"/>
      <c r="BG35" s="291"/>
      <c r="BH35" s="36"/>
      <c r="BI35" s="291"/>
      <c r="BJ35" s="291"/>
      <c r="BK35" s="291"/>
      <c r="BL35" s="291"/>
      <c r="BM35" s="291"/>
      <c r="BN35" s="291"/>
      <c r="BO35" s="291"/>
      <c r="BP35" s="291"/>
      <c r="BQ35" s="291"/>
      <c r="BR35" s="291"/>
      <c r="BS35" s="291"/>
      <c r="BT35" s="36"/>
      <c r="BU35" s="291"/>
      <c r="BV35" s="291"/>
      <c r="BW35" s="291"/>
      <c r="BX35" s="291"/>
      <c r="BY35" s="291"/>
      <c r="BZ35" s="291"/>
      <c r="CA35" s="291"/>
      <c r="CB35" s="291"/>
      <c r="CC35" s="291"/>
      <c r="CD35" s="291"/>
      <c r="CE35" s="291"/>
      <c r="CF35" s="36"/>
      <c r="CG35" s="291"/>
      <c r="CH35" s="291"/>
      <c r="CI35" s="291"/>
      <c r="CJ35" s="291"/>
      <c r="CK35" s="291"/>
      <c r="CL35" s="291"/>
      <c r="CM35" s="291"/>
      <c r="CN35" s="291"/>
      <c r="CO35" s="291"/>
      <c r="CP35" s="291"/>
      <c r="CQ35" s="291"/>
      <c r="CR35" s="36"/>
      <c r="CS35" s="291"/>
      <c r="CT35" s="291"/>
      <c r="CU35" s="291"/>
      <c r="CV35" s="291"/>
      <c r="CW35" s="291"/>
      <c r="CX35" s="291"/>
      <c r="CY35" s="291"/>
      <c r="CZ35" s="291"/>
      <c r="DA35" s="291"/>
      <c r="DB35" s="291"/>
      <c r="DC35" s="291"/>
      <c r="DD35" s="36"/>
      <c r="DE35" s="291"/>
      <c r="DF35" s="291"/>
      <c r="DG35" s="291"/>
      <c r="DH35" s="291"/>
      <c r="DI35" s="291"/>
      <c r="DJ35" s="291"/>
      <c r="DK35" s="291"/>
      <c r="DL35" s="291"/>
      <c r="DM35" s="291"/>
      <c r="DN35" s="291"/>
      <c r="DO35" s="291"/>
      <c r="DP35" s="36"/>
      <c r="DQ35" s="291"/>
      <c r="DR35" s="291"/>
      <c r="DS35" s="291"/>
      <c r="DT35" s="291"/>
      <c r="DU35" s="291"/>
      <c r="DV35" s="291"/>
      <c r="DW35" s="291"/>
      <c r="DX35" s="291"/>
      <c r="DY35" s="291"/>
      <c r="DZ35" s="291"/>
      <c r="EA35" s="291"/>
      <c r="EB35" s="36"/>
      <c r="EC35" s="291"/>
      <c r="ED35" s="291"/>
      <c r="EE35" s="291"/>
      <c r="EF35" s="291"/>
      <c r="EG35" s="291"/>
      <c r="EH35" s="291"/>
      <c r="EI35" s="291"/>
      <c r="EJ35" s="291"/>
      <c r="EK35" s="291"/>
      <c r="EL35" s="291"/>
      <c r="EM35" s="291"/>
      <c r="EN35" s="36"/>
      <c r="EO35" s="291"/>
      <c r="EP35" s="291"/>
      <c r="EQ35" s="291"/>
      <c r="ER35" s="291"/>
      <c r="ES35" s="291"/>
      <c r="ET35" s="291"/>
      <c r="EU35" s="291"/>
      <c r="EV35" s="291"/>
      <c r="EW35" s="291"/>
      <c r="EX35" s="291"/>
      <c r="EY35" s="291"/>
      <c r="EZ35" s="36"/>
      <c r="FA35" s="291"/>
      <c r="FB35" s="291"/>
      <c r="FC35" s="291"/>
      <c r="FD35" s="291"/>
      <c r="FE35" s="291"/>
      <c r="FF35" s="291"/>
      <c r="FG35" s="291"/>
      <c r="FH35" s="291"/>
      <c r="FI35" s="291"/>
      <c r="FJ35" s="291"/>
      <c r="FK35" s="291"/>
      <c r="FL35" s="36"/>
      <c r="FM35" s="291"/>
      <c r="FN35" s="291"/>
      <c r="FO35" s="291"/>
      <c r="FP35" s="291"/>
      <c r="FQ35" s="291"/>
      <c r="FR35" s="291"/>
      <c r="FS35" s="291"/>
      <c r="FT35" s="291"/>
      <c r="FU35" s="291"/>
      <c r="FV35" s="291"/>
      <c r="FW35" s="291"/>
      <c r="FX35" s="36"/>
      <c r="FY35" s="291"/>
      <c r="FZ35" s="291"/>
      <c r="GA35" s="291"/>
      <c r="GB35" s="291"/>
      <c r="GC35" s="291"/>
      <c r="GD35" s="291"/>
      <c r="GE35" s="291"/>
      <c r="GF35" s="291"/>
      <c r="GG35" s="291"/>
      <c r="GH35" s="291"/>
      <c r="GI35" s="291"/>
      <c r="GJ35" s="36"/>
      <c r="GK35" s="291"/>
      <c r="GL35" s="291"/>
      <c r="GM35" s="291"/>
      <c r="GN35" s="291"/>
      <c r="GO35" s="291"/>
      <c r="GP35" s="291"/>
      <c r="GQ35" s="291"/>
      <c r="GR35" s="291"/>
      <c r="GS35" s="291"/>
      <c r="GT35" s="291"/>
      <c r="GU35" s="291"/>
      <c r="GV35" s="36"/>
      <c r="GW35" s="291"/>
      <c r="GX35" s="291"/>
      <c r="GY35" s="291"/>
      <c r="GZ35" s="291"/>
      <c r="HA35" s="291"/>
      <c r="HB35" s="291"/>
      <c r="HC35" s="291"/>
      <c r="HD35" s="291"/>
      <c r="HE35" s="291"/>
      <c r="HF35" s="291"/>
      <c r="HG35" s="291"/>
      <c r="HH35" s="36"/>
      <c r="HI35" s="291"/>
      <c r="HJ35" s="291"/>
      <c r="HK35" s="291"/>
      <c r="HL35" s="291"/>
      <c r="HM35" s="291"/>
      <c r="HN35" s="291"/>
      <c r="HO35" s="291"/>
      <c r="HP35" s="291"/>
      <c r="HQ35" s="291"/>
      <c r="HR35" s="291"/>
      <c r="HS35" s="291"/>
      <c r="HT35" s="36"/>
      <c r="HU35" s="291"/>
      <c r="HV35" s="291"/>
      <c r="HW35" s="291"/>
      <c r="HX35" s="291"/>
      <c r="HY35" s="291"/>
      <c r="HZ35" s="291"/>
      <c r="IA35" s="291"/>
      <c r="IB35" s="291"/>
      <c r="IC35" s="291"/>
      <c r="ID35" s="291"/>
      <c r="IE35" s="291"/>
      <c r="IF35" s="36"/>
      <c r="IG35" s="291"/>
      <c r="IH35" s="291"/>
      <c r="II35" s="291"/>
    </row>
    <row r="36" spans="1:243" s="38" customFormat="1" ht="14.25">
      <c r="A36" s="400" t="s">
        <v>817</v>
      </c>
      <c r="B36" s="560" t="s">
        <v>818</v>
      </c>
      <c r="C36" s="295">
        <v>-3.8</v>
      </c>
      <c r="D36" s="295">
        <v>-2.6</v>
      </c>
      <c r="E36" s="295">
        <v>-1.6</v>
      </c>
      <c r="F36" s="295">
        <v>-1.6</v>
      </c>
      <c r="G36" s="295">
        <v>-1.6</v>
      </c>
      <c r="H36" s="295">
        <v>-1.6</v>
      </c>
      <c r="I36" s="295"/>
      <c r="J36" s="295"/>
      <c r="K36" s="295"/>
      <c r="L36" s="34"/>
      <c r="M36" s="295"/>
      <c r="N36" s="295"/>
      <c r="O36" s="295"/>
      <c r="P36" s="295"/>
      <c r="Q36" s="295"/>
      <c r="R36" s="295"/>
      <c r="S36" s="295"/>
      <c r="T36" s="295"/>
      <c r="U36" s="295"/>
      <c r="V36" s="295"/>
      <c r="W36" s="295"/>
      <c r="X36" s="34"/>
      <c r="Y36" s="295"/>
      <c r="Z36" s="295"/>
      <c r="AA36" s="295"/>
      <c r="AB36" s="295"/>
      <c r="AC36" s="295"/>
      <c r="AD36" s="295"/>
      <c r="AE36" s="295"/>
      <c r="AF36" s="295"/>
      <c r="AG36" s="295"/>
      <c r="AH36" s="295"/>
      <c r="AI36" s="295"/>
      <c r="AJ36" s="34"/>
      <c r="AK36" s="295"/>
      <c r="AL36" s="295"/>
      <c r="AM36" s="295"/>
      <c r="AN36" s="295"/>
      <c r="AO36" s="295"/>
      <c r="AP36" s="295"/>
      <c r="AQ36" s="295"/>
      <c r="AR36" s="295"/>
      <c r="AS36" s="295"/>
      <c r="AT36" s="295"/>
      <c r="AU36" s="295"/>
      <c r="AV36" s="34"/>
      <c r="AW36" s="295"/>
      <c r="AX36" s="295"/>
      <c r="AY36" s="295"/>
      <c r="AZ36" s="295"/>
      <c r="BA36" s="295"/>
      <c r="BB36" s="295"/>
      <c r="BC36" s="295"/>
      <c r="BD36" s="295"/>
      <c r="BE36" s="295"/>
      <c r="BF36" s="295"/>
      <c r="BG36" s="295"/>
      <c r="BH36" s="34"/>
      <c r="BI36" s="295"/>
      <c r="BJ36" s="295"/>
      <c r="BK36" s="295"/>
      <c r="BL36" s="295"/>
      <c r="BM36" s="295"/>
      <c r="BN36" s="295"/>
      <c r="BO36" s="295"/>
      <c r="BP36" s="295"/>
      <c r="BQ36" s="295"/>
      <c r="BR36" s="295"/>
      <c r="BS36" s="295"/>
      <c r="BT36" s="34"/>
      <c r="BU36" s="295"/>
      <c r="BV36" s="295"/>
      <c r="BW36" s="295"/>
      <c r="BX36" s="295"/>
      <c r="BY36" s="295"/>
      <c r="BZ36" s="295"/>
      <c r="CA36" s="295"/>
      <c r="CB36" s="295"/>
      <c r="CC36" s="295"/>
      <c r="CD36" s="295"/>
      <c r="CE36" s="295"/>
      <c r="CF36" s="34"/>
      <c r="CG36" s="295"/>
      <c r="CH36" s="295"/>
      <c r="CI36" s="295"/>
      <c r="CJ36" s="295"/>
      <c r="CK36" s="295"/>
      <c r="CL36" s="295"/>
      <c r="CM36" s="295"/>
      <c r="CN36" s="295"/>
      <c r="CO36" s="295"/>
      <c r="CP36" s="295"/>
      <c r="CQ36" s="295"/>
      <c r="CR36" s="34"/>
      <c r="CS36" s="295"/>
      <c r="CT36" s="295"/>
      <c r="CU36" s="295"/>
      <c r="CV36" s="295"/>
      <c r="CW36" s="295"/>
      <c r="CX36" s="295"/>
      <c r="CY36" s="295"/>
      <c r="CZ36" s="295"/>
      <c r="DA36" s="295"/>
      <c r="DB36" s="295"/>
      <c r="DC36" s="295"/>
      <c r="DD36" s="34"/>
      <c r="DE36" s="295"/>
      <c r="DF36" s="295"/>
      <c r="DG36" s="295"/>
      <c r="DH36" s="295"/>
      <c r="DI36" s="295"/>
      <c r="DJ36" s="295"/>
      <c r="DK36" s="295"/>
      <c r="DL36" s="295"/>
      <c r="DM36" s="295"/>
      <c r="DN36" s="295"/>
      <c r="DO36" s="295"/>
      <c r="DP36" s="34"/>
      <c r="DQ36" s="295"/>
      <c r="DR36" s="295"/>
      <c r="DS36" s="295"/>
      <c r="DT36" s="295"/>
      <c r="DU36" s="295"/>
      <c r="DV36" s="295"/>
      <c r="DW36" s="295"/>
      <c r="DX36" s="295"/>
      <c r="DY36" s="295"/>
      <c r="DZ36" s="295"/>
      <c r="EA36" s="295"/>
      <c r="EB36" s="34"/>
      <c r="EC36" s="295"/>
      <c r="ED36" s="295"/>
      <c r="EE36" s="295"/>
      <c r="EF36" s="295"/>
      <c r="EG36" s="295"/>
      <c r="EH36" s="295"/>
      <c r="EI36" s="295"/>
      <c r="EJ36" s="295"/>
      <c r="EK36" s="295"/>
      <c r="EL36" s="295"/>
      <c r="EM36" s="295"/>
      <c r="EN36" s="34"/>
      <c r="EO36" s="295"/>
      <c r="EP36" s="295"/>
      <c r="EQ36" s="295"/>
      <c r="ER36" s="295"/>
      <c r="ES36" s="295"/>
      <c r="ET36" s="295"/>
      <c r="EU36" s="295"/>
      <c r="EV36" s="295"/>
      <c r="EW36" s="295"/>
      <c r="EX36" s="295"/>
      <c r="EY36" s="295"/>
      <c r="EZ36" s="34"/>
      <c r="FA36" s="295"/>
      <c r="FB36" s="295"/>
      <c r="FC36" s="295"/>
      <c r="FD36" s="295"/>
      <c r="FE36" s="295"/>
      <c r="FF36" s="295"/>
      <c r="FG36" s="295"/>
      <c r="FH36" s="295"/>
      <c r="FI36" s="295"/>
      <c r="FJ36" s="295"/>
      <c r="FK36" s="295"/>
      <c r="FL36" s="34"/>
      <c r="FM36" s="295"/>
      <c r="FN36" s="295"/>
      <c r="FO36" s="295"/>
      <c r="FP36" s="295"/>
      <c r="FQ36" s="295"/>
      <c r="FR36" s="295"/>
      <c r="FS36" s="295"/>
      <c r="FT36" s="295"/>
      <c r="FU36" s="295"/>
      <c r="FV36" s="295"/>
      <c r="FW36" s="295"/>
      <c r="FX36" s="34"/>
      <c r="FY36" s="295"/>
      <c r="FZ36" s="295"/>
      <c r="GA36" s="295"/>
      <c r="GB36" s="295"/>
      <c r="GC36" s="295"/>
      <c r="GD36" s="295"/>
      <c r="GE36" s="295"/>
      <c r="GF36" s="295"/>
      <c r="GG36" s="295"/>
      <c r="GH36" s="295"/>
      <c r="GI36" s="295"/>
      <c r="GJ36" s="34"/>
      <c r="GK36" s="295"/>
      <c r="GL36" s="295"/>
      <c r="GM36" s="295"/>
      <c r="GN36" s="295"/>
      <c r="GO36" s="295"/>
      <c r="GP36" s="295"/>
      <c r="GQ36" s="295"/>
      <c r="GR36" s="295"/>
      <c r="GS36" s="295"/>
      <c r="GT36" s="295"/>
      <c r="GU36" s="295"/>
      <c r="GV36" s="34"/>
      <c r="GW36" s="295"/>
      <c r="GX36" s="295"/>
      <c r="GY36" s="295"/>
      <c r="GZ36" s="295"/>
      <c r="HA36" s="295"/>
      <c r="HB36" s="295"/>
      <c r="HC36" s="295"/>
      <c r="HD36" s="295"/>
      <c r="HE36" s="295"/>
      <c r="HF36" s="295"/>
      <c r="HG36" s="295"/>
      <c r="HH36" s="34"/>
      <c r="HI36" s="295"/>
      <c r="HJ36" s="295"/>
      <c r="HK36" s="295"/>
      <c r="HL36" s="295"/>
      <c r="HM36" s="295"/>
      <c r="HN36" s="295"/>
      <c r="HO36" s="295"/>
      <c r="HP36" s="295"/>
      <c r="HQ36" s="295"/>
      <c r="HR36" s="295"/>
      <c r="HS36" s="295"/>
      <c r="HT36" s="34"/>
      <c r="HU36" s="295"/>
      <c r="HV36" s="295"/>
      <c r="HW36" s="295"/>
      <c r="HX36" s="295"/>
      <c r="HY36" s="295"/>
      <c r="HZ36" s="295"/>
      <c r="IA36" s="295"/>
      <c r="IB36" s="295"/>
      <c r="IC36" s="295"/>
      <c r="ID36" s="295"/>
      <c r="IE36" s="295"/>
      <c r="IF36" s="34"/>
      <c r="IG36" s="295"/>
      <c r="IH36" s="295"/>
      <c r="II36" s="295"/>
    </row>
    <row r="37" spans="1:243" s="5" customFormat="1" ht="14.25">
      <c r="A37" s="396"/>
      <c r="B37" s="293"/>
      <c r="C37" s="293"/>
      <c r="D37" s="293"/>
      <c r="E37" s="293"/>
      <c r="F37" s="293"/>
      <c r="G37" s="398"/>
      <c r="H37" s="398"/>
      <c r="I37" s="397"/>
      <c r="J37" s="397"/>
      <c r="K37" s="397"/>
      <c r="L37" s="35"/>
      <c r="M37" s="291"/>
      <c r="N37" s="291"/>
      <c r="O37" s="291"/>
      <c r="P37" s="291"/>
      <c r="Q37" s="291"/>
      <c r="R37" s="291"/>
      <c r="S37" s="397"/>
      <c r="T37" s="397"/>
      <c r="U37" s="397"/>
      <c r="V37" s="397"/>
      <c r="W37" s="397"/>
      <c r="X37" s="35"/>
      <c r="Y37" s="291"/>
      <c r="Z37" s="291"/>
      <c r="AA37" s="291"/>
      <c r="AB37" s="291"/>
      <c r="AC37" s="291"/>
      <c r="AD37" s="291"/>
      <c r="AE37" s="397"/>
      <c r="AF37" s="397"/>
      <c r="AG37" s="397"/>
      <c r="AH37" s="397"/>
      <c r="AI37" s="397"/>
      <c r="AJ37" s="35"/>
      <c r="AK37" s="291"/>
      <c r="AL37" s="291"/>
      <c r="AM37" s="291"/>
      <c r="AN37" s="291"/>
      <c r="AO37" s="291"/>
      <c r="AP37" s="291"/>
      <c r="AQ37" s="397"/>
      <c r="AR37" s="397"/>
      <c r="AS37" s="397"/>
      <c r="AT37" s="397"/>
      <c r="AU37" s="397"/>
      <c r="AV37" s="35"/>
      <c r="AW37" s="291"/>
      <c r="AX37" s="291"/>
      <c r="AY37" s="291"/>
      <c r="AZ37" s="291"/>
      <c r="BA37" s="291"/>
      <c r="BB37" s="291"/>
      <c r="BC37" s="397"/>
      <c r="BD37" s="397"/>
      <c r="BE37" s="397"/>
      <c r="BF37" s="397"/>
      <c r="BG37" s="397"/>
      <c r="BH37" s="35"/>
      <c r="BI37" s="291"/>
      <c r="BJ37" s="291"/>
      <c r="BK37" s="291"/>
      <c r="BL37" s="291"/>
      <c r="BM37" s="291"/>
      <c r="BN37" s="291"/>
      <c r="BO37" s="397"/>
      <c r="BP37" s="397"/>
      <c r="BQ37" s="397"/>
      <c r="BR37" s="397"/>
      <c r="BS37" s="397"/>
      <c r="BT37" s="35"/>
      <c r="BU37" s="291"/>
      <c r="BV37" s="291"/>
      <c r="BW37" s="291"/>
      <c r="BX37" s="291"/>
      <c r="BY37" s="291"/>
      <c r="BZ37" s="291"/>
      <c r="CA37" s="397"/>
      <c r="CB37" s="397"/>
      <c r="CC37" s="397"/>
      <c r="CD37" s="397"/>
      <c r="CE37" s="397"/>
      <c r="CF37" s="35"/>
      <c r="CG37" s="291"/>
      <c r="CH37" s="291"/>
      <c r="CI37" s="291"/>
      <c r="CJ37" s="291"/>
      <c r="CK37" s="291"/>
      <c r="CL37" s="291"/>
      <c r="CM37" s="397"/>
      <c r="CN37" s="397"/>
      <c r="CO37" s="397"/>
      <c r="CP37" s="397"/>
      <c r="CQ37" s="397"/>
      <c r="CR37" s="35"/>
      <c r="CS37" s="291"/>
      <c r="CT37" s="291"/>
      <c r="CU37" s="291"/>
      <c r="CV37" s="291"/>
      <c r="CW37" s="291"/>
      <c r="CX37" s="291"/>
      <c r="CY37" s="397"/>
      <c r="CZ37" s="397"/>
      <c r="DA37" s="397"/>
      <c r="DB37" s="397"/>
      <c r="DC37" s="397"/>
      <c r="DD37" s="35"/>
      <c r="DE37" s="291"/>
      <c r="DF37" s="291"/>
      <c r="DG37" s="291"/>
      <c r="DH37" s="291"/>
      <c r="DI37" s="291"/>
      <c r="DJ37" s="291"/>
      <c r="DK37" s="397"/>
      <c r="DL37" s="397"/>
      <c r="DM37" s="397"/>
      <c r="DN37" s="397"/>
      <c r="DO37" s="397"/>
      <c r="DP37" s="35"/>
      <c r="DQ37" s="291"/>
      <c r="DR37" s="291"/>
      <c r="DS37" s="291"/>
      <c r="DT37" s="291"/>
      <c r="DU37" s="291"/>
      <c r="DV37" s="291"/>
      <c r="DW37" s="397"/>
      <c r="DX37" s="397"/>
      <c r="DY37" s="397"/>
      <c r="DZ37" s="397"/>
      <c r="EA37" s="397"/>
      <c r="EB37" s="35"/>
      <c r="EC37" s="291"/>
      <c r="ED37" s="291"/>
      <c r="EE37" s="291"/>
      <c r="EF37" s="291"/>
      <c r="EG37" s="291"/>
      <c r="EH37" s="291"/>
      <c r="EI37" s="397"/>
      <c r="EJ37" s="397"/>
      <c r="EK37" s="397"/>
      <c r="EL37" s="397"/>
      <c r="EM37" s="397"/>
      <c r="EN37" s="35"/>
      <c r="EO37" s="291"/>
      <c r="EP37" s="291"/>
      <c r="EQ37" s="291"/>
      <c r="ER37" s="291"/>
      <c r="ES37" s="291"/>
      <c r="ET37" s="291"/>
      <c r="EU37" s="397"/>
      <c r="EV37" s="397"/>
      <c r="EW37" s="397"/>
      <c r="EX37" s="397"/>
      <c r="EY37" s="397"/>
      <c r="EZ37" s="35"/>
      <c r="FA37" s="291"/>
      <c r="FB37" s="291"/>
      <c r="FC37" s="291"/>
      <c r="FD37" s="291"/>
      <c r="FE37" s="291"/>
      <c r="FF37" s="291"/>
      <c r="FG37" s="397"/>
      <c r="FH37" s="397"/>
      <c r="FI37" s="397"/>
      <c r="FJ37" s="397"/>
      <c r="FK37" s="397"/>
      <c r="FL37" s="35"/>
      <c r="FM37" s="291"/>
      <c r="FN37" s="291"/>
      <c r="FO37" s="291"/>
      <c r="FP37" s="291"/>
      <c r="FQ37" s="291"/>
      <c r="FR37" s="291"/>
      <c r="FS37" s="397"/>
      <c r="FT37" s="397"/>
      <c r="FU37" s="397"/>
      <c r="FV37" s="397"/>
      <c r="FW37" s="397"/>
      <c r="FX37" s="35"/>
      <c r="FY37" s="291"/>
      <c r="FZ37" s="291"/>
      <c r="GA37" s="291"/>
      <c r="GB37" s="291"/>
      <c r="GC37" s="291"/>
      <c r="GD37" s="291"/>
      <c r="GE37" s="397"/>
      <c r="GF37" s="397"/>
      <c r="GG37" s="397"/>
      <c r="GH37" s="397"/>
      <c r="GI37" s="397"/>
      <c r="GJ37" s="35"/>
      <c r="GK37" s="291"/>
      <c r="GL37" s="291"/>
      <c r="GM37" s="291"/>
      <c r="GN37" s="291"/>
      <c r="GO37" s="291"/>
      <c r="GP37" s="291"/>
      <c r="GQ37" s="397"/>
      <c r="GR37" s="397"/>
      <c r="GS37" s="397"/>
      <c r="GT37" s="397"/>
      <c r="GU37" s="397"/>
      <c r="GV37" s="35"/>
      <c r="GW37" s="291"/>
      <c r="GX37" s="291"/>
      <c r="GY37" s="291"/>
      <c r="GZ37" s="291"/>
      <c r="HA37" s="291"/>
      <c r="HB37" s="291"/>
      <c r="HC37" s="397"/>
      <c r="HD37" s="397"/>
      <c r="HE37" s="397"/>
      <c r="HF37" s="397"/>
      <c r="HG37" s="397"/>
      <c r="HH37" s="35"/>
      <c r="HI37" s="291"/>
      <c r="HJ37" s="291"/>
      <c r="HK37" s="291"/>
      <c r="HL37" s="291"/>
      <c r="HM37" s="291"/>
      <c r="HN37" s="291"/>
      <c r="HO37" s="397"/>
      <c r="HP37" s="397"/>
      <c r="HQ37" s="397"/>
      <c r="HR37" s="397"/>
      <c r="HS37" s="397"/>
      <c r="HT37" s="35"/>
      <c r="HU37" s="291"/>
      <c r="HV37" s="291"/>
      <c r="HW37" s="291"/>
      <c r="HX37" s="291"/>
      <c r="HY37" s="291"/>
      <c r="HZ37" s="291"/>
      <c r="IA37" s="397"/>
      <c r="IB37" s="397"/>
      <c r="IC37" s="397"/>
      <c r="ID37" s="397"/>
      <c r="IE37" s="397"/>
      <c r="IF37" s="35"/>
      <c r="IG37" s="291"/>
      <c r="IH37" s="291"/>
      <c r="II37" s="291"/>
    </row>
    <row r="38" spans="1:243" s="5" customFormat="1" ht="14.25">
      <c r="A38" s="391"/>
      <c r="B38" s="291"/>
      <c r="C38" s="291"/>
      <c r="D38" s="291"/>
      <c r="E38" s="291"/>
      <c r="F38" s="291"/>
      <c r="G38" s="397"/>
      <c r="H38" s="397"/>
      <c r="I38" s="397"/>
      <c r="J38" s="397"/>
      <c r="K38" s="397"/>
      <c r="L38" s="35"/>
      <c r="M38" s="291"/>
      <c r="N38" s="291"/>
      <c r="O38" s="291"/>
      <c r="P38" s="291"/>
      <c r="Q38" s="291"/>
      <c r="R38" s="291"/>
      <c r="S38" s="397"/>
      <c r="T38" s="397"/>
      <c r="U38" s="397"/>
      <c r="V38" s="397"/>
      <c r="W38" s="397"/>
      <c r="X38" s="35"/>
      <c r="Y38" s="291"/>
      <c r="Z38" s="291"/>
      <c r="AA38" s="291"/>
      <c r="AB38" s="291"/>
      <c r="AC38" s="291"/>
      <c r="AD38" s="291"/>
      <c r="AE38" s="397"/>
      <c r="AF38" s="397"/>
      <c r="AG38" s="397"/>
      <c r="AH38" s="397"/>
      <c r="AI38" s="397"/>
      <c r="AJ38" s="35"/>
      <c r="AK38" s="291"/>
      <c r="AL38" s="291"/>
      <c r="AM38" s="291"/>
      <c r="AN38" s="291"/>
      <c r="AO38" s="291"/>
      <c r="AP38" s="291"/>
      <c r="AQ38" s="397"/>
      <c r="AR38" s="397"/>
      <c r="AS38" s="397"/>
      <c r="AT38" s="397"/>
      <c r="AU38" s="397"/>
      <c r="AV38" s="35"/>
      <c r="AW38" s="291"/>
      <c r="AX38" s="291"/>
      <c r="AY38" s="291"/>
      <c r="AZ38" s="291"/>
      <c r="BA38" s="291"/>
      <c r="BB38" s="291"/>
      <c r="BC38" s="397"/>
      <c r="BD38" s="397"/>
      <c r="BE38" s="397"/>
      <c r="BF38" s="397"/>
      <c r="BG38" s="397"/>
      <c r="BH38" s="35"/>
      <c r="BI38" s="291"/>
      <c r="BJ38" s="291"/>
      <c r="BK38" s="291"/>
      <c r="BL38" s="291"/>
      <c r="BM38" s="291"/>
      <c r="BN38" s="291"/>
      <c r="BO38" s="397"/>
      <c r="BP38" s="397"/>
      <c r="BQ38" s="397"/>
      <c r="BR38" s="397"/>
      <c r="BS38" s="397"/>
      <c r="BT38" s="35"/>
      <c r="BU38" s="291"/>
      <c r="BV38" s="291"/>
      <c r="BW38" s="291"/>
      <c r="BX38" s="291"/>
      <c r="BY38" s="291"/>
      <c r="BZ38" s="291"/>
      <c r="CA38" s="397"/>
      <c r="CB38" s="397"/>
      <c r="CC38" s="397"/>
      <c r="CD38" s="397"/>
      <c r="CE38" s="397"/>
      <c r="CF38" s="35"/>
      <c r="CG38" s="291"/>
      <c r="CH38" s="291"/>
      <c r="CI38" s="291"/>
      <c r="CJ38" s="291"/>
      <c r="CK38" s="291"/>
      <c r="CL38" s="291"/>
      <c r="CM38" s="397"/>
      <c r="CN38" s="397"/>
      <c r="CO38" s="397"/>
      <c r="CP38" s="397"/>
      <c r="CQ38" s="397"/>
      <c r="CR38" s="35"/>
      <c r="CS38" s="291"/>
      <c r="CT38" s="291"/>
      <c r="CU38" s="291"/>
      <c r="CV38" s="291"/>
      <c r="CW38" s="291"/>
      <c r="CX38" s="291"/>
      <c r="CY38" s="397"/>
      <c r="CZ38" s="397"/>
      <c r="DA38" s="397"/>
      <c r="DB38" s="397"/>
      <c r="DC38" s="397"/>
      <c r="DD38" s="35"/>
      <c r="DE38" s="291"/>
      <c r="DF38" s="291"/>
      <c r="DG38" s="291"/>
      <c r="DH38" s="291"/>
      <c r="DI38" s="291"/>
      <c r="DJ38" s="291"/>
      <c r="DK38" s="397"/>
      <c r="DL38" s="397"/>
      <c r="DM38" s="397"/>
      <c r="DN38" s="397"/>
      <c r="DO38" s="397"/>
      <c r="DP38" s="35"/>
      <c r="DQ38" s="291"/>
      <c r="DR38" s="291"/>
      <c r="DS38" s="291"/>
      <c r="DT38" s="291"/>
      <c r="DU38" s="291"/>
      <c r="DV38" s="291"/>
      <c r="DW38" s="397"/>
      <c r="DX38" s="397"/>
      <c r="DY38" s="397"/>
      <c r="DZ38" s="397"/>
      <c r="EA38" s="397"/>
      <c r="EB38" s="35"/>
      <c r="EC38" s="291"/>
      <c r="ED38" s="291"/>
      <c r="EE38" s="291"/>
      <c r="EF38" s="291"/>
      <c r="EG38" s="291"/>
      <c r="EH38" s="291"/>
      <c r="EI38" s="397"/>
      <c r="EJ38" s="397"/>
      <c r="EK38" s="397"/>
      <c r="EL38" s="397"/>
      <c r="EM38" s="397"/>
      <c r="EN38" s="35"/>
      <c r="EO38" s="291"/>
      <c r="EP38" s="291"/>
      <c r="EQ38" s="291"/>
      <c r="ER38" s="291"/>
      <c r="ES38" s="291"/>
      <c r="ET38" s="291"/>
      <c r="EU38" s="397"/>
      <c r="EV38" s="397"/>
      <c r="EW38" s="397"/>
      <c r="EX38" s="397"/>
      <c r="EY38" s="397"/>
      <c r="EZ38" s="35"/>
      <c r="FA38" s="291"/>
      <c r="FB38" s="291"/>
      <c r="FC38" s="291"/>
      <c r="FD38" s="291"/>
      <c r="FE38" s="291"/>
      <c r="FF38" s="291"/>
      <c r="FG38" s="397"/>
      <c r="FH38" s="397"/>
      <c r="FI38" s="397"/>
      <c r="FJ38" s="397"/>
      <c r="FK38" s="397"/>
      <c r="FL38" s="35"/>
      <c r="FM38" s="291"/>
      <c r="FN38" s="291"/>
      <c r="FO38" s="291"/>
      <c r="FP38" s="291"/>
      <c r="FQ38" s="291"/>
      <c r="FR38" s="291"/>
      <c r="FS38" s="397"/>
      <c r="FT38" s="397"/>
      <c r="FU38" s="397"/>
      <c r="FV38" s="397"/>
      <c r="FW38" s="397"/>
      <c r="FX38" s="35"/>
      <c r="FY38" s="291"/>
      <c r="FZ38" s="291"/>
      <c r="GA38" s="291"/>
      <c r="GB38" s="291"/>
      <c r="GC38" s="291"/>
      <c r="GD38" s="291"/>
      <c r="GE38" s="397"/>
      <c r="GF38" s="397"/>
      <c r="GG38" s="397"/>
      <c r="GH38" s="397"/>
      <c r="GI38" s="397"/>
      <c r="GJ38" s="35"/>
      <c r="GK38" s="291"/>
      <c r="GL38" s="291"/>
      <c r="GM38" s="291"/>
      <c r="GN38" s="291"/>
      <c r="GO38" s="291"/>
      <c r="GP38" s="291"/>
      <c r="GQ38" s="397"/>
      <c r="GR38" s="397"/>
      <c r="GS38" s="397"/>
      <c r="GT38" s="397"/>
      <c r="GU38" s="397"/>
      <c r="GV38" s="35"/>
      <c r="GW38" s="291"/>
      <c r="GX38" s="291"/>
      <c r="GY38" s="291"/>
      <c r="GZ38" s="291"/>
      <c r="HA38" s="291"/>
      <c r="HB38" s="291"/>
      <c r="HC38" s="397"/>
      <c r="HD38" s="397"/>
      <c r="HE38" s="397"/>
      <c r="HF38" s="397"/>
      <c r="HG38" s="397"/>
      <c r="HH38" s="35"/>
      <c r="HI38" s="291"/>
      <c r="HJ38" s="291"/>
      <c r="HK38" s="291"/>
      <c r="HL38" s="291"/>
      <c r="HM38" s="291"/>
      <c r="HN38" s="291"/>
      <c r="HO38" s="397"/>
      <c r="HP38" s="397"/>
      <c r="HQ38" s="397"/>
      <c r="HR38" s="397"/>
      <c r="HS38" s="397"/>
      <c r="HT38" s="35"/>
      <c r="HU38" s="291"/>
      <c r="HV38" s="291"/>
      <c r="HW38" s="291"/>
      <c r="HX38" s="291"/>
      <c r="HY38" s="291"/>
      <c r="HZ38" s="291"/>
      <c r="IA38" s="397"/>
      <c r="IB38" s="397"/>
      <c r="IC38" s="397"/>
      <c r="ID38" s="397"/>
      <c r="IE38" s="397"/>
      <c r="IF38" s="35"/>
      <c r="IG38" s="291"/>
      <c r="IH38" s="291"/>
      <c r="II38" s="291"/>
    </row>
    <row r="39" spans="1:243" s="390" customFormat="1" ht="14.25">
      <c r="A39" s="44" t="s">
        <v>1023</v>
      </c>
    </row>
    <row r="40" spans="1:243" s="7" customFormat="1" ht="14.25">
      <c r="A40" s="392" t="s">
        <v>1019</v>
      </c>
    </row>
    <row r="41" spans="1:243" ht="11.45" customHeight="1">
      <c r="A41" s="44" t="s">
        <v>819</v>
      </c>
    </row>
    <row r="42" spans="1:243" ht="11.45" customHeight="1">
      <c r="A42" s="44"/>
    </row>
    <row r="43" spans="1:243" ht="11.45" customHeight="1">
      <c r="A43" s="43"/>
    </row>
  </sheetData>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rgb="FF92D050"/>
  </sheetPr>
  <dimension ref="A1:T54"/>
  <sheetViews>
    <sheetView showGridLines="0" workbookViewId="0"/>
  </sheetViews>
  <sheetFormatPr baseColWidth="10" defaultColWidth="11.42578125" defaultRowHeight="12.75"/>
  <cols>
    <col min="1" max="1" width="28.5703125" style="12" customWidth="1"/>
    <col min="2" max="7" width="6.5703125" style="12" customWidth="1"/>
    <col min="8" max="8" width="7.5703125" style="12" customWidth="1"/>
    <col min="9" max="9" width="7.28515625" style="12" customWidth="1"/>
    <col min="10" max="10" width="7" style="12" customWidth="1"/>
    <col min="11" max="11" width="7.85546875" style="12" customWidth="1"/>
    <col min="12" max="16384" width="11.42578125" style="12"/>
  </cols>
  <sheetData>
    <row r="1" spans="1:11" s="27" customFormat="1" ht="15">
      <c r="A1" s="60" t="s">
        <v>995</v>
      </c>
      <c r="B1" s="60"/>
      <c r="C1" s="60"/>
      <c r="D1" s="60"/>
      <c r="E1" s="60"/>
      <c r="F1" s="60"/>
      <c r="G1" s="60"/>
      <c r="H1" s="60"/>
      <c r="I1" s="26"/>
      <c r="J1" s="26"/>
    </row>
    <row r="2" spans="1:11" s="30" customFormat="1" ht="14.25" customHeight="1">
      <c r="A2" s="61" t="s">
        <v>35</v>
      </c>
      <c r="B2" s="61"/>
      <c r="C2" s="61"/>
      <c r="D2" s="61"/>
      <c r="E2" s="61"/>
      <c r="F2" s="61"/>
      <c r="G2" s="61"/>
      <c r="H2" s="61"/>
      <c r="I2" s="29"/>
      <c r="J2" s="29"/>
    </row>
    <row r="3" spans="1:11" s="25" customFormat="1" ht="14.25">
      <c r="A3" s="62"/>
      <c r="B3" s="63"/>
      <c r="C3" s="63"/>
      <c r="D3" s="63"/>
      <c r="E3" s="64"/>
      <c r="F3" s="64"/>
      <c r="G3" s="64"/>
      <c r="H3" s="64"/>
      <c r="I3" s="50"/>
      <c r="J3" s="50"/>
    </row>
    <row r="4" spans="1:11" s="25" customFormat="1" ht="37.5" customHeight="1">
      <c r="A4" s="31"/>
      <c r="B4" s="33">
        <v>2007</v>
      </c>
      <c r="C4" s="33">
        <v>2008</v>
      </c>
      <c r="D4" s="33" t="s">
        <v>857</v>
      </c>
      <c r="E4" s="33">
        <v>2010</v>
      </c>
      <c r="F4" s="33" t="s">
        <v>709</v>
      </c>
      <c r="G4" s="33" t="s">
        <v>610</v>
      </c>
      <c r="H4" s="33" t="s">
        <v>855</v>
      </c>
      <c r="I4" s="33" t="s">
        <v>829</v>
      </c>
      <c r="J4" s="33" t="s">
        <v>934</v>
      </c>
      <c r="K4" s="33" t="s">
        <v>1048</v>
      </c>
    </row>
    <row r="5" spans="1:11" s="49" customFormat="1" ht="15.75" customHeight="1">
      <c r="A5" s="65"/>
      <c r="B5" s="65"/>
      <c r="C5" s="65"/>
      <c r="D5" s="65"/>
      <c r="E5" s="66"/>
      <c r="F5" s="66"/>
      <c r="G5" s="66"/>
      <c r="H5" s="66"/>
      <c r="I5" s="51"/>
      <c r="J5" s="51"/>
      <c r="K5" s="51"/>
    </row>
    <row r="6" spans="1:11" s="18" customFormat="1" ht="15">
      <c r="A6" s="67" t="s">
        <v>815</v>
      </c>
      <c r="B6" s="64"/>
      <c r="C6" s="64"/>
      <c r="D6" s="64"/>
      <c r="E6" s="64"/>
      <c r="F6" s="64"/>
      <c r="G6" s="64"/>
      <c r="H6" s="64"/>
      <c r="I6" s="45"/>
      <c r="J6" s="45"/>
      <c r="K6" s="45"/>
    </row>
    <row r="7" spans="1:11" ht="14.25">
      <c r="A7" s="64" t="s">
        <v>711</v>
      </c>
      <c r="B7" s="69">
        <v>72331.915718000004</v>
      </c>
      <c r="C7" s="69">
        <v>80298.266522999998</v>
      </c>
      <c r="D7" s="69">
        <v>69456.578964</v>
      </c>
      <c r="E7" s="70">
        <v>67286.862999999998</v>
      </c>
      <c r="F7" s="70">
        <v>67813.524999999994</v>
      </c>
      <c r="G7" s="70">
        <v>72880.409499999994</v>
      </c>
      <c r="H7" s="70">
        <v>75566.679000000004</v>
      </c>
      <c r="I7" s="70">
        <v>74652.523000000001</v>
      </c>
      <c r="J7" s="70">
        <v>74719.217999999993</v>
      </c>
      <c r="K7" s="70">
        <v>77025.538</v>
      </c>
    </row>
    <row r="8" spans="1:11" ht="14.25">
      <c r="A8" s="64" t="s">
        <v>713</v>
      </c>
      <c r="B8" s="69">
        <v>69462.338755000004</v>
      </c>
      <c r="C8" s="69">
        <v>70734.196077000001</v>
      </c>
      <c r="D8" s="69">
        <v>62376.485202000003</v>
      </c>
      <c r="E8" s="70">
        <v>59434.141000000003</v>
      </c>
      <c r="F8" s="70">
        <v>63451.836000000003</v>
      </c>
      <c r="G8" s="70">
        <v>65931.101999999999</v>
      </c>
      <c r="H8" s="70">
        <v>71363.66</v>
      </c>
      <c r="I8" s="70">
        <v>71463.467999999993</v>
      </c>
      <c r="J8" s="70">
        <v>71525.383000000002</v>
      </c>
      <c r="K8" s="70">
        <v>71902.558000000005</v>
      </c>
    </row>
    <row r="9" spans="1:11" s="11" customFormat="1" ht="18.75" customHeight="1">
      <c r="A9" s="71" t="s">
        <v>712</v>
      </c>
      <c r="B9" s="287">
        <f t="shared" ref="B9:K9" si="0">B7-B8</f>
        <v>2869.5769629999995</v>
      </c>
      <c r="C9" s="287">
        <f t="shared" si="0"/>
        <v>9564.0704459999979</v>
      </c>
      <c r="D9" s="287">
        <f t="shared" si="0"/>
        <v>7080.0937619999968</v>
      </c>
      <c r="E9" s="287">
        <f t="shared" si="0"/>
        <v>7852.7219999999943</v>
      </c>
      <c r="F9" s="287">
        <f t="shared" si="0"/>
        <v>4361.6889999999912</v>
      </c>
      <c r="G9" s="287">
        <f t="shared" si="0"/>
        <v>6949.3074999999953</v>
      </c>
      <c r="H9" s="409">
        <f t="shared" si="0"/>
        <v>4203.0190000000002</v>
      </c>
      <c r="I9" s="409">
        <f t="shared" si="0"/>
        <v>3189.0550000000076</v>
      </c>
      <c r="J9" s="409">
        <f t="shared" si="0"/>
        <v>3193.8349999999919</v>
      </c>
      <c r="K9" s="409">
        <f t="shared" si="0"/>
        <v>5122.9799999999959</v>
      </c>
    </row>
    <row r="10" spans="1:11" s="17" customFormat="1" ht="14.25">
      <c r="A10" s="73"/>
      <c r="B10" s="73"/>
      <c r="C10" s="73"/>
      <c r="D10" s="73"/>
      <c r="E10" s="73"/>
      <c r="F10" s="73"/>
      <c r="G10" s="73"/>
      <c r="H10" s="73"/>
      <c r="I10" s="73"/>
      <c r="J10" s="73"/>
      <c r="K10" s="73"/>
    </row>
    <row r="11" spans="1:11" ht="14.25">
      <c r="A11" s="67" t="s">
        <v>810</v>
      </c>
      <c r="B11" s="64"/>
      <c r="C11" s="64"/>
      <c r="D11" s="64"/>
      <c r="E11" s="64"/>
      <c r="F11" s="64"/>
      <c r="G11" s="64"/>
      <c r="H11" s="64"/>
      <c r="I11" s="64"/>
      <c r="J11" s="64"/>
      <c r="K11" s="64"/>
    </row>
    <row r="12" spans="1:11" ht="14.25">
      <c r="A12" s="64" t="s">
        <v>711</v>
      </c>
      <c r="B12" s="74">
        <v>57130.429338000002</v>
      </c>
      <c r="C12" s="74">
        <v>42190.436999999998</v>
      </c>
      <c r="D12" s="74">
        <v>45265.752780000003</v>
      </c>
      <c r="E12" s="75">
        <v>47031.430999999997</v>
      </c>
      <c r="F12" s="75">
        <v>63280.089</v>
      </c>
      <c r="G12" s="75">
        <v>44006.830999999998</v>
      </c>
      <c r="H12" s="75">
        <v>47778.284</v>
      </c>
      <c r="I12" s="75">
        <v>65054.87</v>
      </c>
      <c r="J12" s="75">
        <v>84382.73</v>
      </c>
      <c r="K12" s="75">
        <v>87962.688999999998</v>
      </c>
    </row>
    <row r="13" spans="1:11" ht="14.25">
      <c r="A13" s="76" t="s">
        <v>713</v>
      </c>
      <c r="B13" s="74">
        <v>60000.006300000001</v>
      </c>
      <c r="C13" s="74">
        <v>51754.508000000002</v>
      </c>
      <c r="D13" s="74">
        <v>52345.846541999999</v>
      </c>
      <c r="E13" s="74">
        <v>54884.154000000002</v>
      </c>
      <c r="F13" s="74">
        <v>67641.777000000002</v>
      </c>
      <c r="G13" s="74">
        <v>50956.137999999999</v>
      </c>
      <c r="H13" s="74">
        <v>51981.302000000003</v>
      </c>
      <c r="I13" s="74">
        <v>68243.926000000007</v>
      </c>
      <c r="J13" s="74">
        <v>87576.656000000003</v>
      </c>
      <c r="K13" s="74">
        <v>93085.668999999994</v>
      </c>
    </row>
    <row r="14" spans="1:11" ht="18.75" customHeight="1">
      <c r="A14" s="71" t="s">
        <v>714</v>
      </c>
      <c r="B14" s="287">
        <f t="shared" ref="B14:K14" si="1">B13-B12</f>
        <v>2869.5769619999992</v>
      </c>
      <c r="C14" s="287">
        <f t="shared" si="1"/>
        <v>9564.0710000000036</v>
      </c>
      <c r="D14" s="287">
        <f t="shared" si="1"/>
        <v>7080.0937619999968</v>
      </c>
      <c r="E14" s="287">
        <f t="shared" si="1"/>
        <v>7852.7230000000054</v>
      </c>
      <c r="F14" s="287">
        <f t="shared" si="1"/>
        <v>4361.6880000000019</v>
      </c>
      <c r="G14" s="287">
        <f t="shared" si="1"/>
        <v>6949.3070000000007</v>
      </c>
      <c r="H14" s="409">
        <f t="shared" si="1"/>
        <v>4203.0180000000037</v>
      </c>
      <c r="I14" s="409">
        <f t="shared" si="1"/>
        <v>3189.0560000000041</v>
      </c>
      <c r="J14" s="409">
        <f t="shared" si="1"/>
        <v>3193.9260000000068</v>
      </c>
      <c r="K14" s="409">
        <f t="shared" si="1"/>
        <v>5122.9799999999959</v>
      </c>
    </row>
    <row r="15" spans="1:11" ht="18.75" customHeight="1">
      <c r="A15" s="443"/>
      <c r="B15" s="444"/>
      <c r="C15" s="444"/>
      <c r="D15" s="444"/>
      <c r="E15" s="444"/>
      <c r="F15" s="444"/>
      <c r="G15" s="444"/>
      <c r="H15" s="445"/>
      <c r="I15" s="445"/>
      <c r="J15" s="445"/>
      <c r="K15" s="445"/>
    </row>
    <row r="16" spans="1:11" ht="14.25">
      <c r="A16" s="67" t="s">
        <v>811</v>
      </c>
      <c r="B16" s="64"/>
      <c r="C16" s="64"/>
      <c r="D16" s="64"/>
      <c r="E16" s="64"/>
      <c r="F16" s="64"/>
      <c r="G16" s="64"/>
      <c r="H16" s="64"/>
      <c r="I16" s="64"/>
      <c r="J16" s="64"/>
      <c r="K16" s="64"/>
    </row>
    <row r="17" spans="1:20" ht="14.25">
      <c r="A17" s="64" t="s">
        <v>812</v>
      </c>
      <c r="B17" s="74"/>
      <c r="C17" s="74"/>
      <c r="D17" s="74"/>
      <c r="E17" s="75"/>
      <c r="F17" s="75"/>
      <c r="G17" s="75"/>
      <c r="H17" s="75">
        <v>78109.7</v>
      </c>
      <c r="I17" s="75">
        <v>78931.978000000003</v>
      </c>
      <c r="J17" s="75">
        <v>78674.654999999999</v>
      </c>
      <c r="K17" s="75">
        <v>81216.66</v>
      </c>
    </row>
    <row r="18" spans="1:20" ht="14.25">
      <c r="A18" s="76" t="s">
        <v>813</v>
      </c>
      <c r="B18" s="74"/>
      <c r="C18" s="74"/>
      <c r="D18" s="74"/>
      <c r="E18" s="74"/>
      <c r="F18" s="74"/>
      <c r="G18" s="74"/>
      <c r="H18" s="74">
        <v>70873.107000000004</v>
      </c>
      <c r="I18" s="74">
        <v>69881.789000000004</v>
      </c>
      <c r="J18" s="74">
        <v>71510.457999999999</v>
      </c>
      <c r="K18" s="74">
        <v>71370.271999999997</v>
      </c>
    </row>
    <row r="19" spans="1:20" ht="18.75" customHeight="1">
      <c r="A19" s="71" t="s">
        <v>814</v>
      </c>
      <c r="B19" s="287"/>
      <c r="C19" s="287"/>
      <c r="D19" s="287"/>
      <c r="E19" s="287"/>
      <c r="F19" s="287"/>
      <c r="G19" s="287"/>
      <c r="H19" s="409">
        <f>H18-H17</f>
        <v>-7236.5929999999935</v>
      </c>
      <c r="I19" s="409">
        <f t="shared" ref="I19:K19" si="2">I18-I17</f>
        <v>-9050.1889999999985</v>
      </c>
      <c r="J19" s="409">
        <f t="shared" si="2"/>
        <v>-7164.1970000000001</v>
      </c>
      <c r="K19" s="409">
        <f t="shared" si="2"/>
        <v>-9846.3880000000063</v>
      </c>
    </row>
    <row r="20" spans="1:20" s="19" customFormat="1" ht="15" customHeight="1">
      <c r="A20" s="77"/>
      <c r="B20" s="77"/>
      <c r="C20" s="77"/>
      <c r="D20" s="77"/>
      <c r="E20" s="77"/>
      <c r="F20" s="77"/>
      <c r="G20" s="77"/>
      <c r="H20" s="77"/>
      <c r="I20" s="77"/>
      <c r="J20" s="77"/>
      <c r="K20" s="77"/>
    </row>
    <row r="21" spans="1:20" s="16" customFormat="1" ht="18.75" customHeight="1">
      <c r="A21" s="78" t="s">
        <v>36</v>
      </c>
      <c r="B21" s="72"/>
      <c r="C21" s="72"/>
      <c r="D21" s="72"/>
      <c r="E21" s="72"/>
      <c r="F21" s="72"/>
      <c r="G21" s="72"/>
      <c r="H21" s="410"/>
      <c r="I21" s="410"/>
      <c r="J21" s="410"/>
      <c r="K21" s="410"/>
    </row>
    <row r="22" spans="1:20" s="20" customFormat="1" ht="14.25">
      <c r="A22" s="79"/>
      <c r="B22" s="79"/>
      <c r="C22" s="79"/>
      <c r="D22" s="79"/>
      <c r="E22" s="79"/>
      <c r="F22" s="79"/>
      <c r="G22" s="79"/>
      <c r="H22" s="79"/>
      <c r="I22" s="79"/>
      <c r="J22" s="79"/>
      <c r="K22" s="79"/>
    </row>
    <row r="23" spans="1:20" ht="14.25">
      <c r="A23" s="67" t="s">
        <v>815</v>
      </c>
      <c r="B23" s="64"/>
      <c r="C23" s="64"/>
      <c r="D23" s="64"/>
      <c r="E23" s="64"/>
      <c r="F23" s="64"/>
      <c r="G23" s="64"/>
      <c r="H23" s="64"/>
      <c r="I23" s="64"/>
      <c r="J23" s="64"/>
      <c r="K23" s="64"/>
    </row>
    <row r="24" spans="1:20" ht="14.25">
      <c r="A24" s="64" t="s">
        <v>711</v>
      </c>
      <c r="B24" s="80">
        <v>2.5094117073484412E-2</v>
      </c>
      <c r="C24" s="80">
        <f t="shared" ref="C24:E24" si="3">(C7/B7)-1</f>
        <v>0.11013604058350057</v>
      </c>
      <c r="D24" s="80">
        <f t="shared" si="3"/>
        <v>-0.13501770372458277</v>
      </c>
      <c r="E24" s="80">
        <f t="shared" si="3"/>
        <v>-3.1238451365774633E-2</v>
      </c>
      <c r="F24" s="80">
        <f t="shared" ref="F24:K26" si="4">(F7/E7)-1</f>
        <v>7.8271147816773023E-3</v>
      </c>
      <c r="G24" s="80">
        <f t="shared" si="4"/>
        <v>7.4717904724758144E-2</v>
      </c>
      <c r="H24" s="80">
        <f t="shared" si="4"/>
        <v>3.6858595038492536E-2</v>
      </c>
      <c r="I24" s="80">
        <f t="shared" si="4"/>
        <v>-1.2097342533737732E-2</v>
      </c>
      <c r="J24" s="80">
        <f t="shared" si="4"/>
        <v>8.9340583974628629E-4</v>
      </c>
      <c r="K24" s="80">
        <f t="shared" si="4"/>
        <v>3.0866490064176189E-2</v>
      </c>
      <c r="L24" s="80"/>
      <c r="M24" s="80"/>
      <c r="N24" s="80"/>
      <c r="O24" s="80"/>
      <c r="P24" s="80"/>
      <c r="Q24" s="80"/>
      <c r="R24" s="80"/>
      <c r="S24" s="80"/>
      <c r="T24" s="80"/>
    </row>
    <row r="25" spans="1:20" ht="14.25">
      <c r="A25" s="64" t="s">
        <v>713</v>
      </c>
      <c r="B25" s="80">
        <v>5.0156506710290927E-2</v>
      </c>
      <c r="C25" s="80">
        <f t="shared" ref="C25:E26" si="5">(C8/B8)-1</f>
        <v>1.8310027344255575E-2</v>
      </c>
      <c r="D25" s="80">
        <f t="shared" si="5"/>
        <v>-0.11815658250928507</v>
      </c>
      <c r="E25" s="80">
        <f t="shared" si="5"/>
        <v>-4.7170727758569786E-2</v>
      </c>
      <c r="F25" s="80">
        <f t="shared" si="4"/>
        <v>6.7599109407503688E-2</v>
      </c>
      <c r="G25" s="80">
        <f t="shared" si="4"/>
        <v>3.907319561249567E-2</v>
      </c>
      <c r="H25" s="80">
        <f t="shared" si="4"/>
        <v>8.2397500348166508E-2</v>
      </c>
      <c r="I25" s="80">
        <f t="shared" si="4"/>
        <v>1.3985829762652724E-3</v>
      </c>
      <c r="J25" s="80">
        <f t="shared" si="4"/>
        <v>8.6638672503291936E-4</v>
      </c>
      <c r="K25" s="80">
        <f t="shared" si="4"/>
        <v>5.2733027658167231E-3</v>
      </c>
      <c r="L25" s="80"/>
      <c r="M25" s="80"/>
      <c r="N25" s="80"/>
      <c r="O25" s="80"/>
      <c r="P25" s="80"/>
      <c r="Q25" s="80"/>
      <c r="R25" s="80"/>
      <c r="S25" s="80"/>
      <c r="T25" s="80"/>
    </row>
    <row r="26" spans="1:20" ht="14.25">
      <c r="A26" s="64" t="s">
        <v>712</v>
      </c>
      <c r="B26" s="80">
        <v>-0.35025912062673303</v>
      </c>
      <c r="C26" s="80">
        <f t="shared" si="5"/>
        <v>2.3329199980756883</v>
      </c>
      <c r="D26" s="80">
        <f t="shared" si="5"/>
        <v>-0.25971961394731047</v>
      </c>
      <c r="E26" s="80">
        <f t="shared" si="5"/>
        <v>0.10912683701264214</v>
      </c>
      <c r="F26" s="80">
        <f t="shared" si="4"/>
        <v>-0.44456342654177816</v>
      </c>
      <c r="G26" s="80">
        <f t="shared" si="4"/>
        <v>0.59326066117965071</v>
      </c>
      <c r="H26" s="80">
        <f t="shared" si="4"/>
        <v>-0.39518880118630484</v>
      </c>
      <c r="I26" s="80">
        <f t="shared" si="4"/>
        <v>-0.24124658965376855</v>
      </c>
      <c r="J26" s="80">
        <f t="shared" si="4"/>
        <v>1.4988766264565356E-3</v>
      </c>
      <c r="K26" s="80">
        <f t="shared" si="4"/>
        <v>0.60402149766660118</v>
      </c>
      <c r="L26" s="81"/>
      <c r="M26" s="81"/>
      <c r="N26" s="81"/>
      <c r="O26" s="81"/>
      <c r="P26" s="81"/>
      <c r="Q26" s="81"/>
      <c r="R26" s="81"/>
      <c r="S26" s="81"/>
      <c r="T26" s="81"/>
    </row>
    <row r="27" spans="1:20" ht="14.25">
      <c r="A27" s="82"/>
      <c r="B27" s="82"/>
      <c r="C27" s="82"/>
      <c r="D27" s="82"/>
      <c r="E27" s="82"/>
      <c r="F27" s="82"/>
      <c r="G27" s="82"/>
      <c r="H27" s="82"/>
      <c r="I27" s="82"/>
      <c r="J27" s="82"/>
      <c r="K27" s="82"/>
    </row>
    <row r="28" spans="1:20" ht="15">
      <c r="A28" s="46"/>
      <c r="B28" s="46"/>
      <c r="C28" s="46"/>
      <c r="D28" s="46"/>
      <c r="E28" s="46"/>
      <c r="F28" s="46"/>
      <c r="G28" s="46"/>
      <c r="H28" s="46"/>
      <c r="I28" s="45"/>
      <c r="J28" s="45"/>
      <c r="K28" s="45"/>
    </row>
    <row r="29" spans="1:20" ht="15">
      <c r="A29" s="67" t="s">
        <v>811</v>
      </c>
      <c r="B29" s="46"/>
      <c r="C29" s="46"/>
      <c r="D29" s="46"/>
      <c r="E29" s="46"/>
      <c r="F29" s="46"/>
      <c r="G29" s="46"/>
      <c r="H29" s="46"/>
      <c r="I29" s="45"/>
      <c r="J29" s="45"/>
      <c r="K29" s="45"/>
    </row>
    <row r="30" spans="1:20" ht="15">
      <c r="A30" s="64" t="s">
        <v>812</v>
      </c>
      <c r="B30" s="46"/>
      <c r="C30" s="46"/>
      <c r="D30" s="46"/>
      <c r="E30" s="46"/>
      <c r="F30" s="46"/>
      <c r="G30" s="46"/>
      <c r="H30" s="80"/>
      <c r="I30" s="80">
        <f t="shared" ref="I30" si="6">(I17/H17)-1</f>
        <v>1.0527220050774888E-2</v>
      </c>
      <c r="J30" s="80">
        <f t="shared" ref="J30:K32" si="7">(J17/I17)-1</f>
        <v>-3.2600602001890966E-3</v>
      </c>
      <c r="K30" s="80">
        <f t="shared" si="7"/>
        <v>3.2310341875665172E-2</v>
      </c>
    </row>
    <row r="31" spans="1:20" ht="15">
      <c r="A31" s="76" t="s">
        <v>813</v>
      </c>
      <c r="B31" s="46"/>
      <c r="C31" s="46"/>
      <c r="D31" s="46"/>
      <c r="E31" s="46"/>
      <c r="F31" s="46"/>
      <c r="G31" s="46"/>
      <c r="H31" s="80"/>
      <c r="I31" s="80">
        <f t="shared" ref="I31" si="8">(I18/H18)-1</f>
        <v>-1.3987223672866533E-2</v>
      </c>
      <c r="J31" s="80">
        <f t="shared" si="7"/>
        <v>2.3306057605365416E-2</v>
      </c>
      <c r="K31" s="80">
        <f t="shared" si="7"/>
        <v>-1.9603566236423564E-3</v>
      </c>
    </row>
    <row r="32" spans="1:20" ht="15">
      <c r="A32" s="443" t="s">
        <v>814</v>
      </c>
      <c r="B32" s="46"/>
      <c r="C32" s="46"/>
      <c r="D32" s="46"/>
      <c r="E32" s="46"/>
      <c r="F32" s="46"/>
      <c r="G32" s="46"/>
      <c r="H32" s="81"/>
      <c r="I32" s="81">
        <f>(I19/H19)-1</f>
        <v>0.25061461933813423</v>
      </c>
      <c r="J32" s="81">
        <f t="shared" si="7"/>
        <v>-0.2083925540118553</v>
      </c>
      <c r="K32" s="81">
        <f t="shared" si="7"/>
        <v>0.37438822522607995</v>
      </c>
    </row>
    <row r="33" spans="1:12" ht="15">
      <c r="A33" s="446"/>
      <c r="B33" s="446"/>
      <c r="C33" s="446"/>
      <c r="D33" s="446"/>
      <c r="E33" s="446"/>
      <c r="F33" s="446"/>
      <c r="G33" s="446"/>
      <c r="H33" s="446"/>
      <c r="I33" s="446"/>
      <c r="J33" s="446"/>
      <c r="K33" s="446"/>
    </row>
    <row r="34" spans="1:12" ht="15">
      <c r="A34" s="46"/>
      <c r="B34" s="46"/>
      <c r="C34" s="46"/>
      <c r="D34" s="46"/>
      <c r="E34" s="46"/>
      <c r="F34" s="46"/>
      <c r="G34" s="46"/>
      <c r="H34" s="46"/>
      <c r="I34" s="45"/>
      <c r="J34" s="45"/>
    </row>
    <row r="35" spans="1:12" s="16" customFormat="1" ht="18" hidden="1" customHeight="1">
      <c r="A35" s="48" t="s">
        <v>168</v>
      </c>
      <c r="B35" s="53"/>
      <c r="C35" s="53"/>
      <c r="D35" s="53"/>
      <c r="E35" s="53"/>
      <c r="F35" s="53"/>
      <c r="G35" s="53"/>
      <c r="H35" s="53"/>
      <c r="I35" s="53"/>
      <c r="J35" s="53"/>
    </row>
    <row r="36" spans="1:12" s="16" customFormat="1" ht="15">
      <c r="A36" s="83" t="s">
        <v>169</v>
      </c>
      <c r="B36" s="53"/>
      <c r="C36" s="53"/>
      <c r="D36" s="53"/>
      <c r="E36" s="53"/>
      <c r="F36" s="53"/>
      <c r="G36" s="53"/>
      <c r="H36" s="53"/>
      <c r="I36" s="53"/>
      <c r="J36" s="53"/>
    </row>
    <row r="37" spans="1:12" ht="15">
      <c r="A37" s="48" t="s">
        <v>731</v>
      </c>
      <c r="B37" s="59"/>
      <c r="C37" s="59"/>
      <c r="D37" s="59"/>
      <c r="E37" s="59"/>
      <c r="F37" s="59"/>
      <c r="G37" s="59"/>
      <c r="H37" s="59"/>
      <c r="I37" s="45"/>
      <c r="J37" s="45"/>
    </row>
    <row r="38" spans="1:12" ht="15">
      <c r="A38" s="48" t="s">
        <v>170</v>
      </c>
      <c r="B38" s="59"/>
      <c r="C38" s="59"/>
      <c r="D38" s="59"/>
      <c r="E38" s="59"/>
      <c r="F38" s="59"/>
      <c r="G38" s="59"/>
      <c r="H38" s="59"/>
      <c r="I38" s="45"/>
      <c r="J38" s="45"/>
    </row>
    <row r="39" spans="1:12" ht="15">
      <c r="A39" s="48" t="s">
        <v>932</v>
      </c>
      <c r="B39" s="59"/>
      <c r="C39" s="59"/>
      <c r="D39" s="59"/>
      <c r="E39" s="59"/>
      <c r="F39" s="59"/>
      <c r="G39" s="59"/>
      <c r="H39" s="59"/>
      <c r="I39" s="45"/>
      <c r="J39" s="45"/>
    </row>
    <row r="40" spans="1:12" ht="15">
      <c r="A40" s="48" t="s">
        <v>933</v>
      </c>
      <c r="B40" s="59"/>
      <c r="C40" s="59"/>
      <c r="D40" s="59"/>
      <c r="E40" s="59"/>
      <c r="F40" s="59"/>
      <c r="G40" s="59"/>
      <c r="H40" s="59"/>
      <c r="I40" s="45"/>
      <c r="J40" s="45"/>
    </row>
    <row r="41" spans="1:12" ht="15">
      <c r="A41" s="48"/>
      <c r="B41" s="45"/>
      <c r="C41" s="45"/>
      <c r="D41" s="45"/>
      <c r="E41" s="45"/>
      <c r="F41" s="45"/>
      <c r="G41" s="45"/>
      <c r="H41" s="45"/>
      <c r="I41" s="45"/>
      <c r="J41" s="45"/>
    </row>
    <row r="42" spans="1:12" ht="15">
      <c r="A42" s="48"/>
      <c r="B42" s="45"/>
      <c r="C42" s="45"/>
      <c r="D42" s="45"/>
      <c r="E42" s="45"/>
      <c r="F42" s="45"/>
      <c r="G42" s="45"/>
      <c r="H42" s="45"/>
      <c r="I42" s="45"/>
      <c r="J42" s="45"/>
    </row>
    <row r="43" spans="1:12" ht="15">
      <c r="A43" s="48"/>
      <c r="B43" s="45"/>
      <c r="C43" s="45"/>
      <c r="D43" s="45"/>
      <c r="E43" s="45"/>
      <c r="F43" s="45"/>
      <c r="G43" s="45"/>
      <c r="H43" s="45"/>
      <c r="I43" s="45"/>
      <c r="J43" s="45"/>
    </row>
    <row r="44" spans="1:12" ht="27.75" customHeight="1">
      <c r="A44" s="572"/>
      <c r="B44" s="572"/>
      <c r="C44" s="572"/>
      <c r="D44" s="572"/>
      <c r="E44" s="572"/>
      <c r="F44" s="572"/>
      <c r="G44" s="572"/>
      <c r="H44" s="572"/>
      <c r="I44" s="572"/>
      <c r="J44" s="572"/>
      <c r="K44" s="572"/>
      <c r="L44" s="572"/>
    </row>
    <row r="45" spans="1:12" ht="15">
      <c r="A45" s="48"/>
      <c r="B45" s="45"/>
      <c r="C45" s="45"/>
      <c r="D45" s="45"/>
      <c r="E45" s="45"/>
      <c r="F45" s="45"/>
      <c r="G45" s="45"/>
      <c r="H45" s="45"/>
      <c r="I45" s="45"/>
      <c r="J45" s="45"/>
    </row>
    <row r="46" spans="1:12" ht="15">
      <c r="A46" s="45"/>
      <c r="B46" s="45"/>
      <c r="C46" s="45"/>
      <c r="D46" s="45"/>
      <c r="E46" s="45"/>
      <c r="F46" s="45"/>
      <c r="G46" s="45"/>
      <c r="H46" s="45"/>
      <c r="I46" s="45"/>
      <c r="J46" s="45"/>
    </row>
    <row r="47" spans="1:12" ht="15">
      <c r="A47" s="45"/>
      <c r="B47" s="45"/>
      <c r="C47" s="45"/>
      <c r="D47" s="45"/>
      <c r="E47" s="45"/>
      <c r="F47" s="45"/>
      <c r="G47" s="45"/>
      <c r="H47" s="45"/>
      <c r="I47" s="45"/>
      <c r="J47" s="45"/>
    </row>
    <row r="48" spans="1:12" ht="15">
      <c r="A48" s="45"/>
      <c r="B48" s="45"/>
      <c r="C48" s="45"/>
      <c r="D48" s="45"/>
      <c r="E48" s="45"/>
      <c r="F48" s="45"/>
      <c r="G48" s="45"/>
      <c r="H48" s="45"/>
      <c r="I48" s="45"/>
      <c r="J48" s="45"/>
    </row>
    <row r="49" spans="1:10" ht="15">
      <c r="A49" s="45"/>
      <c r="B49" s="45"/>
      <c r="C49" s="45"/>
      <c r="D49" s="45"/>
      <c r="E49" s="45"/>
      <c r="F49" s="45"/>
      <c r="G49" s="45"/>
      <c r="H49" s="45"/>
      <c r="I49" s="45"/>
      <c r="J49" s="45"/>
    </row>
    <row r="50" spans="1:10" ht="15">
      <c r="A50" s="45"/>
      <c r="B50" s="45"/>
      <c r="C50" s="45"/>
      <c r="D50" s="45"/>
      <c r="E50" s="45"/>
      <c r="F50" s="45"/>
      <c r="G50" s="45"/>
      <c r="H50" s="45"/>
      <c r="I50" s="45"/>
      <c r="J50" s="45"/>
    </row>
    <row r="51" spans="1:10" ht="15">
      <c r="A51" s="45"/>
      <c r="B51" s="45"/>
      <c r="C51" s="45"/>
      <c r="D51" s="45"/>
      <c r="E51" s="45"/>
      <c r="F51" s="45"/>
      <c r="G51" s="45"/>
      <c r="H51" s="45"/>
      <c r="I51" s="45"/>
      <c r="J51" s="45"/>
    </row>
    <row r="52" spans="1:10" ht="15">
      <c r="A52" s="45"/>
      <c r="B52" s="45"/>
      <c r="C52" s="45"/>
      <c r="D52" s="45"/>
      <c r="E52" s="45"/>
      <c r="F52" s="45"/>
      <c r="G52" s="45"/>
      <c r="H52" s="45"/>
      <c r="I52" s="45"/>
      <c r="J52" s="45"/>
    </row>
    <row r="53" spans="1:10" ht="15">
      <c r="A53" s="45"/>
      <c r="B53" s="45"/>
      <c r="C53" s="45"/>
      <c r="D53" s="45"/>
      <c r="E53" s="45"/>
      <c r="F53" s="45"/>
      <c r="G53" s="45"/>
      <c r="H53" s="45"/>
      <c r="I53" s="45"/>
      <c r="J53" s="45"/>
    </row>
    <row r="54" spans="1:10" ht="15">
      <c r="A54" s="45"/>
      <c r="B54" s="45"/>
      <c r="C54" s="45"/>
      <c r="D54" s="45"/>
      <c r="E54" s="45"/>
      <c r="F54" s="45"/>
      <c r="G54" s="45"/>
      <c r="H54" s="45"/>
      <c r="I54" s="45"/>
      <c r="J54" s="45"/>
    </row>
  </sheetData>
  <mergeCells count="1">
    <mergeCell ref="A44:L44"/>
  </mergeCells>
  <pageMargins left="0.23622047244094491" right="0.23622047244094491" top="0.74803149606299213" bottom="0.74803149606299213" header="0.31496062992125984" footer="0.31496062992125984"/>
  <pageSetup paperSize="9" scale="90" orientation="portrait" r:id="rId1"/>
  <ignoredErrors>
    <ignoredError sqref="F4:G4 H4:I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92D050"/>
    <pageSetUpPr fitToPage="1"/>
  </sheetPr>
  <dimension ref="A1:J23"/>
  <sheetViews>
    <sheetView workbookViewId="0"/>
  </sheetViews>
  <sheetFormatPr baseColWidth="10" defaultRowHeight="12.75"/>
  <cols>
    <col min="1" max="1" width="21.140625" style="122" customWidth="1"/>
    <col min="2" max="6" width="7.42578125" style="122" bestFit="1" customWidth="1"/>
    <col min="7" max="7" width="8.85546875" style="122" bestFit="1" customWidth="1"/>
    <col min="8" max="8" width="7.5703125" style="122" bestFit="1" customWidth="1"/>
    <col min="9" max="9" width="7.5703125" style="122" customWidth="1"/>
    <col min="10" max="10" width="7.42578125" style="122" customWidth="1"/>
    <col min="11" max="232" width="11.42578125" style="122"/>
    <col min="233" max="233" width="30.28515625" style="122" customWidth="1"/>
    <col min="234" max="240" width="0" style="122" hidden="1" customWidth="1"/>
    <col min="241" max="244" width="7.42578125" style="122" bestFit="1" customWidth="1"/>
    <col min="245" max="251" width="8.5703125" style="122" bestFit="1" customWidth="1"/>
    <col min="252" max="488" width="11.42578125" style="122"/>
    <col min="489" max="489" width="30.28515625" style="122" customWidth="1"/>
    <col min="490" max="496" width="0" style="122" hidden="1" customWidth="1"/>
    <col min="497" max="500" width="7.42578125" style="122" bestFit="1" customWidth="1"/>
    <col min="501" max="507" width="8.5703125" style="122" bestFit="1" customWidth="1"/>
    <col min="508" max="744" width="11.42578125" style="122"/>
    <col min="745" max="745" width="30.28515625" style="122" customWidth="1"/>
    <col min="746" max="752" width="0" style="122" hidden="1" customWidth="1"/>
    <col min="753" max="756" width="7.42578125" style="122" bestFit="1" customWidth="1"/>
    <col min="757" max="763" width="8.5703125" style="122" bestFit="1" customWidth="1"/>
    <col min="764" max="1000" width="11.42578125" style="122"/>
    <col min="1001" max="1001" width="30.28515625" style="122" customWidth="1"/>
    <col min="1002" max="1008" width="0" style="122" hidden="1" customWidth="1"/>
    <col min="1009" max="1012" width="7.42578125" style="122" bestFit="1" customWidth="1"/>
    <col min="1013" max="1019" width="8.5703125" style="122" bestFit="1" customWidth="1"/>
    <col min="1020" max="1256" width="11.42578125" style="122"/>
    <col min="1257" max="1257" width="30.28515625" style="122" customWidth="1"/>
    <col min="1258" max="1264" width="0" style="122" hidden="1" customWidth="1"/>
    <col min="1265" max="1268" width="7.42578125" style="122" bestFit="1" customWidth="1"/>
    <col min="1269" max="1275" width="8.5703125" style="122" bestFit="1" customWidth="1"/>
    <col min="1276" max="1512" width="11.42578125" style="122"/>
    <col min="1513" max="1513" width="30.28515625" style="122" customWidth="1"/>
    <col min="1514" max="1520" width="0" style="122" hidden="1" customWidth="1"/>
    <col min="1521" max="1524" width="7.42578125" style="122" bestFit="1" customWidth="1"/>
    <col min="1525" max="1531" width="8.5703125" style="122" bestFit="1" customWidth="1"/>
    <col min="1532" max="1768" width="11.42578125" style="122"/>
    <col min="1769" max="1769" width="30.28515625" style="122" customWidth="1"/>
    <col min="1770" max="1776" width="0" style="122" hidden="1" customWidth="1"/>
    <col min="1777" max="1780" width="7.42578125" style="122" bestFit="1" customWidth="1"/>
    <col min="1781" max="1787" width="8.5703125" style="122" bestFit="1" customWidth="1"/>
    <col min="1788" max="2024" width="11.42578125" style="122"/>
    <col min="2025" max="2025" width="30.28515625" style="122" customWidth="1"/>
    <col min="2026" max="2032" width="0" style="122" hidden="1" customWidth="1"/>
    <col min="2033" max="2036" width="7.42578125" style="122" bestFit="1" customWidth="1"/>
    <col min="2037" max="2043" width="8.5703125" style="122" bestFit="1" customWidth="1"/>
    <col min="2044" max="2280" width="11.42578125" style="122"/>
    <col min="2281" max="2281" width="30.28515625" style="122" customWidth="1"/>
    <col min="2282" max="2288" width="0" style="122" hidden="1" customWidth="1"/>
    <col min="2289" max="2292" width="7.42578125" style="122" bestFit="1" customWidth="1"/>
    <col min="2293" max="2299" width="8.5703125" style="122" bestFit="1" customWidth="1"/>
    <col min="2300" max="2536" width="11.42578125" style="122"/>
    <col min="2537" max="2537" width="30.28515625" style="122" customWidth="1"/>
    <col min="2538" max="2544" width="0" style="122" hidden="1" customWidth="1"/>
    <col min="2545" max="2548" width="7.42578125" style="122" bestFit="1" customWidth="1"/>
    <col min="2549" max="2555" width="8.5703125" style="122" bestFit="1" customWidth="1"/>
    <col min="2556" max="2792" width="11.42578125" style="122"/>
    <col min="2793" max="2793" width="30.28515625" style="122" customWidth="1"/>
    <col min="2794" max="2800" width="0" style="122" hidden="1" customWidth="1"/>
    <col min="2801" max="2804" width="7.42578125" style="122" bestFit="1" customWidth="1"/>
    <col min="2805" max="2811" width="8.5703125" style="122" bestFit="1" customWidth="1"/>
    <col min="2812" max="3048" width="11.42578125" style="122"/>
    <col min="3049" max="3049" width="30.28515625" style="122" customWidth="1"/>
    <col min="3050" max="3056" width="0" style="122" hidden="1" customWidth="1"/>
    <col min="3057" max="3060" width="7.42578125" style="122" bestFit="1" customWidth="1"/>
    <col min="3061" max="3067" width="8.5703125" style="122" bestFit="1" customWidth="1"/>
    <col min="3068" max="3304" width="11.42578125" style="122"/>
    <col min="3305" max="3305" width="30.28515625" style="122" customWidth="1"/>
    <col min="3306" max="3312" width="0" style="122" hidden="1" customWidth="1"/>
    <col min="3313" max="3316" width="7.42578125" style="122" bestFit="1" customWidth="1"/>
    <col min="3317" max="3323" width="8.5703125" style="122" bestFit="1" customWidth="1"/>
    <col min="3324" max="3560" width="11.42578125" style="122"/>
    <col min="3561" max="3561" width="30.28515625" style="122" customWidth="1"/>
    <col min="3562" max="3568" width="0" style="122" hidden="1" customWidth="1"/>
    <col min="3569" max="3572" width="7.42578125" style="122" bestFit="1" customWidth="1"/>
    <col min="3573" max="3579" width="8.5703125" style="122" bestFit="1" customWidth="1"/>
    <col min="3580" max="3816" width="11.42578125" style="122"/>
    <col min="3817" max="3817" width="30.28515625" style="122" customWidth="1"/>
    <col min="3818" max="3824" width="0" style="122" hidden="1" customWidth="1"/>
    <col min="3825" max="3828" width="7.42578125" style="122" bestFit="1" customWidth="1"/>
    <col min="3829" max="3835" width="8.5703125" style="122" bestFit="1" customWidth="1"/>
    <col min="3836" max="4072" width="11.42578125" style="122"/>
    <col min="4073" max="4073" width="30.28515625" style="122" customWidth="1"/>
    <col min="4074" max="4080" width="0" style="122" hidden="1" customWidth="1"/>
    <col min="4081" max="4084" width="7.42578125" style="122" bestFit="1" customWidth="1"/>
    <col min="4085" max="4091" width="8.5703125" style="122" bestFit="1" customWidth="1"/>
    <col min="4092" max="4328" width="11.42578125" style="122"/>
    <col min="4329" max="4329" width="30.28515625" style="122" customWidth="1"/>
    <col min="4330" max="4336" width="0" style="122" hidden="1" customWidth="1"/>
    <col min="4337" max="4340" width="7.42578125" style="122" bestFit="1" customWidth="1"/>
    <col min="4341" max="4347" width="8.5703125" style="122" bestFit="1" customWidth="1"/>
    <col min="4348" max="4584" width="11.42578125" style="122"/>
    <col min="4585" max="4585" width="30.28515625" style="122" customWidth="1"/>
    <col min="4586" max="4592" width="0" style="122" hidden="1" customWidth="1"/>
    <col min="4593" max="4596" width="7.42578125" style="122" bestFit="1" customWidth="1"/>
    <col min="4597" max="4603" width="8.5703125" style="122" bestFit="1" customWidth="1"/>
    <col min="4604" max="4840" width="11.42578125" style="122"/>
    <col min="4841" max="4841" width="30.28515625" style="122" customWidth="1"/>
    <col min="4842" max="4848" width="0" style="122" hidden="1" customWidth="1"/>
    <col min="4849" max="4852" width="7.42578125" style="122" bestFit="1" customWidth="1"/>
    <col min="4853" max="4859" width="8.5703125" style="122" bestFit="1" customWidth="1"/>
    <col min="4860" max="5096" width="11.42578125" style="122"/>
    <col min="5097" max="5097" width="30.28515625" style="122" customWidth="1"/>
    <col min="5098" max="5104" width="0" style="122" hidden="1" customWidth="1"/>
    <col min="5105" max="5108" width="7.42578125" style="122" bestFit="1" customWidth="1"/>
    <col min="5109" max="5115" width="8.5703125" style="122" bestFit="1" customWidth="1"/>
    <col min="5116" max="5352" width="11.42578125" style="122"/>
    <col min="5353" max="5353" width="30.28515625" style="122" customWidth="1"/>
    <col min="5354" max="5360" width="0" style="122" hidden="1" customWidth="1"/>
    <col min="5361" max="5364" width="7.42578125" style="122" bestFit="1" customWidth="1"/>
    <col min="5365" max="5371" width="8.5703125" style="122" bestFit="1" customWidth="1"/>
    <col min="5372" max="5608" width="11.42578125" style="122"/>
    <col min="5609" max="5609" width="30.28515625" style="122" customWidth="1"/>
    <col min="5610" max="5616" width="0" style="122" hidden="1" customWidth="1"/>
    <col min="5617" max="5620" width="7.42578125" style="122" bestFit="1" customWidth="1"/>
    <col min="5621" max="5627" width="8.5703125" style="122" bestFit="1" customWidth="1"/>
    <col min="5628" max="5864" width="11.42578125" style="122"/>
    <col min="5865" max="5865" width="30.28515625" style="122" customWidth="1"/>
    <col min="5866" max="5872" width="0" style="122" hidden="1" customWidth="1"/>
    <col min="5873" max="5876" width="7.42578125" style="122" bestFit="1" customWidth="1"/>
    <col min="5877" max="5883" width="8.5703125" style="122" bestFit="1" customWidth="1"/>
    <col min="5884" max="6120" width="11.42578125" style="122"/>
    <col min="6121" max="6121" width="30.28515625" style="122" customWidth="1"/>
    <col min="6122" max="6128" width="0" style="122" hidden="1" customWidth="1"/>
    <col min="6129" max="6132" width="7.42578125" style="122" bestFit="1" customWidth="1"/>
    <col min="6133" max="6139" width="8.5703125" style="122" bestFit="1" customWidth="1"/>
    <col min="6140" max="6376" width="11.42578125" style="122"/>
    <col min="6377" max="6377" width="30.28515625" style="122" customWidth="1"/>
    <col min="6378" max="6384" width="0" style="122" hidden="1" customWidth="1"/>
    <col min="6385" max="6388" width="7.42578125" style="122" bestFit="1" customWidth="1"/>
    <col min="6389" max="6395" width="8.5703125" style="122" bestFit="1" customWidth="1"/>
    <col min="6396" max="6632" width="11.42578125" style="122"/>
    <col min="6633" max="6633" width="30.28515625" style="122" customWidth="1"/>
    <col min="6634" max="6640" width="0" style="122" hidden="1" customWidth="1"/>
    <col min="6641" max="6644" width="7.42578125" style="122" bestFit="1" customWidth="1"/>
    <col min="6645" max="6651" width="8.5703125" style="122" bestFit="1" customWidth="1"/>
    <col min="6652" max="6888" width="11.42578125" style="122"/>
    <col min="6889" max="6889" width="30.28515625" style="122" customWidth="1"/>
    <col min="6890" max="6896" width="0" style="122" hidden="1" customWidth="1"/>
    <col min="6897" max="6900" width="7.42578125" style="122" bestFit="1" customWidth="1"/>
    <col min="6901" max="6907" width="8.5703125" style="122" bestFit="1" customWidth="1"/>
    <col min="6908" max="7144" width="11.42578125" style="122"/>
    <col min="7145" max="7145" width="30.28515625" style="122" customWidth="1"/>
    <col min="7146" max="7152" width="0" style="122" hidden="1" customWidth="1"/>
    <col min="7153" max="7156" width="7.42578125" style="122" bestFit="1" customWidth="1"/>
    <col min="7157" max="7163" width="8.5703125" style="122" bestFit="1" customWidth="1"/>
    <col min="7164" max="7400" width="11.42578125" style="122"/>
    <col min="7401" max="7401" width="30.28515625" style="122" customWidth="1"/>
    <col min="7402" max="7408" width="0" style="122" hidden="1" customWidth="1"/>
    <col min="7409" max="7412" width="7.42578125" style="122" bestFit="1" customWidth="1"/>
    <col min="7413" max="7419" width="8.5703125" style="122" bestFit="1" customWidth="1"/>
    <col min="7420" max="7656" width="11.42578125" style="122"/>
    <col min="7657" max="7657" width="30.28515625" style="122" customWidth="1"/>
    <col min="7658" max="7664" width="0" style="122" hidden="1" customWidth="1"/>
    <col min="7665" max="7668" width="7.42578125" style="122" bestFit="1" customWidth="1"/>
    <col min="7669" max="7675" width="8.5703125" style="122" bestFit="1" customWidth="1"/>
    <col min="7676" max="7912" width="11.42578125" style="122"/>
    <col min="7913" max="7913" width="30.28515625" style="122" customWidth="1"/>
    <col min="7914" max="7920" width="0" style="122" hidden="1" customWidth="1"/>
    <col min="7921" max="7924" width="7.42578125" style="122" bestFit="1" customWidth="1"/>
    <col min="7925" max="7931" width="8.5703125" style="122" bestFit="1" customWidth="1"/>
    <col min="7932" max="8168" width="11.42578125" style="122"/>
    <col min="8169" max="8169" width="30.28515625" style="122" customWidth="1"/>
    <col min="8170" max="8176" width="0" style="122" hidden="1" customWidth="1"/>
    <col min="8177" max="8180" width="7.42578125" style="122" bestFit="1" customWidth="1"/>
    <col min="8181" max="8187" width="8.5703125" style="122" bestFit="1" customWidth="1"/>
    <col min="8188" max="8424" width="11.42578125" style="122"/>
    <col min="8425" max="8425" width="30.28515625" style="122" customWidth="1"/>
    <col min="8426" max="8432" width="0" style="122" hidden="1" customWidth="1"/>
    <col min="8433" max="8436" width="7.42578125" style="122" bestFit="1" customWidth="1"/>
    <col min="8437" max="8443" width="8.5703125" style="122" bestFit="1" customWidth="1"/>
    <col min="8444" max="8680" width="11.42578125" style="122"/>
    <col min="8681" max="8681" width="30.28515625" style="122" customWidth="1"/>
    <col min="8682" max="8688" width="0" style="122" hidden="1" customWidth="1"/>
    <col min="8689" max="8692" width="7.42578125" style="122" bestFit="1" customWidth="1"/>
    <col min="8693" max="8699" width="8.5703125" style="122" bestFit="1" customWidth="1"/>
    <col min="8700" max="8936" width="11.42578125" style="122"/>
    <col min="8937" max="8937" width="30.28515625" style="122" customWidth="1"/>
    <col min="8938" max="8944" width="0" style="122" hidden="1" customWidth="1"/>
    <col min="8945" max="8948" width="7.42578125" style="122" bestFit="1" customWidth="1"/>
    <col min="8949" max="8955" width="8.5703125" style="122" bestFit="1" customWidth="1"/>
    <col min="8956" max="9192" width="11.42578125" style="122"/>
    <col min="9193" max="9193" width="30.28515625" style="122" customWidth="1"/>
    <col min="9194" max="9200" width="0" style="122" hidden="1" customWidth="1"/>
    <col min="9201" max="9204" width="7.42578125" style="122" bestFit="1" customWidth="1"/>
    <col min="9205" max="9211" width="8.5703125" style="122" bestFit="1" customWidth="1"/>
    <col min="9212" max="9448" width="11.42578125" style="122"/>
    <col min="9449" max="9449" width="30.28515625" style="122" customWidth="1"/>
    <col min="9450" max="9456" width="0" style="122" hidden="1" customWidth="1"/>
    <col min="9457" max="9460" width="7.42578125" style="122" bestFit="1" customWidth="1"/>
    <col min="9461" max="9467" width="8.5703125" style="122" bestFit="1" customWidth="1"/>
    <col min="9468" max="9704" width="11.42578125" style="122"/>
    <col min="9705" max="9705" width="30.28515625" style="122" customWidth="1"/>
    <col min="9706" max="9712" width="0" style="122" hidden="1" customWidth="1"/>
    <col min="9713" max="9716" width="7.42578125" style="122" bestFit="1" customWidth="1"/>
    <col min="9717" max="9723" width="8.5703125" style="122" bestFit="1" customWidth="1"/>
    <col min="9724" max="9960" width="11.42578125" style="122"/>
    <col min="9961" max="9961" width="30.28515625" style="122" customWidth="1"/>
    <col min="9962" max="9968" width="0" style="122" hidden="1" customWidth="1"/>
    <col min="9969" max="9972" width="7.42578125" style="122" bestFit="1" customWidth="1"/>
    <col min="9973" max="9979" width="8.5703125" style="122" bestFit="1" customWidth="1"/>
    <col min="9980" max="10216" width="11.42578125" style="122"/>
    <col min="10217" max="10217" width="30.28515625" style="122" customWidth="1"/>
    <col min="10218" max="10224" width="0" style="122" hidden="1" customWidth="1"/>
    <col min="10225" max="10228" width="7.42578125" style="122" bestFit="1" customWidth="1"/>
    <col min="10229" max="10235" width="8.5703125" style="122" bestFit="1" customWidth="1"/>
    <col min="10236" max="10472" width="11.42578125" style="122"/>
    <col min="10473" max="10473" width="30.28515625" style="122" customWidth="1"/>
    <col min="10474" max="10480" width="0" style="122" hidden="1" customWidth="1"/>
    <col min="10481" max="10484" width="7.42578125" style="122" bestFit="1" customWidth="1"/>
    <col min="10485" max="10491" width="8.5703125" style="122" bestFit="1" customWidth="1"/>
    <col min="10492" max="10728" width="11.42578125" style="122"/>
    <col min="10729" max="10729" width="30.28515625" style="122" customWidth="1"/>
    <col min="10730" max="10736" width="0" style="122" hidden="1" customWidth="1"/>
    <col min="10737" max="10740" width="7.42578125" style="122" bestFit="1" customWidth="1"/>
    <col min="10741" max="10747" width="8.5703125" style="122" bestFit="1" customWidth="1"/>
    <col min="10748" max="10984" width="11.42578125" style="122"/>
    <col min="10985" max="10985" width="30.28515625" style="122" customWidth="1"/>
    <col min="10986" max="10992" width="0" style="122" hidden="1" customWidth="1"/>
    <col min="10993" max="10996" width="7.42578125" style="122" bestFit="1" customWidth="1"/>
    <col min="10997" max="11003" width="8.5703125" style="122" bestFit="1" customWidth="1"/>
    <col min="11004" max="11240" width="11.42578125" style="122"/>
    <col min="11241" max="11241" width="30.28515625" style="122" customWidth="1"/>
    <col min="11242" max="11248" width="0" style="122" hidden="1" customWidth="1"/>
    <col min="11249" max="11252" width="7.42578125" style="122" bestFit="1" customWidth="1"/>
    <col min="11253" max="11259" width="8.5703125" style="122" bestFit="1" customWidth="1"/>
    <col min="11260" max="11496" width="11.42578125" style="122"/>
    <col min="11497" max="11497" width="30.28515625" style="122" customWidth="1"/>
    <col min="11498" max="11504" width="0" style="122" hidden="1" customWidth="1"/>
    <col min="11505" max="11508" width="7.42578125" style="122" bestFit="1" customWidth="1"/>
    <col min="11509" max="11515" width="8.5703125" style="122" bestFit="1" customWidth="1"/>
    <col min="11516" max="11752" width="11.42578125" style="122"/>
    <col min="11753" max="11753" width="30.28515625" style="122" customWidth="1"/>
    <col min="11754" max="11760" width="0" style="122" hidden="1" customWidth="1"/>
    <col min="11761" max="11764" width="7.42578125" style="122" bestFit="1" customWidth="1"/>
    <col min="11765" max="11771" width="8.5703125" style="122" bestFit="1" customWidth="1"/>
    <col min="11772" max="12008" width="11.42578125" style="122"/>
    <col min="12009" max="12009" width="30.28515625" style="122" customWidth="1"/>
    <col min="12010" max="12016" width="0" style="122" hidden="1" customWidth="1"/>
    <col min="12017" max="12020" width="7.42578125" style="122" bestFit="1" customWidth="1"/>
    <col min="12021" max="12027" width="8.5703125" style="122" bestFit="1" customWidth="1"/>
    <col min="12028" max="12264" width="11.42578125" style="122"/>
    <col min="12265" max="12265" width="30.28515625" style="122" customWidth="1"/>
    <col min="12266" max="12272" width="0" style="122" hidden="1" customWidth="1"/>
    <col min="12273" max="12276" width="7.42578125" style="122" bestFit="1" customWidth="1"/>
    <col min="12277" max="12283" width="8.5703125" style="122" bestFit="1" customWidth="1"/>
    <col min="12284" max="12520" width="11.42578125" style="122"/>
    <col min="12521" max="12521" width="30.28515625" style="122" customWidth="1"/>
    <col min="12522" max="12528" width="0" style="122" hidden="1" customWidth="1"/>
    <col min="12529" max="12532" width="7.42578125" style="122" bestFit="1" customWidth="1"/>
    <col min="12533" max="12539" width="8.5703125" style="122" bestFit="1" customWidth="1"/>
    <col min="12540" max="12776" width="11.42578125" style="122"/>
    <col min="12777" max="12777" width="30.28515625" style="122" customWidth="1"/>
    <col min="12778" max="12784" width="0" style="122" hidden="1" customWidth="1"/>
    <col min="12785" max="12788" width="7.42578125" style="122" bestFit="1" customWidth="1"/>
    <col min="12789" max="12795" width="8.5703125" style="122" bestFit="1" customWidth="1"/>
    <col min="12796" max="13032" width="11.42578125" style="122"/>
    <col min="13033" max="13033" width="30.28515625" style="122" customWidth="1"/>
    <col min="13034" max="13040" width="0" style="122" hidden="1" customWidth="1"/>
    <col min="13041" max="13044" width="7.42578125" style="122" bestFit="1" customWidth="1"/>
    <col min="13045" max="13051" width="8.5703125" style="122" bestFit="1" customWidth="1"/>
    <col min="13052" max="13288" width="11.42578125" style="122"/>
    <col min="13289" max="13289" width="30.28515625" style="122" customWidth="1"/>
    <col min="13290" max="13296" width="0" style="122" hidden="1" customWidth="1"/>
    <col min="13297" max="13300" width="7.42578125" style="122" bestFit="1" customWidth="1"/>
    <col min="13301" max="13307" width="8.5703125" style="122" bestFit="1" customWidth="1"/>
    <col min="13308" max="13544" width="11.42578125" style="122"/>
    <col min="13545" max="13545" width="30.28515625" style="122" customWidth="1"/>
    <col min="13546" max="13552" width="0" style="122" hidden="1" customWidth="1"/>
    <col min="13553" max="13556" width="7.42578125" style="122" bestFit="1" customWidth="1"/>
    <col min="13557" max="13563" width="8.5703125" style="122" bestFit="1" customWidth="1"/>
    <col min="13564" max="13800" width="11.42578125" style="122"/>
    <col min="13801" max="13801" width="30.28515625" style="122" customWidth="1"/>
    <col min="13802" max="13808" width="0" style="122" hidden="1" customWidth="1"/>
    <col min="13809" max="13812" width="7.42578125" style="122" bestFit="1" customWidth="1"/>
    <col min="13813" max="13819" width="8.5703125" style="122" bestFit="1" customWidth="1"/>
    <col min="13820" max="14056" width="11.42578125" style="122"/>
    <col min="14057" max="14057" width="30.28515625" style="122" customWidth="1"/>
    <col min="14058" max="14064" width="0" style="122" hidden="1" customWidth="1"/>
    <col min="14065" max="14068" width="7.42578125" style="122" bestFit="1" customWidth="1"/>
    <col min="14069" max="14075" width="8.5703125" style="122" bestFit="1" customWidth="1"/>
    <col min="14076" max="14312" width="11.42578125" style="122"/>
    <col min="14313" max="14313" width="30.28515625" style="122" customWidth="1"/>
    <col min="14314" max="14320" width="0" style="122" hidden="1" customWidth="1"/>
    <col min="14321" max="14324" width="7.42578125" style="122" bestFit="1" customWidth="1"/>
    <col min="14325" max="14331" width="8.5703125" style="122" bestFit="1" customWidth="1"/>
    <col min="14332" max="14568" width="11.42578125" style="122"/>
    <col min="14569" max="14569" width="30.28515625" style="122" customWidth="1"/>
    <col min="14570" max="14576" width="0" style="122" hidden="1" customWidth="1"/>
    <col min="14577" max="14580" width="7.42578125" style="122" bestFit="1" customWidth="1"/>
    <col min="14581" max="14587" width="8.5703125" style="122" bestFit="1" customWidth="1"/>
    <col min="14588" max="14824" width="11.42578125" style="122"/>
    <col min="14825" max="14825" width="30.28515625" style="122" customWidth="1"/>
    <col min="14826" max="14832" width="0" style="122" hidden="1" customWidth="1"/>
    <col min="14833" max="14836" width="7.42578125" style="122" bestFit="1" customWidth="1"/>
    <col min="14837" max="14843" width="8.5703125" style="122" bestFit="1" customWidth="1"/>
    <col min="14844" max="15080" width="11.42578125" style="122"/>
    <col min="15081" max="15081" width="30.28515625" style="122" customWidth="1"/>
    <col min="15082" max="15088" width="0" style="122" hidden="1" customWidth="1"/>
    <col min="15089" max="15092" width="7.42578125" style="122" bestFit="1" customWidth="1"/>
    <col min="15093" max="15099" width="8.5703125" style="122" bestFit="1" customWidth="1"/>
    <col min="15100" max="15336" width="11.42578125" style="122"/>
    <col min="15337" max="15337" width="30.28515625" style="122" customWidth="1"/>
    <col min="15338" max="15344" width="0" style="122" hidden="1" customWidth="1"/>
    <col min="15345" max="15348" width="7.42578125" style="122" bestFit="1" customWidth="1"/>
    <col min="15349" max="15355" width="8.5703125" style="122" bestFit="1" customWidth="1"/>
    <col min="15356" max="15592" width="11.42578125" style="122"/>
    <col min="15593" max="15593" width="30.28515625" style="122" customWidth="1"/>
    <col min="15594" max="15600" width="0" style="122" hidden="1" customWidth="1"/>
    <col min="15601" max="15604" width="7.42578125" style="122" bestFit="1" customWidth="1"/>
    <col min="15605" max="15611" width="8.5703125" style="122" bestFit="1" customWidth="1"/>
    <col min="15612" max="15848" width="11.42578125" style="122"/>
    <col min="15849" max="15849" width="30.28515625" style="122" customWidth="1"/>
    <col min="15850" max="15856" width="0" style="122" hidden="1" customWidth="1"/>
    <col min="15857" max="15860" width="7.42578125" style="122" bestFit="1" customWidth="1"/>
    <col min="15861" max="15867" width="8.5703125" style="122" bestFit="1" customWidth="1"/>
    <col min="15868" max="16104" width="11.42578125" style="122"/>
    <col min="16105" max="16105" width="30.28515625" style="122" customWidth="1"/>
    <col min="16106" max="16112" width="0" style="122" hidden="1" customWidth="1"/>
    <col min="16113" max="16116" width="7.42578125" style="122" bestFit="1" customWidth="1"/>
    <col min="16117" max="16123" width="8.5703125" style="122" bestFit="1" customWidth="1"/>
    <col min="16124" max="16384" width="11.42578125" style="122"/>
  </cols>
  <sheetData>
    <row r="1" spans="1:10" s="27" customFormat="1" ht="15">
      <c r="A1" s="60" t="s">
        <v>996</v>
      </c>
      <c r="B1" s="26"/>
    </row>
    <row r="2" spans="1:10" s="30" customFormat="1" ht="14.25" customHeight="1">
      <c r="A2" s="61" t="s">
        <v>34</v>
      </c>
      <c r="B2" s="29"/>
    </row>
    <row r="3" spans="1:10" s="25" customFormat="1" ht="14.25">
      <c r="A3" s="82"/>
      <c r="B3" s="50"/>
    </row>
    <row r="4" spans="1:10" s="25" customFormat="1" ht="37.5" customHeight="1">
      <c r="A4" s="310"/>
      <c r="B4" s="311">
        <v>2008</v>
      </c>
      <c r="C4" s="311">
        <v>2009</v>
      </c>
      <c r="D4" s="311">
        <v>2010</v>
      </c>
      <c r="E4" s="311" t="s">
        <v>709</v>
      </c>
      <c r="F4" s="311" t="s">
        <v>610</v>
      </c>
      <c r="G4" s="311" t="s">
        <v>938</v>
      </c>
      <c r="H4" s="311" t="s">
        <v>937</v>
      </c>
      <c r="I4" s="311" t="s">
        <v>936</v>
      </c>
      <c r="J4" s="311" t="s">
        <v>1049</v>
      </c>
    </row>
    <row r="5" spans="1:10" s="378" customFormat="1" ht="23.25" customHeight="1">
      <c r="A5" s="340"/>
      <c r="B5" s="377"/>
      <c r="C5" s="377"/>
      <c r="D5" s="377"/>
      <c r="E5" s="377"/>
      <c r="F5" s="377"/>
      <c r="G5" s="110" t="s">
        <v>607</v>
      </c>
      <c r="H5" s="110" t="s">
        <v>607</v>
      </c>
      <c r="I5" s="110" t="s">
        <v>607</v>
      </c>
      <c r="J5" s="110" t="s">
        <v>607</v>
      </c>
    </row>
    <row r="6" spans="1:10" s="18" customFormat="1" ht="14.25">
      <c r="A6" s="96" t="s">
        <v>730</v>
      </c>
      <c r="B6" s="50"/>
      <c r="C6" s="50"/>
      <c r="D6" s="50"/>
      <c r="E6" s="50"/>
      <c r="F6" s="50"/>
      <c r="G6" s="50"/>
      <c r="H6" s="50"/>
      <c r="I6" s="50"/>
      <c r="J6" s="50"/>
    </row>
    <row r="7" spans="1:10" ht="14.25" customHeight="1">
      <c r="A7" s="132" t="s">
        <v>711</v>
      </c>
      <c r="B7" s="134">
        <v>27.51</v>
      </c>
      <c r="C7" s="134">
        <v>24.27</v>
      </c>
      <c r="D7" s="134">
        <v>22.84</v>
      </c>
      <c r="E7" s="134">
        <v>21.97</v>
      </c>
      <c r="F7" s="134">
        <v>22.99</v>
      </c>
      <c r="G7" s="134">
        <v>23.4</v>
      </c>
      <c r="H7" s="134">
        <v>22.67</v>
      </c>
      <c r="I7" s="134">
        <v>22.16</v>
      </c>
      <c r="J7" s="134">
        <v>22.16</v>
      </c>
    </row>
    <row r="8" spans="1:10" ht="14.25" customHeight="1">
      <c r="A8" s="132" t="s">
        <v>194</v>
      </c>
      <c r="B8" s="134">
        <v>2.27</v>
      </c>
      <c r="C8" s="134">
        <v>2.36</v>
      </c>
      <c r="D8" s="134">
        <v>2.35</v>
      </c>
      <c r="E8" s="134">
        <v>2.33</v>
      </c>
      <c r="F8" s="134">
        <v>2.38</v>
      </c>
      <c r="G8" s="134">
        <v>2.2599999999999998</v>
      </c>
      <c r="H8" s="134">
        <v>2.2200000000000002</v>
      </c>
      <c r="I8" s="134">
        <v>2.09</v>
      </c>
      <c r="J8" s="134">
        <v>2.0499999999999998</v>
      </c>
    </row>
    <row r="9" spans="1:10" ht="14.25" customHeight="1">
      <c r="A9" s="132" t="s">
        <v>713</v>
      </c>
      <c r="B9" s="134">
        <v>24.23</v>
      </c>
      <c r="C9" s="134">
        <v>21.8</v>
      </c>
      <c r="D9" s="134">
        <v>20.170000000000002</v>
      </c>
      <c r="E9" s="134">
        <v>20.56</v>
      </c>
      <c r="F9" s="134">
        <v>20.79</v>
      </c>
      <c r="G9" s="134">
        <v>22.1</v>
      </c>
      <c r="H9" s="134">
        <v>21.7</v>
      </c>
      <c r="I9" s="134">
        <v>21.22</v>
      </c>
      <c r="J9" s="134">
        <v>20.68</v>
      </c>
    </row>
    <row r="10" spans="1:10" ht="14.25" customHeight="1">
      <c r="A10" s="132" t="s">
        <v>732</v>
      </c>
      <c r="B10" s="134">
        <v>15.4</v>
      </c>
      <c r="C10" s="134">
        <v>13.15</v>
      </c>
      <c r="D10" s="134">
        <v>13.51</v>
      </c>
      <c r="E10" s="134">
        <v>13.59</v>
      </c>
      <c r="F10" s="134">
        <v>13.82</v>
      </c>
      <c r="G10" s="134">
        <v>14.19</v>
      </c>
      <c r="H10" s="134">
        <v>14.42</v>
      </c>
      <c r="I10" s="134">
        <v>14.59</v>
      </c>
      <c r="J10" s="134">
        <v>14.2</v>
      </c>
    </row>
    <row r="11" spans="1:10" ht="14.25" customHeight="1">
      <c r="A11" s="132" t="s">
        <v>848</v>
      </c>
      <c r="B11" s="134">
        <v>3.14</v>
      </c>
      <c r="C11" s="134">
        <v>3.24</v>
      </c>
      <c r="D11" s="134">
        <v>3.26</v>
      </c>
      <c r="E11" s="134">
        <v>3.25</v>
      </c>
      <c r="F11" s="134">
        <v>3.34</v>
      </c>
      <c r="G11" s="134">
        <v>3.74</v>
      </c>
      <c r="H11" s="134">
        <v>3.8</v>
      </c>
      <c r="I11" s="134">
        <v>3.83</v>
      </c>
      <c r="J11" s="134">
        <v>3.79</v>
      </c>
    </row>
    <row r="12" spans="1:10" ht="14.25" customHeight="1">
      <c r="A12" s="135" t="s">
        <v>712</v>
      </c>
      <c r="B12" s="134">
        <v>3.28</v>
      </c>
      <c r="C12" s="134">
        <v>2.4700000000000002</v>
      </c>
      <c r="D12" s="134">
        <v>2.67</v>
      </c>
      <c r="E12" s="134">
        <v>1.41</v>
      </c>
      <c r="F12" s="134">
        <v>2.19</v>
      </c>
      <c r="G12" s="134">
        <v>1.3</v>
      </c>
      <c r="H12" s="134">
        <v>0.97</v>
      </c>
      <c r="I12" s="134">
        <v>0.95</v>
      </c>
      <c r="J12" s="134">
        <v>1.47</v>
      </c>
    </row>
    <row r="13" spans="1:10" s="133" customFormat="1" ht="23.25" customHeight="1">
      <c r="A13" s="136" t="s">
        <v>184</v>
      </c>
      <c r="B13" s="137">
        <v>55.48</v>
      </c>
      <c r="C13" s="137">
        <v>58.95</v>
      </c>
      <c r="D13" s="137">
        <v>60</v>
      </c>
      <c r="E13" s="137">
        <v>59.35</v>
      </c>
      <c r="F13" s="137">
        <v>59.78</v>
      </c>
      <c r="G13" s="137">
        <v>60.07</v>
      </c>
      <c r="H13" s="137">
        <v>59.58</v>
      </c>
      <c r="I13" s="137">
        <v>59.15</v>
      </c>
      <c r="J13" s="137">
        <v>58.83</v>
      </c>
    </row>
    <row r="14" spans="1:10" ht="30" customHeight="1">
      <c r="A14" s="138" t="s">
        <v>185</v>
      </c>
      <c r="B14" s="138"/>
      <c r="C14" s="138"/>
      <c r="D14" s="138"/>
      <c r="E14" s="138"/>
      <c r="F14" s="138"/>
      <c r="G14" s="138"/>
      <c r="H14" s="138"/>
      <c r="I14" s="138"/>
      <c r="J14" s="138"/>
    </row>
    <row r="15" spans="1:10" s="133" customFormat="1" ht="23.25" customHeight="1">
      <c r="A15" s="136" t="s">
        <v>195</v>
      </c>
      <c r="B15" s="139">
        <v>291.93</v>
      </c>
      <c r="C15" s="139">
        <v>286.18799999999999</v>
      </c>
      <c r="D15" s="139">
        <v>294.62700000000001</v>
      </c>
      <c r="E15" s="139">
        <v>308.63</v>
      </c>
      <c r="F15" s="139">
        <v>317.05599999999998</v>
      </c>
      <c r="G15" s="139">
        <v>322.87799999999999</v>
      </c>
      <c r="H15" s="139">
        <v>329.29599999999999</v>
      </c>
      <c r="I15" s="139">
        <v>337.12</v>
      </c>
      <c r="J15" s="139">
        <v>347.63</v>
      </c>
    </row>
    <row r="17" spans="1:10" ht="14.25" customHeight="1">
      <c r="A17" s="132" t="s">
        <v>186</v>
      </c>
      <c r="B17" s="496"/>
      <c r="C17" s="496"/>
      <c r="D17" s="496"/>
      <c r="E17" s="496"/>
      <c r="F17" s="496"/>
      <c r="G17" s="496"/>
      <c r="H17" s="496"/>
      <c r="I17" s="496"/>
      <c r="J17" s="496"/>
    </row>
    <row r="18" spans="1:10" ht="14.25" customHeight="1">
      <c r="A18" s="132" t="s">
        <v>710</v>
      </c>
    </row>
    <row r="19" spans="1:10" ht="14.25" customHeight="1">
      <c r="A19" s="132" t="s">
        <v>849</v>
      </c>
    </row>
    <row r="20" spans="1:10" ht="14.25" customHeight="1">
      <c r="A20" s="132" t="s">
        <v>980</v>
      </c>
    </row>
    <row r="21" spans="1:10" ht="14.25" customHeight="1">
      <c r="A21" s="331" t="s">
        <v>858</v>
      </c>
      <c r="B21" s="331"/>
      <c r="C21" s="331"/>
      <c r="D21" s="331"/>
      <c r="E21" s="331"/>
      <c r="F21" s="331"/>
      <c r="G21" s="331"/>
      <c r="H21" s="331"/>
    </row>
    <row r="22" spans="1:10" ht="14.25" customHeight="1">
      <c r="A22" s="331" t="s">
        <v>859</v>
      </c>
    </row>
    <row r="23" spans="1:10" ht="14.25" customHeight="1">
      <c r="A23" s="331" t="s">
        <v>860</v>
      </c>
    </row>
  </sheetData>
  <printOptions horizontalCentered="1"/>
  <pageMargins left="0.19685039370078741" right="0.19685039370078741" top="0.47244094488188981" bottom="0.31496062992125984" header="0.19685039370078741" footer="0.15748031496062992"/>
  <pageSetup paperSize="9" orientation="landscape" r:id="rId1"/>
  <headerFooter alignWithMargins="0"/>
  <ignoredErrors>
    <ignoredError sqref="E4:F4 G4:H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92D050"/>
    <pageSetUpPr fitToPage="1"/>
  </sheetPr>
  <dimension ref="A1:P53"/>
  <sheetViews>
    <sheetView workbookViewId="0"/>
  </sheetViews>
  <sheetFormatPr baseColWidth="10" defaultRowHeight="12.75"/>
  <cols>
    <col min="1" max="1" width="5.5703125" style="274" customWidth="1"/>
    <col min="2" max="2" width="9.7109375" style="274" hidden="1" customWidth="1"/>
    <col min="3" max="3" width="6.85546875" style="274" customWidth="1"/>
    <col min="4" max="4" width="9.42578125" style="274" customWidth="1"/>
    <col min="5" max="5" width="7.5703125" style="274" customWidth="1"/>
    <col min="6" max="6" width="9.42578125" style="274" customWidth="1"/>
    <col min="7" max="7" width="7.5703125" style="274" customWidth="1"/>
    <col min="8" max="8" width="9.42578125" style="274" customWidth="1"/>
    <col min="9" max="9" width="7.5703125" style="274" customWidth="1"/>
    <col min="10" max="10" width="9.42578125" style="274" customWidth="1"/>
    <col min="11" max="11" width="7.5703125" style="274" customWidth="1"/>
    <col min="12" max="12" width="9.42578125" style="274" customWidth="1"/>
    <col min="13" max="236" width="11.42578125" style="274"/>
    <col min="237" max="237" width="30.28515625" style="274" customWidth="1"/>
    <col min="238" max="244" width="0" style="274" hidden="1" customWidth="1"/>
    <col min="245" max="248" width="7.42578125" style="274" bestFit="1" customWidth="1"/>
    <col min="249" max="255" width="8.5703125" style="274" bestFit="1" customWidth="1"/>
    <col min="256" max="492" width="11.42578125" style="274"/>
    <col min="493" max="493" width="30.28515625" style="274" customWidth="1"/>
    <col min="494" max="500" width="0" style="274" hidden="1" customWidth="1"/>
    <col min="501" max="504" width="7.42578125" style="274" bestFit="1" customWidth="1"/>
    <col min="505" max="511" width="8.5703125" style="274" bestFit="1" customWidth="1"/>
    <col min="512" max="748" width="11.42578125" style="274"/>
    <col min="749" max="749" width="30.28515625" style="274" customWidth="1"/>
    <col min="750" max="756" width="0" style="274" hidden="1" customWidth="1"/>
    <col min="757" max="760" width="7.42578125" style="274" bestFit="1" customWidth="1"/>
    <col min="761" max="767" width="8.5703125" style="274" bestFit="1" customWidth="1"/>
    <col min="768" max="1004" width="11.42578125" style="274"/>
    <col min="1005" max="1005" width="30.28515625" style="274" customWidth="1"/>
    <col min="1006" max="1012" width="0" style="274" hidden="1" customWidth="1"/>
    <col min="1013" max="1016" width="7.42578125" style="274" bestFit="1" customWidth="1"/>
    <col min="1017" max="1023" width="8.5703125" style="274" bestFit="1" customWidth="1"/>
    <col min="1024" max="1260" width="11.42578125" style="274"/>
    <col min="1261" max="1261" width="30.28515625" style="274" customWidth="1"/>
    <col min="1262" max="1268" width="0" style="274" hidden="1" customWidth="1"/>
    <col min="1269" max="1272" width="7.42578125" style="274" bestFit="1" customWidth="1"/>
    <col min="1273" max="1279" width="8.5703125" style="274" bestFit="1" customWidth="1"/>
    <col min="1280" max="1516" width="11.42578125" style="274"/>
    <col min="1517" max="1517" width="30.28515625" style="274" customWidth="1"/>
    <col min="1518" max="1524" width="0" style="274" hidden="1" customWidth="1"/>
    <col min="1525" max="1528" width="7.42578125" style="274" bestFit="1" customWidth="1"/>
    <col min="1529" max="1535" width="8.5703125" style="274" bestFit="1" customWidth="1"/>
    <col min="1536" max="1772" width="11.42578125" style="274"/>
    <col min="1773" max="1773" width="30.28515625" style="274" customWidth="1"/>
    <col min="1774" max="1780" width="0" style="274" hidden="1" customWidth="1"/>
    <col min="1781" max="1784" width="7.42578125" style="274" bestFit="1" customWidth="1"/>
    <col min="1785" max="1791" width="8.5703125" style="274" bestFit="1" customWidth="1"/>
    <col min="1792" max="2028" width="11.42578125" style="274"/>
    <col min="2029" max="2029" width="30.28515625" style="274" customWidth="1"/>
    <col min="2030" max="2036" width="0" style="274" hidden="1" customWidth="1"/>
    <col min="2037" max="2040" width="7.42578125" style="274" bestFit="1" customWidth="1"/>
    <col min="2041" max="2047" width="8.5703125" style="274" bestFit="1" customWidth="1"/>
    <col min="2048" max="2284" width="11.42578125" style="274"/>
    <col min="2285" max="2285" width="30.28515625" style="274" customWidth="1"/>
    <col min="2286" max="2292" width="0" style="274" hidden="1" customWidth="1"/>
    <col min="2293" max="2296" width="7.42578125" style="274" bestFit="1" customWidth="1"/>
    <col min="2297" max="2303" width="8.5703125" style="274" bestFit="1" customWidth="1"/>
    <col min="2304" max="2540" width="11.42578125" style="274"/>
    <col min="2541" max="2541" width="30.28515625" style="274" customWidth="1"/>
    <col min="2542" max="2548" width="0" style="274" hidden="1" customWidth="1"/>
    <col min="2549" max="2552" width="7.42578125" style="274" bestFit="1" customWidth="1"/>
    <col min="2553" max="2559" width="8.5703125" style="274" bestFit="1" customWidth="1"/>
    <col min="2560" max="2796" width="11.42578125" style="274"/>
    <col min="2797" max="2797" width="30.28515625" style="274" customWidth="1"/>
    <col min="2798" max="2804" width="0" style="274" hidden="1" customWidth="1"/>
    <col min="2805" max="2808" width="7.42578125" style="274" bestFit="1" customWidth="1"/>
    <col min="2809" max="2815" width="8.5703125" style="274" bestFit="1" customWidth="1"/>
    <col min="2816" max="3052" width="11.42578125" style="274"/>
    <col min="3053" max="3053" width="30.28515625" style="274" customWidth="1"/>
    <col min="3054" max="3060" width="0" style="274" hidden="1" customWidth="1"/>
    <col min="3061" max="3064" width="7.42578125" style="274" bestFit="1" customWidth="1"/>
    <col min="3065" max="3071" width="8.5703125" style="274" bestFit="1" customWidth="1"/>
    <col min="3072" max="3308" width="11.42578125" style="274"/>
    <col min="3309" max="3309" width="30.28515625" style="274" customWidth="1"/>
    <col min="3310" max="3316" width="0" style="274" hidden="1" customWidth="1"/>
    <col min="3317" max="3320" width="7.42578125" style="274" bestFit="1" customWidth="1"/>
    <col min="3321" max="3327" width="8.5703125" style="274" bestFit="1" customWidth="1"/>
    <col min="3328" max="3564" width="11.42578125" style="274"/>
    <col min="3565" max="3565" width="30.28515625" style="274" customWidth="1"/>
    <col min="3566" max="3572" width="0" style="274" hidden="1" customWidth="1"/>
    <col min="3573" max="3576" width="7.42578125" style="274" bestFit="1" customWidth="1"/>
    <col min="3577" max="3583" width="8.5703125" style="274" bestFit="1" customWidth="1"/>
    <col min="3584" max="3820" width="11.42578125" style="274"/>
    <col min="3821" max="3821" width="30.28515625" style="274" customWidth="1"/>
    <col min="3822" max="3828" width="0" style="274" hidden="1" customWidth="1"/>
    <col min="3829" max="3832" width="7.42578125" style="274" bestFit="1" customWidth="1"/>
    <col min="3833" max="3839" width="8.5703125" style="274" bestFit="1" customWidth="1"/>
    <col min="3840" max="4076" width="11.42578125" style="274"/>
    <col min="4077" max="4077" width="30.28515625" style="274" customWidth="1"/>
    <col min="4078" max="4084" width="0" style="274" hidden="1" customWidth="1"/>
    <col min="4085" max="4088" width="7.42578125" style="274" bestFit="1" customWidth="1"/>
    <col min="4089" max="4095" width="8.5703125" style="274" bestFit="1" customWidth="1"/>
    <col min="4096" max="4332" width="11.42578125" style="274"/>
    <col min="4333" max="4333" width="30.28515625" style="274" customWidth="1"/>
    <col min="4334" max="4340" width="0" style="274" hidden="1" customWidth="1"/>
    <col min="4341" max="4344" width="7.42578125" style="274" bestFit="1" customWidth="1"/>
    <col min="4345" max="4351" width="8.5703125" style="274" bestFit="1" customWidth="1"/>
    <col min="4352" max="4588" width="11.42578125" style="274"/>
    <col min="4589" max="4589" width="30.28515625" style="274" customWidth="1"/>
    <col min="4590" max="4596" width="0" style="274" hidden="1" customWidth="1"/>
    <col min="4597" max="4600" width="7.42578125" style="274" bestFit="1" customWidth="1"/>
    <col min="4601" max="4607" width="8.5703125" style="274" bestFit="1" customWidth="1"/>
    <col min="4608" max="4844" width="11.42578125" style="274"/>
    <col min="4845" max="4845" width="30.28515625" style="274" customWidth="1"/>
    <col min="4846" max="4852" width="0" style="274" hidden="1" customWidth="1"/>
    <col min="4853" max="4856" width="7.42578125" style="274" bestFit="1" customWidth="1"/>
    <col min="4857" max="4863" width="8.5703125" style="274" bestFit="1" customWidth="1"/>
    <col min="4864" max="5100" width="11.42578125" style="274"/>
    <col min="5101" max="5101" width="30.28515625" style="274" customWidth="1"/>
    <col min="5102" max="5108" width="0" style="274" hidden="1" customWidth="1"/>
    <col min="5109" max="5112" width="7.42578125" style="274" bestFit="1" customWidth="1"/>
    <col min="5113" max="5119" width="8.5703125" style="274" bestFit="1" customWidth="1"/>
    <col min="5120" max="5356" width="11.42578125" style="274"/>
    <col min="5357" max="5357" width="30.28515625" style="274" customWidth="1"/>
    <col min="5358" max="5364" width="0" style="274" hidden="1" customWidth="1"/>
    <col min="5365" max="5368" width="7.42578125" style="274" bestFit="1" customWidth="1"/>
    <col min="5369" max="5375" width="8.5703125" style="274" bestFit="1" customWidth="1"/>
    <col min="5376" max="5612" width="11.42578125" style="274"/>
    <col min="5613" max="5613" width="30.28515625" style="274" customWidth="1"/>
    <col min="5614" max="5620" width="0" style="274" hidden="1" customWidth="1"/>
    <col min="5621" max="5624" width="7.42578125" style="274" bestFit="1" customWidth="1"/>
    <col min="5625" max="5631" width="8.5703125" style="274" bestFit="1" customWidth="1"/>
    <col min="5632" max="5868" width="11.42578125" style="274"/>
    <col min="5869" max="5869" width="30.28515625" style="274" customWidth="1"/>
    <col min="5870" max="5876" width="0" style="274" hidden="1" customWidth="1"/>
    <col min="5877" max="5880" width="7.42578125" style="274" bestFit="1" customWidth="1"/>
    <col min="5881" max="5887" width="8.5703125" style="274" bestFit="1" customWidth="1"/>
    <col min="5888" max="6124" width="11.42578125" style="274"/>
    <col min="6125" max="6125" width="30.28515625" style="274" customWidth="1"/>
    <col min="6126" max="6132" width="0" style="274" hidden="1" customWidth="1"/>
    <col min="6133" max="6136" width="7.42578125" style="274" bestFit="1" customWidth="1"/>
    <col min="6137" max="6143" width="8.5703125" style="274" bestFit="1" customWidth="1"/>
    <col min="6144" max="6380" width="11.42578125" style="274"/>
    <col min="6381" max="6381" width="30.28515625" style="274" customWidth="1"/>
    <col min="6382" max="6388" width="0" style="274" hidden="1" customWidth="1"/>
    <col min="6389" max="6392" width="7.42578125" style="274" bestFit="1" customWidth="1"/>
    <col min="6393" max="6399" width="8.5703125" style="274" bestFit="1" customWidth="1"/>
    <col min="6400" max="6636" width="11.42578125" style="274"/>
    <col min="6637" max="6637" width="30.28515625" style="274" customWidth="1"/>
    <col min="6638" max="6644" width="0" style="274" hidden="1" customWidth="1"/>
    <col min="6645" max="6648" width="7.42578125" style="274" bestFit="1" customWidth="1"/>
    <col min="6649" max="6655" width="8.5703125" style="274" bestFit="1" customWidth="1"/>
    <col min="6656" max="6892" width="11.42578125" style="274"/>
    <col min="6893" max="6893" width="30.28515625" style="274" customWidth="1"/>
    <col min="6894" max="6900" width="0" style="274" hidden="1" customWidth="1"/>
    <col min="6901" max="6904" width="7.42578125" style="274" bestFit="1" customWidth="1"/>
    <col min="6905" max="6911" width="8.5703125" style="274" bestFit="1" customWidth="1"/>
    <col min="6912" max="7148" width="11.42578125" style="274"/>
    <col min="7149" max="7149" width="30.28515625" style="274" customWidth="1"/>
    <col min="7150" max="7156" width="0" style="274" hidden="1" customWidth="1"/>
    <col min="7157" max="7160" width="7.42578125" style="274" bestFit="1" customWidth="1"/>
    <col min="7161" max="7167" width="8.5703125" style="274" bestFit="1" customWidth="1"/>
    <col min="7168" max="7404" width="11.42578125" style="274"/>
    <col min="7405" max="7405" width="30.28515625" style="274" customWidth="1"/>
    <col min="7406" max="7412" width="0" style="274" hidden="1" customWidth="1"/>
    <col min="7413" max="7416" width="7.42578125" style="274" bestFit="1" customWidth="1"/>
    <col min="7417" max="7423" width="8.5703125" style="274" bestFit="1" customWidth="1"/>
    <col min="7424" max="7660" width="11.42578125" style="274"/>
    <col min="7661" max="7661" width="30.28515625" style="274" customWidth="1"/>
    <col min="7662" max="7668" width="0" style="274" hidden="1" customWidth="1"/>
    <col min="7669" max="7672" width="7.42578125" style="274" bestFit="1" customWidth="1"/>
    <col min="7673" max="7679" width="8.5703125" style="274" bestFit="1" customWidth="1"/>
    <col min="7680" max="7916" width="11.42578125" style="274"/>
    <col min="7917" max="7917" width="30.28515625" style="274" customWidth="1"/>
    <col min="7918" max="7924" width="0" style="274" hidden="1" customWidth="1"/>
    <col min="7925" max="7928" width="7.42578125" style="274" bestFit="1" customWidth="1"/>
    <col min="7929" max="7935" width="8.5703125" style="274" bestFit="1" customWidth="1"/>
    <col min="7936" max="8172" width="11.42578125" style="274"/>
    <col min="8173" max="8173" width="30.28515625" style="274" customWidth="1"/>
    <col min="8174" max="8180" width="0" style="274" hidden="1" customWidth="1"/>
    <col min="8181" max="8184" width="7.42578125" style="274" bestFit="1" customWidth="1"/>
    <col min="8185" max="8191" width="8.5703125" style="274" bestFit="1" customWidth="1"/>
    <col min="8192" max="8428" width="11.42578125" style="274"/>
    <col min="8429" max="8429" width="30.28515625" style="274" customWidth="1"/>
    <col min="8430" max="8436" width="0" style="274" hidden="1" customWidth="1"/>
    <col min="8437" max="8440" width="7.42578125" style="274" bestFit="1" customWidth="1"/>
    <col min="8441" max="8447" width="8.5703125" style="274" bestFit="1" customWidth="1"/>
    <col min="8448" max="8684" width="11.42578125" style="274"/>
    <col min="8685" max="8685" width="30.28515625" style="274" customWidth="1"/>
    <col min="8686" max="8692" width="0" style="274" hidden="1" customWidth="1"/>
    <col min="8693" max="8696" width="7.42578125" style="274" bestFit="1" customWidth="1"/>
    <col min="8697" max="8703" width="8.5703125" style="274" bestFit="1" customWidth="1"/>
    <col min="8704" max="8940" width="11.42578125" style="274"/>
    <col min="8941" max="8941" width="30.28515625" style="274" customWidth="1"/>
    <col min="8942" max="8948" width="0" style="274" hidden="1" customWidth="1"/>
    <col min="8949" max="8952" width="7.42578125" style="274" bestFit="1" customWidth="1"/>
    <col min="8953" max="8959" width="8.5703125" style="274" bestFit="1" customWidth="1"/>
    <col min="8960" max="9196" width="11.42578125" style="274"/>
    <col min="9197" max="9197" width="30.28515625" style="274" customWidth="1"/>
    <col min="9198" max="9204" width="0" style="274" hidden="1" customWidth="1"/>
    <col min="9205" max="9208" width="7.42578125" style="274" bestFit="1" customWidth="1"/>
    <col min="9209" max="9215" width="8.5703125" style="274" bestFit="1" customWidth="1"/>
    <col min="9216" max="9452" width="11.42578125" style="274"/>
    <col min="9453" max="9453" width="30.28515625" style="274" customWidth="1"/>
    <col min="9454" max="9460" width="0" style="274" hidden="1" customWidth="1"/>
    <col min="9461" max="9464" width="7.42578125" style="274" bestFit="1" customWidth="1"/>
    <col min="9465" max="9471" width="8.5703125" style="274" bestFit="1" customWidth="1"/>
    <col min="9472" max="9708" width="11.42578125" style="274"/>
    <col min="9709" max="9709" width="30.28515625" style="274" customWidth="1"/>
    <col min="9710" max="9716" width="0" style="274" hidden="1" customWidth="1"/>
    <col min="9717" max="9720" width="7.42578125" style="274" bestFit="1" customWidth="1"/>
    <col min="9721" max="9727" width="8.5703125" style="274" bestFit="1" customWidth="1"/>
    <col min="9728" max="9964" width="11.42578125" style="274"/>
    <col min="9965" max="9965" width="30.28515625" style="274" customWidth="1"/>
    <col min="9966" max="9972" width="0" style="274" hidden="1" customWidth="1"/>
    <col min="9973" max="9976" width="7.42578125" style="274" bestFit="1" customWidth="1"/>
    <col min="9977" max="9983" width="8.5703125" style="274" bestFit="1" customWidth="1"/>
    <col min="9984" max="10220" width="11.42578125" style="274"/>
    <col min="10221" max="10221" width="30.28515625" style="274" customWidth="1"/>
    <col min="10222" max="10228" width="0" style="274" hidden="1" customWidth="1"/>
    <col min="10229" max="10232" width="7.42578125" style="274" bestFit="1" customWidth="1"/>
    <col min="10233" max="10239" width="8.5703125" style="274" bestFit="1" customWidth="1"/>
    <col min="10240" max="10476" width="11.42578125" style="274"/>
    <col min="10477" max="10477" width="30.28515625" style="274" customWidth="1"/>
    <col min="10478" max="10484" width="0" style="274" hidden="1" customWidth="1"/>
    <col min="10485" max="10488" width="7.42578125" style="274" bestFit="1" customWidth="1"/>
    <col min="10489" max="10495" width="8.5703125" style="274" bestFit="1" customWidth="1"/>
    <col min="10496" max="10732" width="11.42578125" style="274"/>
    <col min="10733" max="10733" width="30.28515625" style="274" customWidth="1"/>
    <col min="10734" max="10740" width="0" style="274" hidden="1" customWidth="1"/>
    <col min="10741" max="10744" width="7.42578125" style="274" bestFit="1" customWidth="1"/>
    <col min="10745" max="10751" width="8.5703125" style="274" bestFit="1" customWidth="1"/>
    <col min="10752" max="10988" width="11.42578125" style="274"/>
    <col min="10989" max="10989" width="30.28515625" style="274" customWidth="1"/>
    <col min="10990" max="10996" width="0" style="274" hidden="1" customWidth="1"/>
    <col min="10997" max="11000" width="7.42578125" style="274" bestFit="1" customWidth="1"/>
    <col min="11001" max="11007" width="8.5703125" style="274" bestFit="1" customWidth="1"/>
    <col min="11008" max="11244" width="11.42578125" style="274"/>
    <col min="11245" max="11245" width="30.28515625" style="274" customWidth="1"/>
    <col min="11246" max="11252" width="0" style="274" hidden="1" customWidth="1"/>
    <col min="11253" max="11256" width="7.42578125" style="274" bestFit="1" customWidth="1"/>
    <col min="11257" max="11263" width="8.5703125" style="274" bestFit="1" customWidth="1"/>
    <col min="11264" max="11500" width="11.42578125" style="274"/>
    <col min="11501" max="11501" width="30.28515625" style="274" customWidth="1"/>
    <col min="11502" max="11508" width="0" style="274" hidden="1" customWidth="1"/>
    <col min="11509" max="11512" width="7.42578125" style="274" bestFit="1" customWidth="1"/>
    <col min="11513" max="11519" width="8.5703125" style="274" bestFit="1" customWidth="1"/>
    <col min="11520" max="11756" width="11.42578125" style="274"/>
    <col min="11757" max="11757" width="30.28515625" style="274" customWidth="1"/>
    <col min="11758" max="11764" width="0" style="274" hidden="1" customWidth="1"/>
    <col min="11765" max="11768" width="7.42578125" style="274" bestFit="1" customWidth="1"/>
    <col min="11769" max="11775" width="8.5703125" style="274" bestFit="1" customWidth="1"/>
    <col min="11776" max="12012" width="11.42578125" style="274"/>
    <col min="12013" max="12013" width="30.28515625" style="274" customWidth="1"/>
    <col min="12014" max="12020" width="0" style="274" hidden="1" customWidth="1"/>
    <col min="12021" max="12024" width="7.42578125" style="274" bestFit="1" customWidth="1"/>
    <col min="12025" max="12031" width="8.5703125" style="274" bestFit="1" customWidth="1"/>
    <col min="12032" max="12268" width="11.42578125" style="274"/>
    <col min="12269" max="12269" width="30.28515625" style="274" customWidth="1"/>
    <col min="12270" max="12276" width="0" style="274" hidden="1" customWidth="1"/>
    <col min="12277" max="12280" width="7.42578125" style="274" bestFit="1" customWidth="1"/>
    <col min="12281" max="12287" width="8.5703125" style="274" bestFit="1" customWidth="1"/>
    <col min="12288" max="12524" width="11.42578125" style="274"/>
    <col min="12525" max="12525" width="30.28515625" style="274" customWidth="1"/>
    <col min="12526" max="12532" width="0" style="274" hidden="1" customWidth="1"/>
    <col min="12533" max="12536" width="7.42578125" style="274" bestFit="1" customWidth="1"/>
    <col min="12537" max="12543" width="8.5703125" style="274" bestFit="1" customWidth="1"/>
    <col min="12544" max="12780" width="11.42578125" style="274"/>
    <col min="12781" max="12781" width="30.28515625" style="274" customWidth="1"/>
    <col min="12782" max="12788" width="0" style="274" hidden="1" customWidth="1"/>
    <col min="12789" max="12792" width="7.42578125" style="274" bestFit="1" customWidth="1"/>
    <col min="12793" max="12799" width="8.5703125" style="274" bestFit="1" customWidth="1"/>
    <col min="12800" max="13036" width="11.42578125" style="274"/>
    <col min="13037" max="13037" width="30.28515625" style="274" customWidth="1"/>
    <col min="13038" max="13044" width="0" style="274" hidden="1" customWidth="1"/>
    <col min="13045" max="13048" width="7.42578125" style="274" bestFit="1" customWidth="1"/>
    <col min="13049" max="13055" width="8.5703125" style="274" bestFit="1" customWidth="1"/>
    <col min="13056" max="13292" width="11.42578125" style="274"/>
    <col min="13293" max="13293" width="30.28515625" style="274" customWidth="1"/>
    <col min="13294" max="13300" width="0" style="274" hidden="1" customWidth="1"/>
    <col min="13301" max="13304" width="7.42578125" style="274" bestFit="1" customWidth="1"/>
    <col min="13305" max="13311" width="8.5703125" style="274" bestFit="1" customWidth="1"/>
    <col min="13312" max="13548" width="11.42578125" style="274"/>
    <col min="13549" max="13549" width="30.28515625" style="274" customWidth="1"/>
    <col min="13550" max="13556" width="0" style="274" hidden="1" customWidth="1"/>
    <col min="13557" max="13560" width="7.42578125" style="274" bestFit="1" customWidth="1"/>
    <col min="13561" max="13567" width="8.5703125" style="274" bestFit="1" customWidth="1"/>
    <col min="13568" max="13804" width="11.42578125" style="274"/>
    <col min="13805" max="13805" width="30.28515625" style="274" customWidth="1"/>
    <col min="13806" max="13812" width="0" style="274" hidden="1" customWidth="1"/>
    <col min="13813" max="13816" width="7.42578125" style="274" bestFit="1" customWidth="1"/>
    <col min="13817" max="13823" width="8.5703125" style="274" bestFit="1" customWidth="1"/>
    <col min="13824" max="14060" width="11.42578125" style="274"/>
    <col min="14061" max="14061" width="30.28515625" style="274" customWidth="1"/>
    <col min="14062" max="14068" width="0" style="274" hidden="1" customWidth="1"/>
    <col min="14069" max="14072" width="7.42578125" style="274" bestFit="1" customWidth="1"/>
    <col min="14073" max="14079" width="8.5703125" style="274" bestFit="1" customWidth="1"/>
    <col min="14080" max="14316" width="11.42578125" style="274"/>
    <col min="14317" max="14317" width="30.28515625" style="274" customWidth="1"/>
    <col min="14318" max="14324" width="0" style="274" hidden="1" customWidth="1"/>
    <col min="14325" max="14328" width="7.42578125" style="274" bestFit="1" customWidth="1"/>
    <col min="14329" max="14335" width="8.5703125" style="274" bestFit="1" customWidth="1"/>
    <col min="14336" max="14572" width="11.42578125" style="274"/>
    <col min="14573" max="14573" width="30.28515625" style="274" customWidth="1"/>
    <col min="14574" max="14580" width="0" style="274" hidden="1" customWidth="1"/>
    <col min="14581" max="14584" width="7.42578125" style="274" bestFit="1" customWidth="1"/>
    <col min="14585" max="14591" width="8.5703125" style="274" bestFit="1" customWidth="1"/>
    <col min="14592" max="14828" width="11.42578125" style="274"/>
    <col min="14829" max="14829" width="30.28515625" style="274" customWidth="1"/>
    <col min="14830" max="14836" width="0" style="274" hidden="1" customWidth="1"/>
    <col min="14837" max="14840" width="7.42578125" style="274" bestFit="1" customWidth="1"/>
    <col min="14841" max="14847" width="8.5703125" style="274" bestFit="1" customWidth="1"/>
    <col min="14848" max="15084" width="11.42578125" style="274"/>
    <col min="15085" max="15085" width="30.28515625" style="274" customWidth="1"/>
    <col min="15086" max="15092" width="0" style="274" hidden="1" customWidth="1"/>
    <col min="15093" max="15096" width="7.42578125" style="274" bestFit="1" customWidth="1"/>
    <col min="15097" max="15103" width="8.5703125" style="274" bestFit="1" customWidth="1"/>
    <col min="15104" max="15340" width="11.42578125" style="274"/>
    <col min="15341" max="15341" width="30.28515625" style="274" customWidth="1"/>
    <col min="15342" max="15348" width="0" style="274" hidden="1" customWidth="1"/>
    <col min="15349" max="15352" width="7.42578125" style="274" bestFit="1" customWidth="1"/>
    <col min="15353" max="15359" width="8.5703125" style="274" bestFit="1" customWidth="1"/>
    <col min="15360" max="15596" width="11.42578125" style="274"/>
    <col min="15597" max="15597" width="30.28515625" style="274" customWidth="1"/>
    <col min="15598" max="15604" width="0" style="274" hidden="1" customWidth="1"/>
    <col min="15605" max="15608" width="7.42578125" style="274" bestFit="1" customWidth="1"/>
    <col min="15609" max="15615" width="8.5703125" style="274" bestFit="1" customWidth="1"/>
    <col min="15616" max="15852" width="11.42578125" style="274"/>
    <col min="15853" max="15853" width="30.28515625" style="274" customWidth="1"/>
    <col min="15854" max="15860" width="0" style="274" hidden="1" customWidth="1"/>
    <col min="15861" max="15864" width="7.42578125" style="274" bestFit="1" customWidth="1"/>
    <col min="15865" max="15871" width="8.5703125" style="274" bestFit="1" customWidth="1"/>
    <col min="15872" max="16108" width="11.42578125" style="274"/>
    <col min="16109" max="16109" width="30.28515625" style="274" customWidth="1"/>
    <col min="16110" max="16116" width="0" style="274" hidden="1" customWidth="1"/>
    <col min="16117" max="16120" width="7.42578125" style="274" bestFit="1" customWidth="1"/>
    <col min="16121" max="16127" width="8.5703125" style="274" bestFit="1" customWidth="1"/>
    <col min="16128" max="16384" width="11.42578125" style="274"/>
  </cols>
  <sheetData>
    <row r="1" spans="1:16" s="250" customFormat="1" ht="13.5" customHeight="1">
      <c r="A1" s="155" t="s">
        <v>997</v>
      </c>
      <c r="B1" s="155"/>
      <c r="C1" s="155"/>
      <c r="D1" s="155"/>
      <c r="E1" s="155"/>
      <c r="F1" s="155"/>
      <c r="G1" s="155"/>
      <c r="H1" s="155"/>
      <c r="I1" s="155"/>
      <c r="J1" s="155"/>
      <c r="K1" s="155"/>
      <c r="L1" s="155"/>
      <c r="M1" s="140"/>
      <c r="N1" s="140"/>
      <c r="O1" s="140"/>
      <c r="P1" s="140"/>
    </row>
    <row r="2" spans="1:16" s="250" customFormat="1" ht="12" customHeight="1">
      <c r="A2" s="155" t="s">
        <v>863</v>
      </c>
      <c r="B2" s="155"/>
      <c r="C2" s="155"/>
      <c r="D2" s="155"/>
      <c r="E2" s="155"/>
      <c r="F2" s="155"/>
      <c r="G2" s="155"/>
      <c r="H2" s="155"/>
      <c r="I2" s="155"/>
      <c r="J2" s="155"/>
      <c r="K2" s="155"/>
      <c r="L2" s="155"/>
      <c r="M2" s="140"/>
      <c r="N2" s="140"/>
      <c r="O2" s="140"/>
      <c r="P2" s="140"/>
    </row>
    <row r="3" spans="1:16" s="252" customFormat="1" ht="12" customHeight="1">
      <c r="A3" s="152" t="s">
        <v>467</v>
      </c>
      <c r="B3" s="152"/>
      <c r="C3" s="152"/>
      <c r="D3" s="152"/>
      <c r="E3" s="152"/>
      <c r="F3" s="152"/>
      <c r="G3" s="152"/>
      <c r="H3" s="152"/>
      <c r="I3" s="152"/>
      <c r="J3" s="152"/>
      <c r="K3" s="152"/>
      <c r="L3" s="152"/>
      <c r="M3" s="150"/>
      <c r="N3" s="150"/>
      <c r="O3" s="150"/>
      <c r="P3" s="150"/>
    </row>
    <row r="4" spans="1:16" s="124" customFormat="1" ht="7.5" customHeight="1">
      <c r="A4" s="154"/>
      <c r="B4" s="154"/>
      <c r="C4" s="154"/>
      <c r="D4" s="154"/>
      <c r="E4" s="154"/>
      <c r="F4" s="154"/>
      <c r="G4" s="154"/>
      <c r="H4" s="154"/>
      <c r="I4" s="154"/>
      <c r="J4" s="154"/>
      <c r="K4" s="154"/>
      <c r="L4" s="154"/>
      <c r="M4" s="132"/>
      <c r="N4" s="132"/>
      <c r="O4" s="132"/>
      <c r="P4" s="132"/>
    </row>
    <row r="5" spans="1:16" s="124" customFormat="1" ht="28.5" customHeight="1">
      <c r="A5" s="268"/>
      <c r="B5" s="330" t="s">
        <v>187</v>
      </c>
      <c r="C5" s="573" t="s">
        <v>776</v>
      </c>
      <c r="D5" s="573"/>
      <c r="E5" s="573" t="s">
        <v>471</v>
      </c>
      <c r="F5" s="574"/>
      <c r="G5" s="573" t="s">
        <v>468</v>
      </c>
      <c r="H5" s="573"/>
      <c r="I5" s="574" t="s">
        <v>469</v>
      </c>
      <c r="J5" s="574"/>
      <c r="K5" s="575" t="s">
        <v>861</v>
      </c>
      <c r="L5" s="576"/>
      <c r="M5" s="132"/>
      <c r="N5" s="132"/>
      <c r="O5" s="132"/>
      <c r="P5" s="132"/>
    </row>
    <row r="6" spans="1:16" s="271" customFormat="1" ht="18.75" customHeight="1">
      <c r="A6" s="269"/>
      <c r="B6" s="269" t="s">
        <v>470</v>
      </c>
      <c r="C6" s="269" t="s">
        <v>35</v>
      </c>
      <c r="D6" s="269" t="s">
        <v>34</v>
      </c>
      <c r="E6" s="269" t="s">
        <v>35</v>
      </c>
      <c r="F6" s="269" t="s">
        <v>34</v>
      </c>
      <c r="G6" s="269" t="s">
        <v>35</v>
      </c>
      <c r="H6" s="269" t="s">
        <v>34</v>
      </c>
      <c r="I6" s="269" t="s">
        <v>35</v>
      </c>
      <c r="J6" s="269" t="s">
        <v>34</v>
      </c>
      <c r="K6" s="269" t="s">
        <v>35</v>
      </c>
      <c r="L6" s="269" t="s">
        <v>34</v>
      </c>
      <c r="M6" s="270"/>
      <c r="N6" s="270"/>
      <c r="O6" s="270"/>
      <c r="P6" s="270"/>
    </row>
    <row r="7" spans="1:16" s="272" customFormat="1" ht="6.75" customHeight="1">
      <c r="A7" s="156"/>
      <c r="B7" s="156"/>
      <c r="C7" s="156"/>
      <c r="D7" s="156"/>
      <c r="E7" s="156"/>
      <c r="F7" s="156"/>
      <c r="G7" s="156"/>
      <c r="H7" s="156"/>
      <c r="I7" s="156"/>
      <c r="J7" s="156"/>
      <c r="K7" s="156"/>
      <c r="L7" s="156"/>
      <c r="M7" s="170"/>
      <c r="N7" s="170"/>
      <c r="O7" s="170"/>
      <c r="P7" s="170"/>
    </row>
    <row r="8" spans="1:16" s="121" customFormat="1" ht="15" hidden="1">
      <c r="A8" s="152">
        <v>1976</v>
      </c>
      <c r="B8" s="157">
        <v>55599.808000000005</v>
      </c>
      <c r="C8" s="157">
        <v>-2084.1976711644538</v>
      </c>
      <c r="D8" s="277">
        <f>C8/B8*100</f>
        <v>-3.7485699072278331</v>
      </c>
      <c r="E8" s="278">
        <v>0</v>
      </c>
      <c r="F8" s="279">
        <f>E8/B8*100</f>
        <v>0</v>
      </c>
      <c r="G8" s="157">
        <v>712.36124086444818</v>
      </c>
      <c r="H8" s="277">
        <f>G8/B8*100</f>
        <v>1.2812296777435779</v>
      </c>
      <c r="I8" s="157">
        <v>-1371.8364303000012</v>
      </c>
      <c r="J8" s="277">
        <f>I8/B8*100</f>
        <v>-2.4673402294842477</v>
      </c>
      <c r="K8" s="278">
        <v>0</v>
      </c>
      <c r="L8" s="279">
        <v>0</v>
      </c>
      <c r="M8" s="142"/>
      <c r="N8" s="130"/>
      <c r="O8" s="130"/>
      <c r="P8" s="130"/>
    </row>
    <row r="9" spans="1:16" ht="15" hidden="1">
      <c r="A9" s="152">
        <v>1977</v>
      </c>
      <c r="B9" s="157">
        <v>61430.157999999996</v>
      </c>
      <c r="C9" s="157">
        <v>-1472.3052320979466</v>
      </c>
      <c r="D9" s="277">
        <f t="shared" ref="D9:D48" si="0">C9/B9*100</f>
        <v>-2.3967140571214984</v>
      </c>
      <c r="E9" s="278">
        <v>0</v>
      </c>
      <c r="F9" s="279">
        <f t="shared" ref="F9:F48" si="1">E9/B9*100</f>
        <v>0</v>
      </c>
      <c r="G9" s="157">
        <v>867.80135393171076</v>
      </c>
      <c r="H9" s="277">
        <f t="shared" ref="H9:H48" si="2">G9/B9*100</f>
        <v>1.4126633923547955</v>
      </c>
      <c r="I9" s="157">
        <v>-604.50387816622606</v>
      </c>
      <c r="J9" s="277">
        <f t="shared" ref="J9:J44" si="3">I9/B9*100</f>
        <v>-0.9840506647666869</v>
      </c>
      <c r="K9" s="278">
        <v>0</v>
      </c>
      <c r="L9" s="279">
        <v>0</v>
      </c>
      <c r="M9" s="142"/>
      <c r="N9" s="273"/>
      <c r="O9" s="273"/>
      <c r="P9" s="273"/>
    </row>
    <row r="10" spans="1:16" ht="15" hidden="1">
      <c r="A10" s="152">
        <v>1978</v>
      </c>
      <c r="B10" s="157">
        <v>64958.720000000001</v>
      </c>
      <c r="C10" s="157">
        <v>-1954.4469704884164</v>
      </c>
      <c r="D10" s="277">
        <f t="shared" si="0"/>
        <v>-3.0087522822007831</v>
      </c>
      <c r="E10" s="278">
        <v>0</v>
      </c>
      <c r="F10" s="279">
        <f t="shared" si="1"/>
        <v>0</v>
      </c>
      <c r="G10" s="157">
        <v>1127.0059277374985</v>
      </c>
      <c r="H10" s="277">
        <f t="shared" si="2"/>
        <v>1.7349571046620045</v>
      </c>
      <c r="I10" s="157">
        <v>-827.44104275091922</v>
      </c>
      <c r="J10" s="277">
        <f t="shared" si="3"/>
        <v>-1.2737951775387804</v>
      </c>
      <c r="K10" s="278">
        <v>0</v>
      </c>
      <c r="L10" s="279">
        <v>0</v>
      </c>
      <c r="M10" s="142"/>
      <c r="N10" s="273"/>
      <c r="O10" s="273"/>
      <c r="P10" s="273"/>
    </row>
    <row r="11" spans="1:16" ht="15">
      <c r="A11" s="152">
        <v>1979</v>
      </c>
      <c r="B11" s="157">
        <v>71315.383999999991</v>
      </c>
      <c r="C11" s="157">
        <v>-1975.9889942543582</v>
      </c>
      <c r="D11" s="277">
        <f t="shared" si="0"/>
        <v>-2.7707752288823944</v>
      </c>
      <c r="E11" s="278" t="s">
        <v>818</v>
      </c>
      <c r="F11" s="278" t="s">
        <v>818</v>
      </c>
      <c r="G11" s="157">
        <v>1302.8936027251691</v>
      </c>
      <c r="H11" s="277">
        <f t="shared" si="2"/>
        <v>1.8269460663987582</v>
      </c>
      <c r="I11" s="157">
        <v>-673.09539152918319</v>
      </c>
      <c r="J11" s="277">
        <f t="shared" si="3"/>
        <v>-0.94382916248362791</v>
      </c>
      <c r="K11" s="278">
        <v>0</v>
      </c>
      <c r="L11" s="279">
        <v>0</v>
      </c>
      <c r="M11" s="142"/>
      <c r="N11" s="273"/>
      <c r="O11" s="273"/>
      <c r="P11" s="273"/>
    </row>
    <row r="12" spans="1:16" ht="15">
      <c r="A12" s="152">
        <v>1980</v>
      </c>
      <c r="B12" s="157">
        <v>76595.709999999992</v>
      </c>
      <c r="C12" s="157">
        <v>-1597.7113094945457</v>
      </c>
      <c r="D12" s="277">
        <f t="shared" si="0"/>
        <v>-2.085901820734537</v>
      </c>
      <c r="E12" s="157">
        <v>27002.390936244123</v>
      </c>
      <c r="F12" s="279">
        <f t="shared" si="1"/>
        <v>35.25313746193374</v>
      </c>
      <c r="G12" s="157">
        <v>1540.2125413726087</v>
      </c>
      <c r="H12" s="277">
        <f t="shared" si="2"/>
        <v>2.010833950586278</v>
      </c>
      <c r="I12" s="157">
        <v>-57.498768121936564</v>
      </c>
      <c r="J12" s="277">
        <f t="shared" si="3"/>
        <v>-7.50678701482584E-2</v>
      </c>
      <c r="K12" s="278">
        <v>0</v>
      </c>
      <c r="L12" s="279">
        <v>0</v>
      </c>
      <c r="M12" s="142"/>
      <c r="N12" s="273"/>
      <c r="O12" s="273"/>
      <c r="P12" s="273"/>
    </row>
    <row r="13" spans="1:16" ht="15">
      <c r="A13" s="152">
        <v>1981</v>
      </c>
      <c r="B13" s="157">
        <v>81596.948999999993</v>
      </c>
      <c r="C13" s="157">
        <v>-1711.9415156088642</v>
      </c>
      <c r="D13" s="277">
        <f t="shared" si="0"/>
        <v>-2.0980459889607688</v>
      </c>
      <c r="E13" s="157">
        <v>30156.755303300073</v>
      </c>
      <c r="F13" s="279">
        <f t="shared" si="1"/>
        <v>36.95818982557801</v>
      </c>
      <c r="G13" s="157">
        <v>1845.4621818807937</v>
      </c>
      <c r="H13" s="277">
        <f t="shared" si="2"/>
        <v>2.2616803746924332</v>
      </c>
      <c r="I13" s="157">
        <v>133.52066627193562</v>
      </c>
      <c r="J13" s="277">
        <f t="shared" si="3"/>
        <v>0.16363438573167194</v>
      </c>
      <c r="K13" s="278">
        <v>0</v>
      </c>
      <c r="L13" s="279">
        <v>0</v>
      </c>
      <c r="M13" s="142"/>
      <c r="N13" s="273"/>
      <c r="O13" s="273"/>
      <c r="P13" s="273"/>
    </row>
    <row r="14" spans="1:16" ht="15" customHeight="1">
      <c r="A14" s="152">
        <v>1982</v>
      </c>
      <c r="B14" s="157">
        <v>87625.032000000007</v>
      </c>
      <c r="C14" s="157">
        <v>-3197.6217008159033</v>
      </c>
      <c r="D14" s="277">
        <f t="shared" si="0"/>
        <v>-3.6492103087801473</v>
      </c>
      <c r="E14" s="157">
        <v>34410.150941476561</v>
      </c>
      <c r="F14" s="279">
        <f t="shared" si="1"/>
        <v>39.26977275338006</v>
      </c>
      <c r="G14" s="157">
        <v>2242.1252821766843</v>
      </c>
      <c r="H14" s="277">
        <f t="shared" si="2"/>
        <v>2.558772568752596</v>
      </c>
      <c r="I14" s="157">
        <v>-955.49641863923034</v>
      </c>
      <c r="J14" s="277">
        <f t="shared" si="3"/>
        <v>-1.0904377400275647</v>
      </c>
      <c r="K14" s="278">
        <v>0</v>
      </c>
      <c r="L14" s="279">
        <v>0</v>
      </c>
      <c r="M14" s="142"/>
      <c r="N14" s="273"/>
      <c r="O14" s="273"/>
      <c r="P14" s="273"/>
    </row>
    <row r="15" spans="1:16" s="276" customFormat="1" ht="12.75" customHeight="1">
      <c r="A15" s="152">
        <v>1983</v>
      </c>
      <c r="B15" s="157">
        <v>93331.880999999994</v>
      </c>
      <c r="C15" s="157">
        <v>-4209.7139250765313</v>
      </c>
      <c r="D15" s="277">
        <f t="shared" si="0"/>
        <v>-4.5104779631265881</v>
      </c>
      <c r="E15" s="157">
        <v>40575.060136770269</v>
      </c>
      <c r="F15" s="279">
        <f t="shared" si="1"/>
        <v>43.473955203763943</v>
      </c>
      <c r="G15" s="157">
        <v>2327.8338497368882</v>
      </c>
      <c r="H15" s="277">
        <f t="shared" si="2"/>
        <v>2.4941465068478457</v>
      </c>
      <c r="I15" s="157">
        <v>-1881.8800753396513</v>
      </c>
      <c r="J15" s="277">
        <f t="shared" si="3"/>
        <v>-2.0163314562787518</v>
      </c>
      <c r="K15" s="278">
        <v>0</v>
      </c>
      <c r="L15" s="279">
        <v>0</v>
      </c>
      <c r="M15" s="142"/>
      <c r="N15" s="275"/>
      <c r="O15" s="275"/>
      <c r="P15" s="275"/>
    </row>
    <row r="16" spans="1:16" ht="12.75" customHeight="1">
      <c r="A16" s="152">
        <v>1984</v>
      </c>
      <c r="B16" s="157">
        <v>98011.346000000005</v>
      </c>
      <c r="C16" s="157">
        <v>-2883.1670639493163</v>
      </c>
      <c r="D16" s="277">
        <f t="shared" si="0"/>
        <v>-2.9416666351560115</v>
      </c>
      <c r="E16" s="157">
        <v>44935.866223846868</v>
      </c>
      <c r="F16" s="279">
        <f t="shared" si="1"/>
        <v>45.847616686997512</v>
      </c>
      <c r="G16" s="157">
        <v>2795.9516791003443</v>
      </c>
      <c r="H16" s="277">
        <f t="shared" si="2"/>
        <v>2.8526816467762255</v>
      </c>
      <c r="I16" s="157">
        <v>-87.21538484895791</v>
      </c>
      <c r="J16" s="277">
        <f t="shared" si="3"/>
        <v>-8.8984988379771771E-2</v>
      </c>
      <c r="K16" s="278">
        <v>0</v>
      </c>
      <c r="L16" s="279">
        <v>0</v>
      </c>
      <c r="M16" s="142"/>
      <c r="N16" s="273"/>
      <c r="O16" s="273"/>
      <c r="P16" s="273"/>
    </row>
    <row r="17" spans="1:16" s="276" customFormat="1" ht="12.75" customHeight="1">
      <c r="A17" s="152">
        <v>1985</v>
      </c>
      <c r="B17" s="157">
        <v>103419.239</v>
      </c>
      <c r="C17" s="157">
        <v>-3180.7652210644264</v>
      </c>
      <c r="D17" s="277">
        <f t="shared" si="0"/>
        <v>-3.0756030036775135</v>
      </c>
      <c r="E17" s="157">
        <v>49578.570234660576</v>
      </c>
      <c r="F17" s="279">
        <f t="shared" si="1"/>
        <v>47.939407323100276</v>
      </c>
      <c r="G17" s="157">
        <v>3103.4900572943602</v>
      </c>
      <c r="H17" s="277">
        <f t="shared" si="2"/>
        <v>3.0008827054841896</v>
      </c>
      <c r="I17" s="157">
        <v>-77.275163770069867</v>
      </c>
      <c r="J17" s="277">
        <f t="shared" si="3"/>
        <v>-7.4720298193327317E-2</v>
      </c>
      <c r="K17" s="278">
        <v>0</v>
      </c>
      <c r="L17" s="279">
        <v>0</v>
      </c>
      <c r="M17" s="142"/>
      <c r="N17" s="275"/>
      <c r="O17" s="275"/>
      <c r="P17" s="275"/>
    </row>
    <row r="18" spans="1:16" ht="15">
      <c r="A18" s="152">
        <v>1986</v>
      </c>
      <c r="B18" s="157">
        <v>108956.92200000001</v>
      </c>
      <c r="C18" s="157">
        <v>-4495.7924998215667</v>
      </c>
      <c r="D18" s="277">
        <f t="shared" si="0"/>
        <v>-4.1262109990786691</v>
      </c>
      <c r="E18" s="157">
        <v>57104.932305254966</v>
      </c>
      <c r="F18" s="279">
        <f t="shared" si="1"/>
        <v>52.41055938167468</v>
      </c>
      <c r="G18" s="157">
        <v>3371.2998712459635</v>
      </c>
      <c r="H18" s="277">
        <f t="shared" si="2"/>
        <v>3.0941585071997202</v>
      </c>
      <c r="I18" s="157">
        <v>-1124.4926285755969</v>
      </c>
      <c r="J18" s="277">
        <f t="shared" si="3"/>
        <v>-1.0320524918789435</v>
      </c>
      <c r="K18" s="278">
        <v>0</v>
      </c>
      <c r="L18" s="279">
        <v>0</v>
      </c>
      <c r="M18" s="142"/>
      <c r="N18" s="273"/>
      <c r="O18" s="273"/>
      <c r="P18" s="273"/>
    </row>
    <row r="19" spans="1:16" ht="15">
      <c r="A19" s="152">
        <v>1987</v>
      </c>
      <c r="B19" s="157">
        <v>113089.09199999999</v>
      </c>
      <c r="C19" s="157">
        <v>-5351.3714490921757</v>
      </c>
      <c r="D19" s="277">
        <f t="shared" si="0"/>
        <v>-4.7319961231028156</v>
      </c>
      <c r="E19" s="157">
        <v>63956.963147605784</v>
      </c>
      <c r="F19" s="279">
        <f t="shared" si="1"/>
        <v>56.554493467509481</v>
      </c>
      <c r="G19" s="157">
        <v>3790.729941404571</v>
      </c>
      <c r="H19" s="277">
        <f t="shared" si="2"/>
        <v>3.3519854783205538</v>
      </c>
      <c r="I19" s="157">
        <v>-1560.6415076876283</v>
      </c>
      <c r="J19" s="277">
        <f t="shared" si="3"/>
        <v>-1.3800106447822824</v>
      </c>
      <c r="K19" s="278">
        <v>0</v>
      </c>
      <c r="L19" s="279">
        <v>0</v>
      </c>
      <c r="M19" s="142"/>
      <c r="N19" s="273"/>
      <c r="O19" s="273"/>
      <c r="P19" s="273"/>
    </row>
    <row r="20" spans="1:16" ht="15">
      <c r="A20" s="152">
        <v>1988</v>
      </c>
      <c r="B20" s="157">
        <v>118582.10699999999</v>
      </c>
      <c r="C20" s="157">
        <v>-4164.0273520518695</v>
      </c>
      <c r="D20" s="277">
        <f t="shared" si="0"/>
        <v>-3.5115140533401639</v>
      </c>
      <c r="E20" s="157">
        <v>68264.209355900661</v>
      </c>
      <c r="F20" s="279">
        <f t="shared" si="1"/>
        <v>57.567040325823072</v>
      </c>
      <c r="G20" s="157">
        <v>3927.2937443431374</v>
      </c>
      <c r="H20" s="277">
        <f t="shared" si="2"/>
        <v>3.3118771825694902</v>
      </c>
      <c r="I20" s="157">
        <v>-236.73360770871568</v>
      </c>
      <c r="J20" s="277">
        <f t="shared" si="3"/>
        <v>-0.19963687077065995</v>
      </c>
      <c r="K20" s="278">
        <v>0</v>
      </c>
      <c r="L20" s="279">
        <v>0</v>
      </c>
      <c r="M20" s="142"/>
      <c r="N20" s="273"/>
      <c r="O20" s="273"/>
      <c r="P20" s="273"/>
    </row>
    <row r="21" spans="1:16" ht="15">
      <c r="A21" s="152">
        <v>1989</v>
      </c>
      <c r="B21" s="157">
        <v>126835.81</v>
      </c>
      <c r="C21" s="157">
        <v>-3989.8593158078893</v>
      </c>
      <c r="D21" s="277">
        <f t="shared" si="0"/>
        <v>-3.1456883634108452</v>
      </c>
      <c r="E21" s="157">
        <v>71704.541325407146</v>
      </c>
      <c r="F21" s="279">
        <f t="shared" si="1"/>
        <v>56.533357042784019</v>
      </c>
      <c r="G21" s="157">
        <v>4186.9070892088366</v>
      </c>
      <c r="H21" s="277">
        <f t="shared" si="2"/>
        <v>3.3010449408639695</v>
      </c>
      <c r="I21" s="157">
        <v>197.04777340094188</v>
      </c>
      <c r="J21" s="277">
        <f t="shared" si="3"/>
        <v>0.15535657745311982</v>
      </c>
      <c r="K21" s="278">
        <v>0</v>
      </c>
      <c r="L21" s="279">
        <v>0</v>
      </c>
      <c r="M21" s="142"/>
      <c r="N21" s="273"/>
      <c r="O21" s="273"/>
      <c r="P21" s="273"/>
    </row>
    <row r="22" spans="1:16" ht="15">
      <c r="A22" s="152">
        <v>1990</v>
      </c>
      <c r="B22" s="157">
        <v>136212.90899999999</v>
      </c>
      <c r="C22" s="157">
        <v>-3547.5607150651808</v>
      </c>
      <c r="D22" s="277">
        <f t="shared" si="0"/>
        <v>-2.604423281985103</v>
      </c>
      <c r="E22" s="157">
        <v>76518.462533520345</v>
      </c>
      <c r="F22" s="279">
        <f t="shared" si="1"/>
        <v>56.175632027299528</v>
      </c>
      <c r="G22" s="157">
        <v>4664.5891312240637</v>
      </c>
      <c r="H22" s="277">
        <f t="shared" si="2"/>
        <v>3.424483894712258</v>
      </c>
      <c r="I22" s="157">
        <v>1117.0284161589007</v>
      </c>
      <c r="J22" s="277">
        <f t="shared" si="3"/>
        <v>0.82006061272716868</v>
      </c>
      <c r="K22" s="278">
        <v>0</v>
      </c>
      <c r="L22" s="279">
        <v>0</v>
      </c>
      <c r="M22" s="142"/>
      <c r="N22" s="273"/>
      <c r="O22" s="273"/>
      <c r="P22" s="273"/>
    </row>
    <row r="23" spans="1:16" ht="15">
      <c r="A23" s="152">
        <v>1991</v>
      </c>
      <c r="B23" s="157">
        <v>146083.16199999998</v>
      </c>
      <c r="C23" s="157">
        <v>-4403.706813287964</v>
      </c>
      <c r="D23" s="277">
        <f t="shared" si="0"/>
        <v>-3.0145204642325343</v>
      </c>
      <c r="E23" s="157">
        <v>82330.981155934103</v>
      </c>
      <c r="F23" s="279">
        <f t="shared" si="1"/>
        <v>56.358980753671062</v>
      </c>
      <c r="G23" s="157">
        <v>5300.9998440892068</v>
      </c>
      <c r="H23" s="277">
        <f t="shared" si="2"/>
        <v>3.6287548623086399</v>
      </c>
      <c r="I23" s="157">
        <v>897.29303080124191</v>
      </c>
      <c r="J23" s="277">
        <f t="shared" si="3"/>
        <v>0.61423439807610547</v>
      </c>
      <c r="K23" s="278">
        <v>0</v>
      </c>
      <c r="L23" s="279">
        <v>0</v>
      </c>
      <c r="M23" s="142"/>
      <c r="N23" s="273"/>
      <c r="O23" s="273"/>
      <c r="P23" s="273"/>
    </row>
    <row r="24" spans="1:16" ht="15">
      <c r="A24" s="152">
        <v>1992</v>
      </c>
      <c r="B24" s="157">
        <v>154206.88100000002</v>
      </c>
      <c r="C24" s="157">
        <v>-3188.7898767011443</v>
      </c>
      <c r="D24" s="277">
        <f t="shared" si="0"/>
        <v>-2.0678648423614403</v>
      </c>
      <c r="E24" s="157">
        <v>86813.586913076011</v>
      </c>
      <c r="F24" s="279">
        <f t="shared" si="1"/>
        <v>56.29683082240409</v>
      </c>
      <c r="G24" s="157">
        <v>5755.7059464881104</v>
      </c>
      <c r="H24" s="277">
        <f t="shared" si="2"/>
        <v>3.7324572737374209</v>
      </c>
      <c r="I24" s="157">
        <v>2566.9160697869602</v>
      </c>
      <c r="J24" s="277">
        <f t="shared" si="3"/>
        <v>1.664592431375977</v>
      </c>
      <c r="K24" s="278">
        <v>0</v>
      </c>
      <c r="L24" s="279">
        <v>0</v>
      </c>
      <c r="M24" s="142"/>
      <c r="N24" s="273"/>
      <c r="O24" s="273"/>
      <c r="P24" s="273"/>
    </row>
    <row r="25" spans="1:16" ht="15">
      <c r="A25" s="152">
        <v>1993</v>
      </c>
      <c r="B25" s="157">
        <v>159160.39599999998</v>
      </c>
      <c r="C25" s="157">
        <v>-7142.5852330927883</v>
      </c>
      <c r="D25" s="277">
        <f t="shared" si="0"/>
        <v>-4.4876649044607735</v>
      </c>
      <c r="E25" s="157">
        <v>97041.779612363083</v>
      </c>
      <c r="F25" s="279">
        <f t="shared" si="1"/>
        <v>60.971059416290409</v>
      </c>
      <c r="G25" s="157">
        <v>6179.1361817780262</v>
      </c>
      <c r="H25" s="277">
        <f t="shared" si="2"/>
        <v>3.8823327517845749</v>
      </c>
      <c r="I25" s="157">
        <v>-963.44905131477663</v>
      </c>
      <c r="J25" s="277">
        <f t="shared" si="3"/>
        <v>-0.60533215267620766</v>
      </c>
      <c r="K25" s="278">
        <v>0</v>
      </c>
      <c r="L25" s="279">
        <v>0</v>
      </c>
      <c r="M25" s="142"/>
      <c r="N25" s="273"/>
      <c r="O25" s="273"/>
      <c r="P25" s="273"/>
    </row>
    <row r="26" spans="1:16" ht="15">
      <c r="A26" s="152">
        <v>1994</v>
      </c>
      <c r="B26" s="157">
        <v>167009.878</v>
      </c>
      <c r="C26" s="157">
        <v>-8324.8796943222587</v>
      </c>
      <c r="D26" s="277">
        <f t="shared" si="0"/>
        <v>-4.9846630594642187</v>
      </c>
      <c r="E26" s="157">
        <v>107078.18870228119</v>
      </c>
      <c r="F26" s="279">
        <f t="shared" si="1"/>
        <v>64.114883493466891</v>
      </c>
      <c r="G26" s="157">
        <v>6136.3370336948356</v>
      </c>
      <c r="H26" s="277">
        <f t="shared" si="2"/>
        <v>3.6742359836313612</v>
      </c>
      <c r="I26" s="157">
        <v>-2188.5426606274195</v>
      </c>
      <c r="J26" s="277">
        <f t="shared" si="3"/>
        <v>-1.3104270758328556</v>
      </c>
      <c r="K26" s="278">
        <v>0</v>
      </c>
      <c r="L26" s="279">
        <v>0</v>
      </c>
      <c r="M26" s="142"/>
      <c r="N26" s="273"/>
      <c r="O26" s="273"/>
      <c r="P26" s="273"/>
    </row>
    <row r="27" spans="1:16" ht="15">
      <c r="A27" s="152">
        <v>1995</v>
      </c>
      <c r="B27" s="157">
        <v>176183.30482689699</v>
      </c>
      <c r="C27" s="157">
        <v>-10831.569165777502</v>
      </c>
      <c r="D27" s="277">
        <f t="shared" si="0"/>
        <v>-6.1478975981405837</v>
      </c>
      <c r="E27" s="157">
        <v>119834.21236839445</v>
      </c>
      <c r="F27" s="279">
        <f t="shared" si="1"/>
        <v>68.016780867025702</v>
      </c>
      <c r="G27" s="157">
        <v>7067.019946219848</v>
      </c>
      <c r="H27" s="277">
        <f t="shared" si="2"/>
        <v>4.0111745849944818</v>
      </c>
      <c r="I27" s="157">
        <v>-3764.5492195576544</v>
      </c>
      <c r="J27" s="277">
        <f t="shared" si="3"/>
        <v>-2.1367230131461015</v>
      </c>
      <c r="K27" s="278">
        <v>0</v>
      </c>
      <c r="L27" s="279">
        <v>0</v>
      </c>
      <c r="M27" s="142"/>
      <c r="N27" s="273"/>
      <c r="O27" s="273"/>
      <c r="P27" s="273"/>
    </row>
    <row r="28" spans="1:16" ht="15">
      <c r="A28" s="152">
        <v>1996</v>
      </c>
      <c r="B28" s="157">
        <v>182132.75264493399</v>
      </c>
      <c r="C28" s="157">
        <v>-7936.4217591495108</v>
      </c>
      <c r="D28" s="277">
        <f t="shared" si="0"/>
        <v>-4.3574928967452031</v>
      </c>
      <c r="E28" s="157">
        <v>123775.85289630255</v>
      </c>
      <c r="F28" s="279">
        <f t="shared" si="1"/>
        <v>67.959140296749567</v>
      </c>
      <c r="G28" s="157">
        <v>7164.7297120682224</v>
      </c>
      <c r="H28" s="277">
        <f t="shared" si="2"/>
        <v>3.9337953267723309</v>
      </c>
      <c r="I28" s="157">
        <v>-771.69204708128837</v>
      </c>
      <c r="J28" s="277">
        <f t="shared" si="3"/>
        <v>-0.42369756997287267</v>
      </c>
      <c r="K28" s="278">
        <v>0</v>
      </c>
      <c r="L28" s="279">
        <v>0</v>
      </c>
      <c r="M28" s="142"/>
      <c r="N28" s="273"/>
      <c r="O28" s="273"/>
      <c r="P28" s="273"/>
    </row>
    <row r="29" spans="1:16" ht="15">
      <c r="A29" s="152">
        <v>1997</v>
      </c>
      <c r="B29" s="157">
        <v>188309.679311577</v>
      </c>
      <c r="C29" s="157">
        <v>-4498.5092530174297</v>
      </c>
      <c r="D29" s="277">
        <f t="shared" si="0"/>
        <v>-2.3888890201837163</v>
      </c>
      <c r="E29" s="157">
        <v>119001.3231756044</v>
      </c>
      <c r="F29" s="279">
        <f t="shared" si="1"/>
        <v>63.194480289409306</v>
      </c>
      <c r="G29" s="157">
        <v>6800.8615620261226</v>
      </c>
      <c r="H29" s="277">
        <f t="shared" si="2"/>
        <v>3.6115305314568689</v>
      </c>
      <c r="I29" s="157">
        <v>2302.3523090086928</v>
      </c>
      <c r="J29" s="277">
        <f t="shared" si="3"/>
        <v>1.222641511273153</v>
      </c>
      <c r="K29" s="278">
        <v>0</v>
      </c>
      <c r="L29" s="279">
        <v>0</v>
      </c>
      <c r="M29" s="142"/>
      <c r="N29" s="273"/>
      <c r="O29" s="273"/>
      <c r="P29" s="273"/>
    </row>
    <row r="30" spans="1:16" ht="15">
      <c r="A30" s="152">
        <v>1998</v>
      </c>
      <c r="B30" s="157">
        <v>195828.190279356</v>
      </c>
      <c r="C30" s="157">
        <v>-5335.0692139955063</v>
      </c>
      <c r="D30" s="277">
        <f t="shared" si="0"/>
        <v>-2.7243622107648737</v>
      </c>
      <c r="E30" s="157">
        <v>124559.17387301652</v>
      </c>
      <c r="F30" s="279">
        <f t="shared" si="1"/>
        <v>63.606354986648427</v>
      </c>
      <c r="G30" s="157">
        <v>7027.3249771926239</v>
      </c>
      <c r="H30" s="277">
        <f t="shared" si="2"/>
        <v>3.5885155079909028</v>
      </c>
      <c r="I30" s="157">
        <v>1692.2557631971176</v>
      </c>
      <c r="J30" s="277">
        <f t="shared" si="3"/>
        <v>0.86415329722602929</v>
      </c>
      <c r="K30" s="278">
        <v>0</v>
      </c>
      <c r="L30" s="279">
        <v>0</v>
      </c>
      <c r="M30" s="142"/>
      <c r="N30" s="273"/>
      <c r="O30" s="273"/>
      <c r="P30" s="273"/>
    </row>
    <row r="31" spans="1:16" ht="15">
      <c r="A31" s="152">
        <v>1999</v>
      </c>
      <c r="B31" s="157">
        <v>203418.32623664199</v>
      </c>
      <c r="C31" s="157">
        <v>-5282.5320508984878</v>
      </c>
      <c r="D31" s="277">
        <f t="shared" si="0"/>
        <v>-2.5968810916048817</v>
      </c>
      <c r="E31" s="157">
        <v>135123.28852007704</v>
      </c>
      <c r="F31" s="279">
        <f t="shared" si="1"/>
        <v>66.426310264142316</v>
      </c>
      <c r="G31" s="157">
        <v>7004.1187929828538</v>
      </c>
      <c r="H31" s="277">
        <f t="shared" si="2"/>
        <v>3.4432093324938551</v>
      </c>
      <c r="I31" s="157">
        <v>1721.5867420843661</v>
      </c>
      <c r="J31" s="277">
        <f t="shared" si="3"/>
        <v>0.84632824088897385</v>
      </c>
      <c r="K31" s="278">
        <v>0</v>
      </c>
      <c r="L31" s="279">
        <v>0</v>
      </c>
      <c r="M31" s="142"/>
      <c r="N31" s="273"/>
      <c r="O31" s="273"/>
      <c r="P31" s="273"/>
    </row>
    <row r="32" spans="1:16" ht="15">
      <c r="A32" s="152">
        <v>2000</v>
      </c>
      <c r="B32" s="157">
        <v>213196.120744299</v>
      </c>
      <c r="C32" s="157">
        <v>-4367.4898822741379</v>
      </c>
      <c r="D32" s="277">
        <f t="shared" si="0"/>
        <v>-2.0485784952496271</v>
      </c>
      <c r="E32" s="157">
        <v>140419.76133928783</v>
      </c>
      <c r="F32" s="279">
        <f t="shared" si="1"/>
        <v>65.864125880462453</v>
      </c>
      <c r="G32" s="157">
        <v>7606.6035284167056</v>
      </c>
      <c r="H32" s="277">
        <f t="shared" si="2"/>
        <v>3.5678902138842554</v>
      </c>
      <c r="I32" s="157">
        <v>3239.1136461425676</v>
      </c>
      <c r="J32" s="277">
        <f t="shared" si="3"/>
        <v>1.5193117186346288</v>
      </c>
      <c r="K32" s="278">
        <v>0</v>
      </c>
      <c r="L32" s="279">
        <v>0</v>
      </c>
      <c r="M32" s="142"/>
      <c r="N32" s="273"/>
      <c r="O32" s="273"/>
      <c r="P32" s="273"/>
    </row>
    <row r="33" spans="1:16" ht="15">
      <c r="A33" s="152">
        <v>2001</v>
      </c>
      <c r="B33" s="157">
        <v>220095.68065189902</v>
      </c>
      <c r="C33" s="157">
        <v>-1356.3452062087454</v>
      </c>
      <c r="D33" s="277">
        <f t="shared" si="0"/>
        <v>-0.61625253262190394</v>
      </c>
      <c r="E33" s="157">
        <v>146328.38223427514</v>
      </c>
      <c r="F33" s="279">
        <f t="shared" si="1"/>
        <v>66.48398632852161</v>
      </c>
      <c r="G33" s="157">
        <v>7953.0685117292624</v>
      </c>
      <c r="H33" s="277">
        <f t="shared" si="2"/>
        <v>3.6134596045561436</v>
      </c>
      <c r="I33" s="157">
        <v>6596.723305520517</v>
      </c>
      <c r="J33" s="277">
        <f t="shared" si="3"/>
        <v>2.9972070719342394</v>
      </c>
      <c r="K33" s="278">
        <v>0</v>
      </c>
      <c r="L33" s="279">
        <v>0</v>
      </c>
      <c r="M33" s="142"/>
      <c r="N33" s="273"/>
      <c r="O33" s="273"/>
      <c r="P33" s="273"/>
    </row>
    <row r="34" spans="1:16" ht="15">
      <c r="A34" s="152">
        <v>2002</v>
      </c>
      <c r="B34" s="157">
        <v>226302.64657064198</v>
      </c>
      <c r="C34" s="157">
        <v>-3043.3995528990927</v>
      </c>
      <c r="D34" s="277">
        <f t="shared" si="0"/>
        <v>-1.3448360410354607</v>
      </c>
      <c r="E34" s="157">
        <v>150019.12172021001</v>
      </c>
      <c r="F34" s="279">
        <f t="shared" si="1"/>
        <v>66.291368657670773</v>
      </c>
      <c r="G34" s="157">
        <v>7809.7525458183691</v>
      </c>
      <c r="H34" s="277">
        <f t="shared" si="2"/>
        <v>3.4510213045080311</v>
      </c>
      <c r="I34" s="157">
        <v>4766.3529929192764</v>
      </c>
      <c r="J34" s="277">
        <f t="shared" si="3"/>
        <v>2.1061852634725708</v>
      </c>
      <c r="K34" s="278">
        <v>0</v>
      </c>
      <c r="L34" s="279">
        <v>0</v>
      </c>
      <c r="M34" s="142"/>
      <c r="N34" s="273"/>
      <c r="O34" s="273"/>
      <c r="P34" s="273"/>
    </row>
    <row r="35" spans="1:16" ht="15">
      <c r="A35" s="152">
        <v>2003</v>
      </c>
      <c r="B35" s="157">
        <v>230999.22600666501</v>
      </c>
      <c r="C35" s="157">
        <v>-4078.7206660661177</v>
      </c>
      <c r="D35" s="277">
        <f t="shared" si="0"/>
        <v>-1.7656858581631933</v>
      </c>
      <c r="E35" s="157">
        <v>151286.31141421001</v>
      </c>
      <c r="F35" s="279">
        <f t="shared" si="1"/>
        <v>65.492129142391562</v>
      </c>
      <c r="G35" s="157">
        <v>7373.0892491825007</v>
      </c>
      <c r="H35" s="277">
        <f t="shared" si="2"/>
        <v>3.1918242223762974</v>
      </c>
      <c r="I35" s="157">
        <v>3294.368583116383</v>
      </c>
      <c r="J35" s="277">
        <f t="shared" si="3"/>
        <v>1.4261383642131038</v>
      </c>
      <c r="K35" s="157">
        <f t="shared" ref="K35:K48" si="4">B35/100*L35</f>
        <v>-2135.5878444316181</v>
      </c>
      <c r="L35" s="277">
        <v>-0.92449999999999999</v>
      </c>
      <c r="M35" s="142"/>
      <c r="P35" s="273"/>
    </row>
    <row r="36" spans="1:16" ht="15">
      <c r="A36" s="152">
        <v>2004</v>
      </c>
      <c r="B36" s="157">
        <v>241505.01923931399</v>
      </c>
      <c r="C36" s="157">
        <v>-11534.535808710163</v>
      </c>
      <c r="D36" s="277">
        <f t="shared" si="0"/>
        <v>-4.7761060391379582</v>
      </c>
      <c r="E36" s="157">
        <v>156500.61280935875</v>
      </c>
      <c r="F36" s="279">
        <f t="shared" si="1"/>
        <v>64.802219557299551</v>
      </c>
      <c r="G36" s="157">
        <v>7283.1887161425075</v>
      </c>
      <c r="H36" s="277">
        <f t="shared" si="2"/>
        <v>3.015750454828185</v>
      </c>
      <c r="I36" s="157">
        <v>-4251.3470925676556</v>
      </c>
      <c r="J36" s="277">
        <f t="shared" si="3"/>
        <v>-1.7603555843097731</v>
      </c>
      <c r="K36" s="157">
        <f t="shared" si="4"/>
        <v>-1779.891991793744</v>
      </c>
      <c r="L36" s="277">
        <v>-0.73699999999999999</v>
      </c>
      <c r="M36" s="142"/>
      <c r="P36" s="273"/>
    </row>
    <row r="37" spans="1:16" ht="15">
      <c r="A37" s="152">
        <v>2005</v>
      </c>
      <c r="B37" s="157">
        <v>253009.24627908997</v>
      </c>
      <c r="C37" s="157">
        <v>-6351.3500960948295</v>
      </c>
      <c r="D37" s="277">
        <f t="shared" si="0"/>
        <v>-2.5103233140692294</v>
      </c>
      <c r="E37" s="157">
        <v>172841.74562664813</v>
      </c>
      <c r="F37" s="279">
        <f t="shared" si="1"/>
        <v>68.314398848486945</v>
      </c>
      <c r="G37" s="157">
        <v>8180.6931919817134</v>
      </c>
      <c r="H37" s="277">
        <f t="shared" si="2"/>
        <v>3.233357401870498</v>
      </c>
      <c r="I37" s="157">
        <v>1829.3430958868839</v>
      </c>
      <c r="J37" s="277">
        <f t="shared" si="3"/>
        <v>0.72303408780126888</v>
      </c>
      <c r="K37" s="157">
        <f t="shared" si="4"/>
        <v>-3252.1808516714227</v>
      </c>
      <c r="L37" s="277">
        <v>-1.2854000000000001</v>
      </c>
      <c r="M37" s="142"/>
      <c r="P37" s="273"/>
    </row>
    <row r="38" spans="1:16" ht="15">
      <c r="A38" s="152">
        <v>2006</v>
      </c>
      <c r="B38" s="157">
        <v>266478.002440129</v>
      </c>
      <c r="C38" s="157">
        <v>-6658.4398707048094</v>
      </c>
      <c r="D38" s="277">
        <f t="shared" si="0"/>
        <v>-2.4986827466934329</v>
      </c>
      <c r="E38" s="157">
        <v>178658.23835307494</v>
      </c>
      <c r="F38" s="279">
        <f t="shared" si="1"/>
        <v>67.044272591774259</v>
      </c>
      <c r="G38" s="157">
        <v>8390.36242264867</v>
      </c>
      <c r="H38" s="277">
        <f t="shared" si="2"/>
        <v>3.1486135237499679</v>
      </c>
      <c r="I38" s="157">
        <v>1731.9225519438605</v>
      </c>
      <c r="J38" s="277">
        <f t="shared" si="3"/>
        <v>0.64993077705653413</v>
      </c>
      <c r="K38" s="157">
        <f t="shared" si="4"/>
        <v>-4838.7075683078629</v>
      </c>
      <c r="L38" s="277">
        <v>-1.8158000000000001</v>
      </c>
      <c r="M38" s="142"/>
      <c r="P38" s="273"/>
    </row>
    <row r="39" spans="1:16" ht="15">
      <c r="A39" s="152">
        <v>2007</v>
      </c>
      <c r="B39" s="157">
        <v>282346.912298835</v>
      </c>
      <c r="C39" s="157">
        <v>-3717.1154092359357</v>
      </c>
      <c r="D39" s="277">
        <f t="shared" si="0"/>
        <v>-1.3165064845128371</v>
      </c>
      <c r="E39" s="157">
        <v>182983.76209030655</v>
      </c>
      <c r="F39" s="279">
        <f t="shared" si="1"/>
        <v>64.808132874722986</v>
      </c>
      <c r="G39" s="157">
        <v>8892.2848184999275</v>
      </c>
      <c r="H39" s="277">
        <f t="shared" si="2"/>
        <v>3.1494181204603939</v>
      </c>
      <c r="I39" s="157">
        <v>5175.1694092639918</v>
      </c>
      <c r="J39" s="277">
        <f t="shared" si="3"/>
        <v>1.8329116359475575</v>
      </c>
      <c r="K39" s="157">
        <f t="shared" si="4"/>
        <v>-5509.1529527748689</v>
      </c>
      <c r="L39" s="277">
        <v>-1.9512</v>
      </c>
      <c r="M39" s="142"/>
      <c r="P39" s="273"/>
    </row>
    <row r="40" spans="1:16" ht="15">
      <c r="A40" s="152">
        <v>2008</v>
      </c>
      <c r="B40" s="157">
        <v>291930.38809036202</v>
      </c>
      <c r="C40" s="157">
        <v>-4228.5728780926438</v>
      </c>
      <c r="D40" s="277">
        <f t="shared" si="0"/>
        <v>-1.448486711422369</v>
      </c>
      <c r="E40" s="157">
        <v>200024.13885084435</v>
      </c>
      <c r="F40" s="279">
        <f t="shared" si="1"/>
        <v>68.517751837787557</v>
      </c>
      <c r="G40" s="157">
        <v>8643.4876840658981</v>
      </c>
      <c r="H40" s="277">
        <f t="shared" si="2"/>
        <v>2.9608043686738279</v>
      </c>
      <c r="I40" s="157">
        <v>4414.9148059732543</v>
      </c>
      <c r="J40" s="277">
        <f t="shared" si="3"/>
        <v>1.5123176572514587</v>
      </c>
      <c r="K40" s="157">
        <f t="shared" si="4"/>
        <v>-5607.1069640515834</v>
      </c>
      <c r="L40" s="277">
        <v>-1.9207000000000001</v>
      </c>
      <c r="M40" s="142"/>
      <c r="P40" s="273"/>
    </row>
    <row r="41" spans="1:16" ht="15">
      <c r="A41" s="152">
        <v>2009</v>
      </c>
      <c r="B41" s="157">
        <v>286188.35538232099</v>
      </c>
      <c r="C41" s="157">
        <v>-15217.712091863388</v>
      </c>
      <c r="D41" s="277">
        <f t="shared" si="0"/>
        <v>-5.3173764081120432</v>
      </c>
      <c r="E41" s="157">
        <v>228165.827370771</v>
      </c>
      <c r="F41" s="279">
        <f t="shared" si="1"/>
        <v>79.725755111860749</v>
      </c>
      <c r="G41" s="157">
        <v>9038.9394608830426</v>
      </c>
      <c r="H41" s="277">
        <f t="shared" si="2"/>
        <v>3.1583882750253278</v>
      </c>
      <c r="I41" s="157">
        <v>-6178.7726309803456</v>
      </c>
      <c r="J41" s="277">
        <f t="shared" si="3"/>
        <v>-2.1589881330867153</v>
      </c>
      <c r="K41" s="157">
        <f t="shared" si="4"/>
        <v>-8070.511621781452</v>
      </c>
      <c r="L41" s="277">
        <v>-2.82</v>
      </c>
      <c r="M41" s="142"/>
      <c r="N41" s="563"/>
      <c r="O41" s="483"/>
      <c r="P41" s="273"/>
    </row>
    <row r="42" spans="1:16" ht="15">
      <c r="A42" s="152">
        <v>2010</v>
      </c>
      <c r="B42" s="157">
        <v>294627.49599999998</v>
      </c>
      <c r="C42" s="157">
        <v>-13104.416615619499</v>
      </c>
      <c r="D42" s="277">
        <f t="shared" si="0"/>
        <v>-4.447791463298965</v>
      </c>
      <c r="E42" s="157">
        <v>242442.12083346272</v>
      </c>
      <c r="F42" s="279">
        <f t="shared" si="1"/>
        <v>82.287676515250539</v>
      </c>
      <c r="G42" s="157">
        <v>8553.0855683287919</v>
      </c>
      <c r="H42" s="277">
        <f t="shared" si="2"/>
        <v>2.9030167531711948</v>
      </c>
      <c r="I42" s="157">
        <v>-4551.3310472907069</v>
      </c>
      <c r="J42" s="277">
        <f t="shared" si="3"/>
        <v>-1.54477471012777</v>
      </c>
      <c r="K42" s="157">
        <f t="shared" si="4"/>
        <v>-9424.2161564194703</v>
      </c>
      <c r="L42" s="277">
        <v>-3.1986886099793859</v>
      </c>
      <c r="N42" s="563"/>
      <c r="O42" s="273"/>
      <c r="P42" s="273"/>
    </row>
    <row r="43" spans="1:16" ht="15">
      <c r="A43" s="152">
        <v>2011</v>
      </c>
      <c r="B43" s="157">
        <v>308630.28200000001</v>
      </c>
      <c r="C43" s="157">
        <v>-7892.8192161407205</v>
      </c>
      <c r="D43" s="277">
        <f t="shared" si="0"/>
        <v>-2.5573703153797203</v>
      </c>
      <c r="E43" s="157">
        <v>253292.6293325859</v>
      </c>
      <c r="F43" s="279">
        <f t="shared" si="1"/>
        <v>82.069921231055957</v>
      </c>
      <c r="G43" s="157">
        <v>8623.3696028939867</v>
      </c>
      <c r="H43" s="277">
        <f t="shared" si="2"/>
        <v>2.7940776086560382</v>
      </c>
      <c r="I43" s="157">
        <v>730.55038675326614</v>
      </c>
      <c r="J43" s="277">
        <f t="shared" si="3"/>
        <v>0.23670729327631762</v>
      </c>
      <c r="K43" s="157">
        <f t="shared" si="4"/>
        <v>-7189.7329133207641</v>
      </c>
      <c r="L43" s="277">
        <v>-2.3295617224368037</v>
      </c>
      <c r="N43" s="563"/>
      <c r="O43" s="142"/>
      <c r="P43" s="273"/>
    </row>
    <row r="44" spans="1:16" ht="15">
      <c r="A44" s="152">
        <v>2012</v>
      </c>
      <c r="B44" s="157">
        <v>317055.821</v>
      </c>
      <c r="C44" s="157">
        <v>-6878.9722157904471</v>
      </c>
      <c r="D44" s="277">
        <f t="shared" si="0"/>
        <v>-2.1696407257542347</v>
      </c>
      <c r="E44" s="157">
        <v>258849.98169692999</v>
      </c>
      <c r="F44" s="279">
        <f t="shared" si="1"/>
        <v>81.641769225530155</v>
      </c>
      <c r="G44" s="157">
        <v>8632.832030233345</v>
      </c>
      <c r="H44" s="277">
        <f t="shared" si="2"/>
        <v>2.7228113973764088</v>
      </c>
      <c r="I44" s="157">
        <v>1753.8598144428979</v>
      </c>
      <c r="J44" s="277">
        <f t="shared" si="3"/>
        <v>0.55317067162217404</v>
      </c>
      <c r="K44" s="157">
        <f t="shared" si="4"/>
        <v>-5457.6730515904701</v>
      </c>
      <c r="L44" s="277">
        <v>-1.7213603063261438</v>
      </c>
      <c r="N44" s="563"/>
      <c r="O44" s="273"/>
      <c r="P44" s="273"/>
    </row>
    <row r="45" spans="1:16" ht="15">
      <c r="A45" s="152">
        <v>2013</v>
      </c>
      <c r="B45" s="157">
        <v>322878.27499999997</v>
      </c>
      <c r="C45" s="157">
        <v>-4085.5721855552983</v>
      </c>
      <c r="D45" s="277">
        <f t="shared" si="0"/>
        <v>-1.2653598900561824</v>
      </c>
      <c r="E45" s="157">
        <v>260924.68033416002</v>
      </c>
      <c r="F45" s="279">
        <f t="shared" si="1"/>
        <v>80.812089427249333</v>
      </c>
      <c r="G45" s="157">
        <v>8390.2436029441633</v>
      </c>
      <c r="H45" s="277">
        <f t="shared" si="2"/>
        <v>2.5985779324868372</v>
      </c>
      <c r="I45" s="157">
        <v>4304.6714173888649</v>
      </c>
      <c r="J45" s="277">
        <f>I45/B45*100</f>
        <v>1.3332180424306546</v>
      </c>
      <c r="K45" s="157">
        <f t="shared" si="4"/>
        <v>-3471.6863890552645</v>
      </c>
      <c r="L45" s="277">
        <v>-1.0752307162986623</v>
      </c>
      <c r="N45" s="563"/>
      <c r="O45" s="273"/>
      <c r="P45" s="273"/>
    </row>
    <row r="46" spans="1:16" ht="15">
      <c r="A46" s="152">
        <v>2014</v>
      </c>
      <c r="B46" s="157">
        <v>329295.56900000002</v>
      </c>
      <c r="C46" s="157">
        <v>-8861.9358607763425</v>
      </c>
      <c r="D46" s="277">
        <f t="shared" si="0"/>
        <v>-2.6911798077599829</v>
      </c>
      <c r="E46" s="157">
        <v>277383.12766445341</v>
      </c>
      <c r="F46" s="279">
        <f t="shared" si="1"/>
        <v>84.235305232562482</v>
      </c>
      <c r="G46" s="157">
        <v>8084.1002952652252</v>
      </c>
      <c r="H46" s="277">
        <f t="shared" si="2"/>
        <v>2.4549678332492912</v>
      </c>
      <c r="I46" s="157">
        <v>-777.83556551111724</v>
      </c>
      <c r="J46" s="277">
        <f t="shared" ref="J46:J48" si="5">I46/B46*100</f>
        <v>-0.2362119745106917</v>
      </c>
      <c r="K46" s="157">
        <f t="shared" si="4"/>
        <v>-1652.8668777762703</v>
      </c>
      <c r="L46" s="277">
        <v>-0.50194021219164053</v>
      </c>
      <c r="N46" s="12"/>
      <c r="O46" s="273"/>
      <c r="P46" s="273"/>
    </row>
    <row r="47" spans="1:16" ht="15">
      <c r="A47" s="152">
        <v>2015</v>
      </c>
      <c r="B47" s="157">
        <v>337120</v>
      </c>
      <c r="C47" s="157">
        <v>-6407.565667730174</v>
      </c>
      <c r="D47" s="277">
        <f t="shared" si="0"/>
        <v>-1.9006779982588318</v>
      </c>
      <c r="E47" s="157">
        <v>291561</v>
      </c>
      <c r="F47" s="279">
        <f t="shared" si="1"/>
        <v>86.485821072615082</v>
      </c>
      <c r="G47" s="157">
        <v>7953.2661334835102</v>
      </c>
      <c r="H47" s="277">
        <f t="shared" si="2"/>
        <v>2.3591795602407184</v>
      </c>
      <c r="I47" s="157">
        <v>1545.7004657533362</v>
      </c>
      <c r="J47" s="277">
        <f t="shared" si="5"/>
        <v>0.45850156198188657</v>
      </c>
      <c r="K47" s="157">
        <f t="shared" si="4"/>
        <v>-1790.6808677301817</v>
      </c>
      <c r="L47" s="277">
        <v>-0.53117016721944166</v>
      </c>
      <c r="N47" s="563"/>
      <c r="O47" s="273"/>
      <c r="P47" s="273"/>
    </row>
    <row r="48" spans="1:16" ht="15">
      <c r="A48" s="152">
        <v>2016</v>
      </c>
      <c r="B48" s="157">
        <v>347630</v>
      </c>
      <c r="C48" s="157">
        <v>-4893.6702028099971</v>
      </c>
      <c r="D48" s="277">
        <f t="shared" si="0"/>
        <v>-1.4077237875931297</v>
      </c>
      <c r="E48" s="157">
        <v>295954</v>
      </c>
      <c r="F48" s="279">
        <f t="shared" si="1"/>
        <v>85.134769726433277</v>
      </c>
      <c r="G48" s="157">
        <v>7795.2661334835111</v>
      </c>
      <c r="H48" s="277">
        <f t="shared" si="2"/>
        <v>2.2424031681625611</v>
      </c>
      <c r="I48" s="157">
        <v>2901.595930673514</v>
      </c>
      <c r="J48" s="277">
        <f t="shared" si="5"/>
        <v>0.83467938056943136</v>
      </c>
      <c r="K48" s="157">
        <f t="shared" si="4"/>
        <v>-1885.9942028099999</v>
      </c>
      <c r="L48" s="277">
        <v>-0.54252918413543127</v>
      </c>
      <c r="N48" s="563"/>
      <c r="O48" s="273"/>
      <c r="P48" s="273"/>
    </row>
    <row r="49" spans="1:16" ht="7.5" customHeight="1">
      <c r="A49" s="162"/>
      <c r="B49" s="280"/>
      <c r="C49" s="280"/>
      <c r="D49" s="280"/>
      <c r="E49" s="280"/>
      <c r="F49" s="280"/>
      <c r="G49" s="280"/>
      <c r="H49" s="280"/>
      <c r="I49" s="280"/>
      <c r="J49" s="280"/>
      <c r="K49" s="280"/>
      <c r="L49" s="281"/>
      <c r="M49" s="328"/>
      <c r="N49" s="328"/>
      <c r="O49" s="273"/>
      <c r="P49" s="273"/>
    </row>
    <row r="50" spans="1:16" ht="7.5" customHeight="1">
      <c r="A50" s="152"/>
      <c r="B50" s="282"/>
      <c r="C50" s="282"/>
      <c r="D50" s="282"/>
      <c r="E50" s="282"/>
      <c r="F50" s="282"/>
      <c r="G50" s="282"/>
      <c r="H50" s="282"/>
      <c r="I50" s="282"/>
      <c r="J50" s="282"/>
      <c r="K50" s="282"/>
      <c r="L50" s="282"/>
      <c r="M50" s="273"/>
      <c r="N50" s="328"/>
      <c r="O50" s="273"/>
      <c r="P50" s="273"/>
    </row>
    <row r="51" spans="1:16" ht="15">
      <c r="A51" s="150" t="s">
        <v>1027</v>
      </c>
      <c r="B51" s="273"/>
      <c r="C51" s="273"/>
      <c r="D51" s="273"/>
      <c r="E51" s="273"/>
      <c r="F51" s="273"/>
      <c r="G51" s="329"/>
      <c r="H51" s="329"/>
      <c r="I51" s="329"/>
      <c r="J51" s="329"/>
      <c r="K51" s="329"/>
      <c r="L51" s="273"/>
      <c r="M51" s="273"/>
      <c r="N51" s="328"/>
      <c r="O51" s="273"/>
      <c r="P51" s="273"/>
    </row>
    <row r="52" spans="1:16" ht="14.25">
      <c r="A52" s="150" t="s">
        <v>862</v>
      </c>
      <c r="N52" s="328"/>
    </row>
    <row r="53" spans="1:16" ht="14.25">
      <c r="C53" s="157"/>
      <c r="G53" s="157"/>
      <c r="N53" s="328"/>
    </row>
  </sheetData>
  <mergeCells count="5">
    <mergeCell ref="C5:D5"/>
    <mergeCell ref="E5:F5"/>
    <mergeCell ref="G5:H5"/>
    <mergeCell ref="I5:J5"/>
    <mergeCell ref="K5:L5"/>
  </mergeCells>
  <printOptions horizontalCentered="1"/>
  <pageMargins left="0.19685039370078741" right="0.19685039370078741" top="0.47244094488188981" bottom="0.31496062992125984" header="0.19685039370078741" footer="0.15748031496062992"/>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92D050"/>
    <pageSetUpPr fitToPage="1"/>
  </sheetPr>
  <dimension ref="A1:J27"/>
  <sheetViews>
    <sheetView showGridLines="0" workbookViewId="0"/>
  </sheetViews>
  <sheetFormatPr baseColWidth="10" defaultColWidth="11.42578125" defaultRowHeight="12.75"/>
  <cols>
    <col min="1" max="1" width="46" style="21" customWidth="1"/>
    <col min="2" max="5" width="5.85546875" style="21" customWidth="1"/>
    <col min="6" max="6" width="6.5703125" style="21" bestFit="1" customWidth="1"/>
    <col min="7" max="7" width="7.28515625" style="21" customWidth="1"/>
    <col min="8" max="9" width="7.5703125" style="21" customWidth="1"/>
    <col min="10" max="16384" width="11.42578125" style="21"/>
  </cols>
  <sheetData>
    <row r="1" spans="1:9" s="18" customFormat="1" ht="15">
      <c r="A1" s="67" t="s">
        <v>998</v>
      </c>
      <c r="B1" s="45"/>
      <c r="C1" s="45"/>
      <c r="D1" s="45"/>
      <c r="E1" s="45"/>
      <c r="F1" s="45"/>
      <c r="G1" s="45"/>
    </row>
    <row r="2" spans="1:9" s="18" customFormat="1" ht="15">
      <c r="A2" s="45" t="s">
        <v>35</v>
      </c>
      <c r="B2" s="45"/>
      <c r="C2" s="45"/>
      <c r="D2" s="45"/>
      <c r="E2" s="45"/>
      <c r="F2" s="45"/>
      <c r="G2" s="45"/>
    </row>
    <row r="3" spans="1:9" s="18" customFormat="1" ht="15">
      <c r="A3" s="45"/>
      <c r="B3" s="45"/>
      <c r="C3" s="45"/>
      <c r="D3" s="45"/>
      <c r="E3" s="45"/>
      <c r="F3" s="45"/>
      <c r="G3" s="45"/>
    </row>
    <row r="4" spans="1:9" s="25" customFormat="1" ht="37.5" customHeight="1">
      <c r="A4" s="310"/>
      <c r="B4" s="311" t="s">
        <v>173</v>
      </c>
      <c r="C4" s="311" t="s">
        <v>174</v>
      </c>
      <c r="D4" s="311" t="s">
        <v>602</v>
      </c>
      <c r="E4" s="311" t="s">
        <v>809</v>
      </c>
      <c r="F4" s="311" t="s">
        <v>940</v>
      </c>
      <c r="G4" s="311" t="s">
        <v>941</v>
      </c>
      <c r="H4" s="311" t="s">
        <v>939</v>
      </c>
      <c r="I4" s="311" t="s">
        <v>1050</v>
      </c>
    </row>
    <row r="5" spans="1:9" ht="22.5" customHeight="1">
      <c r="A5" s="50" t="s">
        <v>733</v>
      </c>
      <c r="B5" s="84"/>
      <c r="C5" s="84"/>
      <c r="D5" s="84"/>
      <c r="E5" s="84"/>
      <c r="F5" s="303" t="s">
        <v>607</v>
      </c>
      <c r="G5" s="303" t="s">
        <v>607</v>
      </c>
      <c r="H5" s="303" t="s">
        <v>607</v>
      </c>
      <c r="I5" s="303" t="s">
        <v>607</v>
      </c>
    </row>
    <row r="6" spans="1:9" ht="14.25">
      <c r="A6" s="50" t="s">
        <v>175</v>
      </c>
      <c r="B6" s="85">
        <v>37637.916999999994</v>
      </c>
      <c r="C6" s="85">
        <v>39815.618000000002</v>
      </c>
      <c r="D6" s="85">
        <v>41931.281999999992</v>
      </c>
      <c r="E6" s="85">
        <v>43806.766000000003</v>
      </c>
      <c r="F6" s="85">
        <v>45801.214999999997</v>
      </c>
      <c r="G6" s="85">
        <v>47473.209000000003</v>
      </c>
      <c r="H6" s="85">
        <v>49196.815999999999</v>
      </c>
      <c r="I6" s="85">
        <v>49377.535000000003</v>
      </c>
    </row>
    <row r="7" spans="1:9" ht="14.25">
      <c r="A7" s="50" t="s">
        <v>176</v>
      </c>
      <c r="B7" s="85">
        <v>1609.193</v>
      </c>
      <c r="C7" s="85">
        <v>1658.248</v>
      </c>
      <c r="D7" s="85">
        <v>1812.2460000000001</v>
      </c>
      <c r="E7" s="85">
        <v>1926.58</v>
      </c>
      <c r="F7" s="85">
        <v>2166.9450000000002</v>
      </c>
      <c r="G7" s="85">
        <v>2153</v>
      </c>
      <c r="H7" s="85">
        <v>2343.8490000000002</v>
      </c>
      <c r="I7" s="85">
        <v>2355.9870000000001</v>
      </c>
    </row>
    <row r="8" spans="1:9" ht="14.25">
      <c r="A8" s="50" t="s">
        <v>848</v>
      </c>
      <c r="B8" s="85">
        <v>9278.259</v>
      </c>
      <c r="C8" s="85">
        <v>9608.4060000000009</v>
      </c>
      <c r="D8" s="85">
        <v>10032.386999999999</v>
      </c>
      <c r="E8" s="85">
        <v>10596.6</v>
      </c>
      <c r="F8" s="85">
        <v>12063.9</v>
      </c>
      <c r="G8" s="85">
        <v>12513.22</v>
      </c>
      <c r="H8" s="85">
        <v>12925.7</v>
      </c>
      <c r="I8" s="85">
        <v>13160.922</v>
      </c>
    </row>
    <row r="9" spans="1:9" ht="14.25">
      <c r="A9" s="50" t="s">
        <v>481</v>
      </c>
      <c r="B9" s="86">
        <f t="shared" ref="B9:I9" si="0">B10-B6-B7-B8</f>
        <v>13851.116000000007</v>
      </c>
      <c r="C9" s="86">
        <f t="shared" si="0"/>
        <v>8351.8690000000006</v>
      </c>
      <c r="D9" s="86">
        <f t="shared" si="0"/>
        <v>9675.921000000013</v>
      </c>
      <c r="E9" s="86">
        <f t="shared" si="0"/>
        <v>9601.1540000000005</v>
      </c>
      <c r="F9" s="86">
        <f t="shared" si="0"/>
        <v>11331.640000000001</v>
      </c>
      <c r="G9" s="86">
        <f t="shared" si="0"/>
        <v>9324.0389999999916</v>
      </c>
      <c r="H9" s="86">
        <f t="shared" si="0"/>
        <v>7059.018</v>
      </c>
      <c r="I9" s="86">
        <f t="shared" si="0"/>
        <v>7008.1139999999996</v>
      </c>
    </row>
    <row r="10" spans="1:9" ht="14.25">
      <c r="A10" s="106" t="s">
        <v>850</v>
      </c>
      <c r="B10" s="107">
        <v>62376.485000000001</v>
      </c>
      <c r="C10" s="107">
        <v>59434.141000000003</v>
      </c>
      <c r="D10" s="107">
        <v>63451.836000000003</v>
      </c>
      <c r="E10" s="107">
        <v>65931.100000000006</v>
      </c>
      <c r="F10" s="107">
        <v>71363.7</v>
      </c>
      <c r="G10" s="107">
        <v>71463.467999999993</v>
      </c>
      <c r="H10" s="107">
        <v>71525.383000000002</v>
      </c>
      <c r="I10" s="107">
        <v>71902.558000000005</v>
      </c>
    </row>
    <row r="11" spans="1:9" ht="30" customHeight="1">
      <c r="A11" s="87" t="s">
        <v>851</v>
      </c>
      <c r="B11" s="88"/>
      <c r="C11" s="88"/>
      <c r="D11" s="88"/>
      <c r="E11" s="88"/>
      <c r="F11" s="88"/>
      <c r="G11" s="88"/>
      <c r="H11" s="88"/>
      <c r="I11" s="88"/>
    </row>
    <row r="12" spans="1:9" ht="22.5" customHeight="1">
      <c r="A12" s="50" t="s">
        <v>733</v>
      </c>
      <c r="B12" s="50"/>
      <c r="C12" s="50"/>
      <c r="D12" s="50"/>
      <c r="E12" s="50"/>
      <c r="F12" s="50"/>
      <c r="G12" s="50"/>
    </row>
    <row r="13" spans="1:9" ht="14.25">
      <c r="A13" s="50" t="s">
        <v>175</v>
      </c>
      <c r="B13" s="89">
        <f t="shared" ref="B13:I13" si="1">B6/B10*100</f>
        <v>60.33991335035951</v>
      </c>
      <c r="C13" s="89">
        <f t="shared" si="1"/>
        <v>66.991155807232076</v>
      </c>
      <c r="D13" s="89">
        <f t="shared" si="1"/>
        <v>66.083638620007761</v>
      </c>
      <c r="E13" s="89">
        <f t="shared" si="1"/>
        <v>66.443250605556401</v>
      </c>
      <c r="F13" s="89">
        <f t="shared" si="1"/>
        <v>64.179989266251596</v>
      </c>
      <c r="G13" s="89">
        <f t="shared" si="1"/>
        <v>66.430038072039849</v>
      </c>
      <c r="H13" s="89">
        <f t="shared" si="1"/>
        <v>68.782317460641906</v>
      </c>
      <c r="I13" s="89">
        <f t="shared" si="1"/>
        <v>68.672848885292794</v>
      </c>
    </row>
    <row r="14" spans="1:9" ht="14.25">
      <c r="A14" s="50" t="s">
        <v>38</v>
      </c>
      <c r="B14" s="89">
        <f t="shared" ref="B14:I14" si="2">B7/B10*100</f>
        <v>2.5798071180189135</v>
      </c>
      <c r="C14" s="89">
        <f t="shared" si="2"/>
        <v>2.79005967294118</v>
      </c>
      <c r="D14" s="89">
        <f t="shared" si="2"/>
        <v>2.856097024521087</v>
      </c>
      <c r="E14" s="89">
        <f t="shared" si="2"/>
        <v>2.922111112964898</v>
      </c>
      <c r="F14" s="89">
        <f t="shared" si="2"/>
        <v>3.0364807318006215</v>
      </c>
      <c r="G14" s="89">
        <f t="shared" si="2"/>
        <v>3.0127281256487581</v>
      </c>
      <c r="H14" s="89">
        <f t="shared" si="2"/>
        <v>3.2769471503563992</v>
      </c>
      <c r="I14" s="89">
        <f t="shared" si="2"/>
        <v>3.2766386419798863</v>
      </c>
    </row>
    <row r="15" spans="1:9" ht="14.25">
      <c r="A15" s="50" t="s">
        <v>848</v>
      </c>
      <c r="B15" s="89">
        <f t="shared" ref="B15:I15" si="3">B8/B10*100</f>
        <v>14.874610199660978</v>
      </c>
      <c r="C15" s="89">
        <f t="shared" si="3"/>
        <v>16.166475763484158</v>
      </c>
      <c r="D15" s="89">
        <f t="shared" si="3"/>
        <v>15.811027122997668</v>
      </c>
      <c r="E15" s="89">
        <f t="shared" si="3"/>
        <v>16.07223298261367</v>
      </c>
      <c r="F15" s="89">
        <f t="shared" si="3"/>
        <v>16.90481295112221</v>
      </c>
      <c r="G15" s="89">
        <f t="shared" si="3"/>
        <v>17.509953477208803</v>
      </c>
      <c r="H15" s="89">
        <f t="shared" si="3"/>
        <v>18.071486593787274</v>
      </c>
      <c r="I15" s="89">
        <f t="shared" si="3"/>
        <v>18.303830025073655</v>
      </c>
    </row>
    <row r="16" spans="1:9" ht="14.25">
      <c r="A16" s="50" t="s">
        <v>481</v>
      </c>
      <c r="B16" s="89">
        <f t="shared" ref="B16:D16" si="4">B9/B10*100</f>
        <v>22.205669331960607</v>
      </c>
      <c r="C16" s="89">
        <f t="shared" si="4"/>
        <v>14.052308756342589</v>
      </c>
      <c r="D16" s="89">
        <f t="shared" si="4"/>
        <v>15.249237232473481</v>
      </c>
      <c r="E16" s="89">
        <f>E9/E10*100</f>
        <v>14.562405298865027</v>
      </c>
      <c r="F16" s="89">
        <f>F9/F10*100</f>
        <v>15.878717050825561</v>
      </c>
      <c r="G16" s="89">
        <f>G9/G10*100</f>
        <v>13.0472803251026</v>
      </c>
      <c r="H16" s="89">
        <f>H9/H10*100</f>
        <v>9.8692487952144212</v>
      </c>
      <c r="I16" s="89">
        <f>I9/I10*100</f>
        <v>9.7466824476536686</v>
      </c>
    </row>
    <row r="17" spans="1:10" ht="14.25">
      <c r="A17" s="106" t="s">
        <v>850</v>
      </c>
      <c r="B17" s="108">
        <f t="shared" ref="B17:E17" si="5">SUM(B13:B16)</f>
        <v>100.00000000000001</v>
      </c>
      <c r="C17" s="108">
        <f t="shared" si="5"/>
        <v>100</v>
      </c>
      <c r="D17" s="108">
        <f t="shared" si="5"/>
        <v>100</v>
      </c>
      <c r="E17" s="108">
        <f t="shared" si="5"/>
        <v>100</v>
      </c>
      <c r="F17" s="108">
        <f t="shared" ref="F17:G17" si="6">SUM(F13:F16)</f>
        <v>99.999999999999986</v>
      </c>
      <c r="G17" s="108">
        <f t="shared" si="6"/>
        <v>100.00000000000003</v>
      </c>
      <c r="H17" s="108">
        <f t="shared" ref="H17:I17" si="7">SUM(H13:H16)</f>
        <v>99.999999999999986</v>
      </c>
      <c r="I17" s="108">
        <f t="shared" si="7"/>
        <v>100</v>
      </c>
    </row>
    <row r="18" spans="1:10" s="22" customFormat="1" ht="14.25">
      <c r="A18" s="90"/>
      <c r="B18" s="91"/>
      <c r="C18" s="91"/>
      <c r="D18" s="91"/>
      <c r="E18" s="91"/>
      <c r="F18" s="91"/>
      <c r="G18" s="91"/>
      <c r="H18" s="91"/>
      <c r="I18" s="91"/>
    </row>
    <row r="19" spans="1:10" ht="15">
      <c r="A19" s="45"/>
      <c r="B19" s="45"/>
      <c r="C19" s="45"/>
      <c r="D19" s="45"/>
      <c r="E19" s="45"/>
      <c r="F19" s="45"/>
      <c r="G19" s="45"/>
    </row>
    <row r="20" spans="1:10" ht="14.25" hidden="1" customHeight="1">
      <c r="A20" s="29" t="s">
        <v>168</v>
      </c>
      <c r="B20" s="45"/>
      <c r="C20" s="45"/>
      <c r="D20" s="45"/>
      <c r="E20" s="45"/>
      <c r="F20" s="45"/>
      <c r="G20" s="45"/>
    </row>
    <row r="21" spans="1:10" ht="14.25" customHeight="1">
      <c r="A21" s="29" t="s">
        <v>719</v>
      </c>
      <c r="B21" s="45"/>
      <c r="C21" s="45"/>
      <c r="D21" s="45"/>
      <c r="E21" s="45"/>
      <c r="F21" s="45"/>
      <c r="G21" s="45"/>
    </row>
    <row r="22" spans="1:10" ht="14.25" customHeight="1">
      <c r="A22" s="50" t="s">
        <v>177</v>
      </c>
      <c r="B22" s="45"/>
      <c r="C22" s="45"/>
      <c r="D22" s="45"/>
      <c r="E22" s="45"/>
      <c r="F22" s="45"/>
      <c r="G22" s="45"/>
    </row>
    <row r="23" spans="1:10" s="382" customFormat="1" ht="14.25" customHeight="1">
      <c r="A23" s="456" t="s">
        <v>852</v>
      </c>
      <c r="B23" s="381"/>
      <c r="C23" s="381"/>
      <c r="D23" s="381"/>
      <c r="E23" s="381"/>
      <c r="F23" s="381"/>
      <c r="G23" s="381"/>
    </row>
    <row r="24" spans="1:10" s="332" customFormat="1" ht="40.5" customHeight="1">
      <c r="A24" s="572" t="s">
        <v>1028</v>
      </c>
      <c r="B24" s="572"/>
      <c r="C24" s="572"/>
      <c r="D24" s="572"/>
      <c r="E24" s="572"/>
      <c r="F24" s="572"/>
      <c r="G24" s="572"/>
      <c r="H24" s="572"/>
      <c r="I24" s="455"/>
      <c r="J24" s="455"/>
    </row>
    <row r="25" spans="1:10" ht="15">
      <c r="A25" s="45"/>
      <c r="B25" s="45"/>
      <c r="C25" s="45"/>
      <c r="D25" s="45"/>
      <c r="E25" s="45"/>
      <c r="F25" s="45"/>
      <c r="G25" s="45"/>
    </row>
    <row r="26" spans="1:10" ht="15">
      <c r="A26" s="45"/>
      <c r="B26" s="45"/>
      <c r="C26" s="45"/>
      <c r="D26" s="45"/>
      <c r="E26" s="45"/>
      <c r="F26" s="45"/>
      <c r="G26" s="45"/>
    </row>
    <row r="27" spans="1:10">
      <c r="A27" s="23"/>
    </row>
  </sheetData>
  <mergeCells count="1">
    <mergeCell ref="A24:H24"/>
  </mergeCells>
  <printOptions horizontalCentered="1"/>
  <pageMargins left="0.19685039370078741" right="0.19685039370078741" top="0.49" bottom="0.27" header="0.23622047244094491" footer="0.17"/>
  <pageSetup paperSize="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38</vt:i4>
      </vt:variant>
      <vt:variant>
        <vt:lpstr>Benannte Bereiche</vt:lpstr>
      </vt:variant>
      <vt:variant>
        <vt:i4>20</vt:i4>
      </vt:variant>
    </vt:vector>
  </HeadingPairs>
  <TitlesOfParts>
    <vt:vector size="58" baseType="lpstr">
      <vt:lpstr>Ü1</vt:lpstr>
      <vt:lpstr>Ü2</vt:lpstr>
      <vt:lpstr>Ü3</vt:lpstr>
      <vt:lpstr>Ü4</vt:lpstr>
      <vt:lpstr>Ü5</vt:lpstr>
      <vt:lpstr>Ü6</vt:lpstr>
      <vt:lpstr>Ü7</vt:lpstr>
      <vt:lpstr>Ü8</vt:lpstr>
      <vt:lpstr>Ü9</vt:lpstr>
      <vt:lpstr>U10</vt:lpstr>
      <vt:lpstr>Ü11</vt:lpstr>
      <vt:lpstr>Ü12</vt:lpstr>
      <vt:lpstr>Ü13</vt:lpstr>
      <vt:lpstr>U14</vt:lpstr>
      <vt:lpstr>Ü13a</vt:lpstr>
      <vt:lpstr>Ü15</vt:lpstr>
      <vt:lpstr>Ü16</vt:lpstr>
      <vt:lpstr>Ü17</vt:lpstr>
      <vt:lpstr>ÜE-15</vt:lpstr>
      <vt:lpstr>ÜE-15 (2)</vt:lpstr>
      <vt:lpstr>ÜE-15 (3)</vt:lpstr>
      <vt:lpstr>ÜE-15 (4)</vt:lpstr>
      <vt:lpstr>ÜE-15 (5)</vt:lpstr>
      <vt:lpstr>Ü18</vt:lpstr>
      <vt:lpstr>ÜE-15a (2)</vt:lpstr>
      <vt:lpstr>Ü19</vt:lpstr>
      <vt:lpstr>Ü20</vt:lpstr>
      <vt:lpstr>Ü21</vt:lpstr>
      <vt:lpstr>U22</vt:lpstr>
      <vt:lpstr>Ü23</vt:lpstr>
      <vt:lpstr>Ü24</vt:lpstr>
      <vt:lpstr>Ü25</vt:lpstr>
      <vt:lpstr>Ü26</vt:lpstr>
      <vt:lpstr>Ü27</vt:lpstr>
      <vt:lpstr>Ü28</vt:lpstr>
      <vt:lpstr>Ü29</vt:lpstr>
      <vt:lpstr>Ü30</vt:lpstr>
      <vt:lpstr>Ü31</vt:lpstr>
      <vt:lpstr>Ü1!Druckbereich</vt:lpstr>
      <vt:lpstr>Ü18!Druckbereich</vt:lpstr>
      <vt:lpstr>Ü2!Druckbereich</vt:lpstr>
      <vt:lpstr>Ü21!Druckbereich</vt:lpstr>
      <vt:lpstr>'U22'!Druckbereich</vt:lpstr>
      <vt:lpstr>Ü27!Druckbereich</vt:lpstr>
      <vt:lpstr>Ü29!Druckbereich</vt:lpstr>
      <vt:lpstr>Ü3!Druckbereich</vt:lpstr>
      <vt:lpstr>Ü30!Druckbereich</vt:lpstr>
      <vt:lpstr>Ü4!Druckbereich</vt:lpstr>
      <vt:lpstr>Ü5!Druckbereich</vt:lpstr>
      <vt:lpstr>Ü6!Druckbereich</vt:lpstr>
      <vt:lpstr>Ü8!Druckbereich</vt:lpstr>
      <vt:lpstr>Ü18!Drucktitel</vt:lpstr>
      <vt:lpstr>'ÜE-15'!Drucktitel</vt:lpstr>
      <vt:lpstr>'ÜE-15 (2)'!Drucktitel</vt:lpstr>
      <vt:lpstr>'ÜE-15 (3)'!Drucktitel</vt:lpstr>
      <vt:lpstr>'ÜE-15 (4)'!Drucktitel</vt:lpstr>
      <vt:lpstr>'ÜE-15 (5)'!Drucktitel</vt:lpstr>
      <vt:lpstr>'ÜE-15a (2)'!Drucktitel</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 Übersichten 2016 idF Bundesfinanzgesetzbeschluss</dc:title>
  <cp:lastModifiedBy>Leicher</cp:lastModifiedBy>
  <cp:lastPrinted>2015-10-01T08:22:18Z</cp:lastPrinted>
  <dcterms:created xsi:type="dcterms:W3CDTF">2011-09-28T09:34:11Z</dcterms:created>
  <dcterms:modified xsi:type="dcterms:W3CDTF">2015-12-21T13:05:04Z</dcterms:modified>
</cp:coreProperties>
</file>