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28515" windowHeight="12585"/>
  </bookViews>
  <sheets>
    <sheet name="EAVERT" sheetId="1" r:id="rId1"/>
  </sheets>
  <definedNames>
    <definedName name="_xlnm.Print_Area" localSheetId="0">EAVERT!$A$1:$K$44,EAVERT!$A$47:$H$85,EAVERT!$J$47:$T$85,EAVERT!$A$93:$I$140,EAVERT!$L$91:$V$148,EAVERT!$A$154:$I$200,EAVERT!$L$152:$V$205,EAVERT!$A$207:$K$241</definedName>
    <definedName name="solver_adj" localSheetId="0" hidden="1">EAVERT!$B$40</definedName>
    <definedName name="solver_num" localSheetId="0" hidden="1">0</definedName>
    <definedName name="solver_oldobj" localSheetId="0" hidden="1">758383000</definedName>
    <definedName name="solver_opt" localSheetId="0" hidden="1">EAVERT!$R$86</definedName>
    <definedName name="solver_typ" localSheetId="0" hidden="1">3</definedName>
    <definedName name="solver_val" localSheetId="0" hidden="1">758373000</definedName>
  </definedNames>
  <calcPr calcId="145621"/>
</workbook>
</file>

<file path=xl/calcChain.xml><?xml version="1.0" encoding="utf-8"?>
<calcChain xmlns="http://schemas.openxmlformats.org/spreadsheetml/2006/main">
  <c r="I169" i="1" l="1"/>
  <c r="S57" i="1"/>
  <c r="S58" i="1"/>
  <c r="R57" i="1"/>
  <c r="R58" i="1"/>
  <c r="K221" i="1" l="1"/>
  <c r="J239" i="1" s="1"/>
  <c r="K220" i="1"/>
  <c r="H238" i="1" s="1"/>
  <c r="K219" i="1"/>
  <c r="G237" i="1" s="1"/>
  <c r="K218" i="1"/>
  <c r="I236" i="1" s="1"/>
  <c r="K217" i="1"/>
  <c r="J235" i="1" s="1"/>
  <c r="K216" i="1"/>
  <c r="I234" i="1" s="1"/>
  <c r="K212" i="1"/>
  <c r="J230" i="1" s="1"/>
  <c r="K210" i="1"/>
  <c r="F228" i="1" s="1"/>
  <c r="K209" i="1"/>
  <c r="D227" i="1" s="1"/>
  <c r="V196" i="1"/>
  <c r="V195" i="1"/>
  <c r="U172" i="1"/>
  <c r="T172" i="1"/>
  <c r="S172" i="1"/>
  <c r="R172" i="1"/>
  <c r="Q172" i="1"/>
  <c r="P172" i="1"/>
  <c r="O172" i="1"/>
  <c r="N172" i="1"/>
  <c r="M172" i="1"/>
  <c r="U159" i="1"/>
  <c r="T159" i="1"/>
  <c r="S159" i="1"/>
  <c r="R159" i="1"/>
  <c r="Q159" i="1"/>
  <c r="P159" i="1"/>
  <c r="O159" i="1"/>
  <c r="N159" i="1"/>
  <c r="M159" i="1"/>
  <c r="U112" i="1"/>
  <c r="T112" i="1"/>
  <c r="S112" i="1"/>
  <c r="R112" i="1"/>
  <c r="Q112" i="1"/>
  <c r="P112" i="1"/>
  <c r="O112" i="1"/>
  <c r="N112" i="1"/>
  <c r="M112" i="1"/>
  <c r="U99" i="1"/>
  <c r="T99" i="1"/>
  <c r="S99" i="1"/>
  <c r="R99" i="1"/>
  <c r="Q99" i="1"/>
  <c r="P99" i="1"/>
  <c r="O99" i="1"/>
  <c r="N99" i="1"/>
  <c r="M99" i="1"/>
  <c r="M85" i="1"/>
  <c r="D81" i="1"/>
  <c r="C81" i="1"/>
  <c r="B81" i="1"/>
  <c r="D80" i="1"/>
  <c r="C80" i="1"/>
  <c r="B80" i="1"/>
  <c r="D79" i="1"/>
  <c r="C79" i="1"/>
  <c r="B79" i="1"/>
  <c r="D78" i="1"/>
  <c r="C78" i="1"/>
  <c r="B78" i="1"/>
  <c r="D77" i="1"/>
  <c r="C77" i="1"/>
  <c r="B77" i="1"/>
  <c r="D76" i="1"/>
  <c r="C76" i="1"/>
  <c r="B76" i="1"/>
  <c r="D75" i="1"/>
  <c r="C75" i="1"/>
  <c r="B75" i="1"/>
  <c r="D74" i="1"/>
  <c r="C74" i="1"/>
  <c r="B74" i="1"/>
  <c r="D73" i="1"/>
  <c r="C73" i="1"/>
  <c r="B73" i="1"/>
  <c r="D72" i="1"/>
  <c r="C72" i="1"/>
  <c r="B72" i="1"/>
  <c r="D71" i="1"/>
  <c r="C71" i="1"/>
  <c r="B71" i="1"/>
  <c r="D66" i="1"/>
  <c r="C66" i="1"/>
  <c r="B66" i="1"/>
  <c r="D65" i="1"/>
  <c r="C65" i="1"/>
  <c r="B65" i="1"/>
  <c r="D64" i="1"/>
  <c r="C64" i="1"/>
  <c r="B64" i="1"/>
  <c r="D62" i="1"/>
  <c r="C62" i="1"/>
  <c r="B62" i="1"/>
  <c r="D61" i="1"/>
  <c r="C61" i="1"/>
  <c r="B61" i="1"/>
  <c r="D59" i="1"/>
  <c r="C59" i="1"/>
  <c r="B59" i="1"/>
  <c r="F58" i="1"/>
  <c r="D56" i="1"/>
  <c r="C56" i="1"/>
  <c r="B56" i="1"/>
  <c r="D55" i="1"/>
  <c r="C55" i="1"/>
  <c r="B55" i="1"/>
  <c r="D54" i="1"/>
  <c r="C54" i="1"/>
  <c r="B54" i="1"/>
  <c r="D53" i="1"/>
  <c r="C53" i="1"/>
  <c r="B53" i="1"/>
  <c r="D52" i="1"/>
  <c r="C52" i="1"/>
  <c r="B52" i="1"/>
  <c r="P85" i="1"/>
  <c r="O85" i="1"/>
  <c r="M50" i="1"/>
  <c r="L50" i="1"/>
  <c r="E43" i="1"/>
  <c r="C43" i="1"/>
  <c r="D41" i="1"/>
  <c r="F41" i="1" s="1"/>
  <c r="D40" i="1"/>
  <c r="F40" i="1" s="1"/>
  <c r="F82" i="1" s="1"/>
  <c r="D39" i="1"/>
  <c r="F39" i="1" s="1"/>
  <c r="K81" i="1" s="1"/>
  <c r="D38" i="1"/>
  <c r="F38" i="1" s="1"/>
  <c r="D37" i="1"/>
  <c r="F37" i="1" s="1"/>
  <c r="K79" i="1" s="1"/>
  <c r="D36" i="1"/>
  <c r="F36" i="1" s="1"/>
  <c r="D35" i="1"/>
  <c r="F35" i="1" s="1"/>
  <c r="K77" i="1" s="1"/>
  <c r="D34" i="1"/>
  <c r="F34" i="1" s="1"/>
  <c r="K76" i="1" s="1"/>
  <c r="D33" i="1"/>
  <c r="F33" i="1" s="1"/>
  <c r="K75" i="1" s="1"/>
  <c r="D32" i="1"/>
  <c r="F32" i="1" s="1"/>
  <c r="D31" i="1"/>
  <c r="F31" i="1" s="1"/>
  <c r="K73" i="1" s="1"/>
  <c r="D30" i="1"/>
  <c r="F30" i="1" s="1"/>
  <c r="K72" i="1" s="1"/>
  <c r="D29" i="1"/>
  <c r="F29" i="1" s="1"/>
  <c r="K71" i="1" s="1"/>
  <c r="D28" i="1"/>
  <c r="F28" i="1" s="1"/>
  <c r="D27" i="1"/>
  <c r="F27" i="1" s="1"/>
  <c r="G69" i="1" s="1"/>
  <c r="D26" i="1"/>
  <c r="F26" i="1" s="1"/>
  <c r="F68" i="1" s="1"/>
  <c r="D25" i="1"/>
  <c r="F25" i="1" s="1"/>
  <c r="D24" i="1"/>
  <c r="F24" i="1" s="1"/>
  <c r="K66" i="1" s="1"/>
  <c r="D23" i="1"/>
  <c r="F23" i="1" s="1"/>
  <c r="K65" i="1" s="1"/>
  <c r="D22" i="1"/>
  <c r="F22" i="1" s="1"/>
  <c r="K64" i="1" s="1"/>
  <c r="D21" i="1"/>
  <c r="F21" i="1" s="1"/>
  <c r="D20" i="1"/>
  <c r="F20" i="1" s="1"/>
  <c r="K62" i="1" s="1"/>
  <c r="D19" i="1"/>
  <c r="F19" i="1" s="1"/>
  <c r="K61" i="1" s="1"/>
  <c r="D18" i="1"/>
  <c r="F18" i="1" s="1"/>
  <c r="G60" i="1" s="1"/>
  <c r="L49" i="1"/>
  <c r="D17" i="1"/>
  <c r="F17" i="1" s="1"/>
  <c r="D16" i="1"/>
  <c r="D15" i="1"/>
  <c r="D14" i="1"/>
  <c r="F14" i="1" s="1"/>
  <c r="D13" i="1"/>
  <c r="F13" i="1" s="1"/>
  <c r="K53" i="1" s="1"/>
  <c r="D12" i="1"/>
  <c r="F12" i="1" s="1"/>
  <c r="K52" i="1" s="1"/>
  <c r="H60" i="1" l="1"/>
  <c r="S60" i="1" s="1"/>
  <c r="D239" i="1"/>
  <c r="H227" i="1"/>
  <c r="E239" i="1"/>
  <c r="B235" i="1"/>
  <c r="E237" i="1"/>
  <c r="H54" i="1"/>
  <c r="V112" i="1"/>
  <c r="I239" i="1"/>
  <c r="D238" i="1"/>
  <c r="H59" i="1"/>
  <c r="G234" i="1"/>
  <c r="F52" i="1"/>
  <c r="V99" i="1"/>
  <c r="V146" i="1"/>
  <c r="H230" i="1"/>
  <c r="F239" i="1"/>
  <c r="C234" i="1"/>
  <c r="H236" i="1"/>
  <c r="I237" i="1"/>
  <c r="B239" i="1"/>
  <c r="D236" i="1"/>
  <c r="F53" i="1"/>
  <c r="D230" i="1"/>
  <c r="H234" i="1"/>
  <c r="G236" i="1"/>
  <c r="F237" i="1"/>
  <c r="G78" i="1"/>
  <c r="H82" i="1"/>
  <c r="S82" i="1" s="1"/>
  <c r="E137" i="1" s="1"/>
  <c r="V159" i="1"/>
  <c r="H239" i="1"/>
  <c r="D234" i="1"/>
  <c r="C236" i="1"/>
  <c r="B237" i="1"/>
  <c r="J237" i="1"/>
  <c r="E130" i="1"/>
  <c r="G75" i="1"/>
  <c r="K54" i="1"/>
  <c r="K59" i="1"/>
  <c r="H53" i="1"/>
  <c r="S53" i="1" s="1"/>
  <c r="G54" i="1"/>
  <c r="F57" i="1"/>
  <c r="E100" i="1"/>
  <c r="F60" i="1"/>
  <c r="G62" i="1"/>
  <c r="H63" i="1"/>
  <c r="S63" i="1" s="1"/>
  <c r="G64" i="1"/>
  <c r="F69" i="1"/>
  <c r="H70" i="1"/>
  <c r="S70" i="1" s="1"/>
  <c r="G72" i="1"/>
  <c r="G77" i="1"/>
  <c r="G80" i="1"/>
  <c r="F61" i="1"/>
  <c r="G65" i="1"/>
  <c r="D11" i="1"/>
  <c r="K18" i="1" s="1"/>
  <c r="B43" i="1"/>
  <c r="F15" i="1"/>
  <c r="K55" i="1" s="1"/>
  <c r="K74" i="1"/>
  <c r="K78" i="1"/>
  <c r="K80" i="1"/>
  <c r="G52" i="1"/>
  <c r="E160" i="1"/>
  <c r="E173" i="1"/>
  <c r="F59" i="1"/>
  <c r="G61" i="1"/>
  <c r="F63" i="1"/>
  <c r="G66" i="1"/>
  <c r="H68" i="1"/>
  <c r="S68" i="1" s="1"/>
  <c r="F70" i="1"/>
  <c r="G73" i="1"/>
  <c r="G76" i="1"/>
  <c r="G81" i="1"/>
  <c r="R81" i="1" s="1"/>
  <c r="E158" i="1"/>
  <c r="E98" i="1"/>
  <c r="F16" i="1"/>
  <c r="K56" i="1" s="1"/>
  <c r="K15" i="1"/>
  <c r="H62" i="1"/>
  <c r="S62" i="1" s="1"/>
  <c r="G68" i="1"/>
  <c r="F83" i="1"/>
  <c r="H52" i="1"/>
  <c r="S52" i="1" s="1"/>
  <c r="G53" i="1"/>
  <c r="F54" i="1"/>
  <c r="G59" i="1"/>
  <c r="H61" i="1"/>
  <c r="S61" i="1" s="1"/>
  <c r="F62" i="1"/>
  <c r="G67" i="1"/>
  <c r="G71" i="1"/>
  <c r="G74" i="1"/>
  <c r="G79" i="1"/>
  <c r="H83" i="1"/>
  <c r="S83" i="1" s="1"/>
  <c r="G63" i="1"/>
  <c r="F64" i="1"/>
  <c r="H65" i="1"/>
  <c r="S65" i="1" s="1"/>
  <c r="F66" i="1"/>
  <c r="H67" i="1"/>
  <c r="S67" i="1" s="1"/>
  <c r="G70" i="1"/>
  <c r="F71" i="1"/>
  <c r="H72" i="1"/>
  <c r="S72" i="1" s="1"/>
  <c r="F73" i="1"/>
  <c r="H74" i="1"/>
  <c r="F75" i="1"/>
  <c r="H76" i="1"/>
  <c r="S76" i="1" s="1"/>
  <c r="F77" i="1"/>
  <c r="H78" i="1"/>
  <c r="F79" i="1"/>
  <c r="H80" i="1"/>
  <c r="F81" i="1"/>
  <c r="G83" i="1"/>
  <c r="R83" i="1" s="1"/>
  <c r="E172" i="1"/>
  <c r="E159" i="1"/>
  <c r="H64" i="1"/>
  <c r="S64" i="1" s="1"/>
  <c r="F65" i="1"/>
  <c r="H66" i="1"/>
  <c r="S66" i="1" s="1"/>
  <c r="F67" i="1"/>
  <c r="H71" i="1"/>
  <c r="S71" i="1" s="1"/>
  <c r="F72" i="1"/>
  <c r="H73" i="1"/>
  <c r="S73" i="1" s="1"/>
  <c r="F74" i="1"/>
  <c r="H75" i="1"/>
  <c r="S75" i="1" s="1"/>
  <c r="F76" i="1"/>
  <c r="H77" i="1"/>
  <c r="S77" i="1" s="1"/>
  <c r="F78" i="1"/>
  <c r="H79" i="1"/>
  <c r="S79" i="1" s="1"/>
  <c r="F80" i="1"/>
  <c r="H81" i="1"/>
  <c r="S81" i="1" s="1"/>
  <c r="H69" i="1"/>
  <c r="S69" i="1" s="1"/>
  <c r="G82" i="1"/>
  <c r="R82" i="1" s="1"/>
  <c r="V100" i="1"/>
  <c r="K213" i="1"/>
  <c r="G231" i="1" s="1"/>
  <c r="V172" i="1"/>
  <c r="F230" i="1"/>
  <c r="B230" i="1"/>
  <c r="V201" i="1"/>
  <c r="G228" i="1"/>
  <c r="C228" i="1"/>
  <c r="H228" i="1"/>
  <c r="D228" i="1"/>
  <c r="E228" i="1"/>
  <c r="I228" i="1"/>
  <c r="G235" i="1"/>
  <c r="C235" i="1"/>
  <c r="H235" i="1"/>
  <c r="D235" i="1"/>
  <c r="I235" i="1"/>
  <c r="E235" i="1"/>
  <c r="B228" i="1"/>
  <c r="E230" i="1"/>
  <c r="I230" i="1"/>
  <c r="K222" i="1"/>
  <c r="I240" i="1" s="1"/>
  <c r="J228" i="1"/>
  <c r="F235" i="1"/>
  <c r="I227" i="1"/>
  <c r="E227" i="1"/>
  <c r="J227" i="1"/>
  <c r="F227" i="1"/>
  <c r="B227" i="1"/>
  <c r="C230" i="1"/>
  <c r="G230" i="1"/>
  <c r="K215" i="1"/>
  <c r="F233" i="1" s="1"/>
  <c r="I238" i="1"/>
  <c r="E238" i="1"/>
  <c r="J238" i="1"/>
  <c r="F238" i="1"/>
  <c r="B238" i="1"/>
  <c r="K223" i="1"/>
  <c r="C241" i="1" s="1"/>
  <c r="C227" i="1"/>
  <c r="G238" i="1"/>
  <c r="K211" i="1"/>
  <c r="D229" i="1" s="1"/>
  <c r="K214" i="1"/>
  <c r="E232" i="1" s="1"/>
  <c r="C239" i="1"/>
  <c r="G239" i="1"/>
  <c r="G227" i="1"/>
  <c r="C238" i="1"/>
  <c r="B234" i="1"/>
  <c r="F234" i="1"/>
  <c r="J234" i="1"/>
  <c r="B236" i="1"/>
  <c r="F236" i="1"/>
  <c r="J236" i="1"/>
  <c r="D237" i="1"/>
  <c r="H237" i="1"/>
  <c r="E234" i="1"/>
  <c r="E236" i="1"/>
  <c r="C237" i="1"/>
  <c r="J240" i="1" l="1"/>
  <c r="S80" i="1"/>
  <c r="E128" i="1" s="1"/>
  <c r="I233" i="1"/>
  <c r="F231" i="1"/>
  <c r="F240" i="1"/>
  <c r="B240" i="1"/>
  <c r="E233" i="1"/>
  <c r="D241" i="1"/>
  <c r="G240" i="1"/>
  <c r="C240" i="1"/>
  <c r="I241" i="1"/>
  <c r="G241" i="1"/>
  <c r="I231" i="1"/>
  <c r="S54" i="1"/>
  <c r="E109" i="1" s="1"/>
  <c r="K237" i="1"/>
  <c r="J231" i="1"/>
  <c r="S78" i="1"/>
  <c r="S74" i="1"/>
  <c r="E122" i="1" s="1"/>
  <c r="S59" i="1"/>
  <c r="E113" i="1" s="1"/>
  <c r="K235" i="1"/>
  <c r="G233" i="1"/>
  <c r="G232" i="1"/>
  <c r="R137" i="1" s="1"/>
  <c r="I232" i="1"/>
  <c r="T137" i="1" s="1"/>
  <c r="K239" i="1"/>
  <c r="F56" i="1"/>
  <c r="K236" i="1"/>
  <c r="I229" i="1"/>
  <c r="F229" i="1"/>
  <c r="H241" i="1"/>
  <c r="B231" i="1"/>
  <c r="K227" i="1"/>
  <c r="E241" i="1"/>
  <c r="B229" i="1"/>
  <c r="C231" i="1"/>
  <c r="J229" i="1"/>
  <c r="D232" i="1"/>
  <c r="O137" i="1" s="1"/>
  <c r="H229" i="1"/>
  <c r="G55" i="1"/>
  <c r="K230" i="1"/>
  <c r="E127" i="1"/>
  <c r="J241" i="1"/>
  <c r="B241" i="1"/>
  <c r="F241" i="1"/>
  <c r="H232" i="1"/>
  <c r="S137" i="1" s="1"/>
  <c r="E229" i="1"/>
  <c r="D240" i="1"/>
  <c r="H240" i="1"/>
  <c r="E240" i="1"/>
  <c r="B233" i="1"/>
  <c r="E231" i="1"/>
  <c r="H233" i="1"/>
  <c r="V173" i="1"/>
  <c r="E118" i="1"/>
  <c r="E124" i="1"/>
  <c r="E120" i="1"/>
  <c r="D233" i="1"/>
  <c r="E107" i="1"/>
  <c r="N56" i="1"/>
  <c r="N85" i="1" s="1"/>
  <c r="E190" i="1"/>
  <c r="H56" i="1"/>
  <c r="E136" i="1"/>
  <c r="E131" i="1"/>
  <c r="E99" i="1"/>
  <c r="E112" i="1"/>
  <c r="T130" i="1"/>
  <c r="P130" i="1"/>
  <c r="R130" i="1"/>
  <c r="N130" i="1"/>
  <c r="U130" i="1"/>
  <c r="M130" i="1"/>
  <c r="Q130" i="1"/>
  <c r="S130" i="1"/>
  <c r="O130" i="1"/>
  <c r="E197" i="1"/>
  <c r="E123" i="1"/>
  <c r="D43" i="1"/>
  <c r="F11" i="1"/>
  <c r="G56" i="1"/>
  <c r="K234" i="1"/>
  <c r="C233" i="1"/>
  <c r="J233" i="1"/>
  <c r="C232" i="1"/>
  <c r="N137" i="1" s="1"/>
  <c r="G229" i="1"/>
  <c r="V160" i="1"/>
  <c r="E116" i="1"/>
  <c r="E198" i="1"/>
  <c r="E138" i="1"/>
  <c r="E114" i="1"/>
  <c r="E115" i="1"/>
  <c r="S98" i="1"/>
  <c r="O98" i="1"/>
  <c r="U98" i="1"/>
  <c r="Q98" i="1"/>
  <c r="M98" i="1"/>
  <c r="R98" i="1"/>
  <c r="P98" i="1"/>
  <c r="T98" i="1"/>
  <c r="N98" i="1"/>
  <c r="E134" i="1"/>
  <c r="F55" i="1"/>
  <c r="K238" i="1"/>
  <c r="E119" i="1"/>
  <c r="E117" i="1"/>
  <c r="B232" i="1"/>
  <c r="M137" i="1" s="1"/>
  <c r="J232" i="1"/>
  <c r="U137" i="1" s="1"/>
  <c r="F232" i="1"/>
  <c r="Q137" i="1" s="1"/>
  <c r="K228" i="1"/>
  <c r="C229" i="1"/>
  <c r="D231" i="1"/>
  <c r="H231" i="1"/>
  <c r="E135" i="1"/>
  <c r="E129" i="1"/>
  <c r="E125" i="1"/>
  <c r="E121" i="1"/>
  <c r="E132" i="1"/>
  <c r="E133" i="1"/>
  <c r="S158" i="1"/>
  <c r="O158" i="1"/>
  <c r="U158" i="1"/>
  <c r="Q158" i="1"/>
  <c r="M158" i="1"/>
  <c r="T158" i="1"/>
  <c r="P158" i="1"/>
  <c r="N158" i="1"/>
  <c r="R158" i="1"/>
  <c r="E108" i="1"/>
  <c r="P137" i="1"/>
  <c r="H55" i="1"/>
  <c r="S55" i="1" s="1"/>
  <c r="V130" i="1" l="1"/>
  <c r="S56" i="1"/>
  <c r="K240" i="1"/>
  <c r="K231" i="1"/>
  <c r="K229" i="1"/>
  <c r="E111" i="1"/>
  <c r="T117" i="1"/>
  <c r="P117" i="1"/>
  <c r="R117" i="1"/>
  <c r="N117" i="1"/>
  <c r="U117" i="1"/>
  <c r="M117" i="1"/>
  <c r="Q117" i="1"/>
  <c r="S117" i="1"/>
  <c r="O117" i="1"/>
  <c r="U109" i="1"/>
  <c r="Q109" i="1"/>
  <c r="M109" i="1"/>
  <c r="S109" i="1"/>
  <c r="O109" i="1"/>
  <c r="T109" i="1"/>
  <c r="R109" i="1"/>
  <c r="N109" i="1"/>
  <c r="P109" i="1"/>
  <c r="E110" i="1"/>
  <c r="S132" i="1"/>
  <c r="O132" i="1"/>
  <c r="U132" i="1"/>
  <c r="Q132" i="1"/>
  <c r="M132" i="1"/>
  <c r="T132" i="1"/>
  <c r="P132" i="1"/>
  <c r="N132" i="1"/>
  <c r="R132" i="1"/>
  <c r="T121" i="1"/>
  <c r="P121" i="1"/>
  <c r="R121" i="1"/>
  <c r="N121" i="1"/>
  <c r="Q121" i="1"/>
  <c r="U121" i="1"/>
  <c r="M121" i="1"/>
  <c r="O121" i="1"/>
  <c r="S121" i="1"/>
  <c r="R119" i="1"/>
  <c r="N119" i="1"/>
  <c r="T119" i="1"/>
  <c r="P119" i="1"/>
  <c r="O119" i="1"/>
  <c r="S119" i="1"/>
  <c r="Q119" i="1"/>
  <c r="M119" i="1"/>
  <c r="U119" i="1"/>
  <c r="U198" i="1"/>
  <c r="Q198" i="1"/>
  <c r="M198" i="1"/>
  <c r="T198" i="1"/>
  <c r="O198" i="1"/>
  <c r="R198" i="1"/>
  <c r="S198" i="1"/>
  <c r="N198" i="1"/>
  <c r="P198" i="1"/>
  <c r="U197" i="1"/>
  <c r="Q197" i="1"/>
  <c r="M197" i="1"/>
  <c r="P197" i="1"/>
  <c r="S197" i="1"/>
  <c r="N197" i="1"/>
  <c r="T197" i="1"/>
  <c r="O197" i="1"/>
  <c r="R197" i="1"/>
  <c r="R190" i="1"/>
  <c r="N190" i="1"/>
  <c r="T190" i="1"/>
  <c r="P190" i="1"/>
  <c r="Q190" i="1"/>
  <c r="U190" i="1"/>
  <c r="M190" i="1"/>
  <c r="S190" i="1"/>
  <c r="O190" i="1"/>
  <c r="U118" i="1"/>
  <c r="Q118" i="1"/>
  <c r="M118" i="1"/>
  <c r="S118" i="1"/>
  <c r="O118" i="1"/>
  <c r="R118" i="1"/>
  <c r="N118" i="1"/>
  <c r="P118" i="1"/>
  <c r="T118" i="1"/>
  <c r="K241" i="1"/>
  <c r="T113" i="1"/>
  <c r="P113" i="1"/>
  <c r="R113" i="1"/>
  <c r="N113" i="1"/>
  <c r="Q113" i="1"/>
  <c r="U113" i="1"/>
  <c r="M113" i="1"/>
  <c r="S113" i="1"/>
  <c r="O113" i="1"/>
  <c r="R133" i="1"/>
  <c r="N133" i="1"/>
  <c r="T133" i="1"/>
  <c r="P133" i="1"/>
  <c r="U133" i="1"/>
  <c r="M133" i="1"/>
  <c r="Q133" i="1"/>
  <c r="O133" i="1"/>
  <c r="S133" i="1"/>
  <c r="R136" i="1"/>
  <c r="N136" i="1"/>
  <c r="T136" i="1"/>
  <c r="P136" i="1"/>
  <c r="Q136" i="1"/>
  <c r="U136" i="1"/>
  <c r="M136" i="1"/>
  <c r="S136" i="1"/>
  <c r="O136" i="1"/>
  <c r="U107" i="1"/>
  <c r="Q107" i="1"/>
  <c r="M107" i="1"/>
  <c r="S107" i="1"/>
  <c r="O107" i="1"/>
  <c r="T107" i="1"/>
  <c r="R107" i="1"/>
  <c r="N107" i="1"/>
  <c r="P107" i="1"/>
  <c r="V137" i="1"/>
  <c r="V158" i="1"/>
  <c r="R135" i="1"/>
  <c r="N135" i="1"/>
  <c r="T135" i="1"/>
  <c r="P135" i="1"/>
  <c r="U135" i="1"/>
  <c r="M135" i="1"/>
  <c r="Q135" i="1"/>
  <c r="S135" i="1"/>
  <c r="O135" i="1"/>
  <c r="K232" i="1"/>
  <c r="R115" i="1"/>
  <c r="N115" i="1"/>
  <c r="T115" i="1"/>
  <c r="P115" i="1"/>
  <c r="S115" i="1"/>
  <c r="O115" i="1"/>
  <c r="M115" i="1"/>
  <c r="Q115" i="1"/>
  <c r="U115" i="1"/>
  <c r="E126" i="1"/>
  <c r="K51" i="1"/>
  <c r="K85" i="1" s="1"/>
  <c r="H51" i="1"/>
  <c r="F44" i="1"/>
  <c r="F51" i="1"/>
  <c r="F85" i="1" s="1"/>
  <c r="F43" i="1"/>
  <c r="K19" i="1" s="1"/>
  <c r="K49" i="1" s="1"/>
  <c r="G51" i="1"/>
  <c r="R123" i="1"/>
  <c r="N123" i="1"/>
  <c r="T123" i="1"/>
  <c r="P123" i="1"/>
  <c r="S123" i="1"/>
  <c r="O123" i="1"/>
  <c r="U123" i="1"/>
  <c r="Q123" i="1"/>
  <c r="M123" i="1"/>
  <c r="S124" i="1"/>
  <c r="O124" i="1"/>
  <c r="U124" i="1"/>
  <c r="Q124" i="1"/>
  <c r="M124" i="1"/>
  <c r="P124" i="1"/>
  <c r="T124" i="1"/>
  <c r="N124" i="1"/>
  <c r="R124" i="1"/>
  <c r="K233" i="1"/>
  <c r="R127" i="1"/>
  <c r="N127" i="1"/>
  <c r="T127" i="1"/>
  <c r="P127" i="1"/>
  <c r="O127" i="1"/>
  <c r="S127" i="1"/>
  <c r="U127" i="1"/>
  <c r="M127" i="1"/>
  <c r="Q127" i="1"/>
  <c r="U108" i="1"/>
  <c r="Q108" i="1"/>
  <c r="M108" i="1"/>
  <c r="S108" i="1"/>
  <c r="O108" i="1"/>
  <c r="P108" i="1"/>
  <c r="N108" i="1"/>
  <c r="R108" i="1"/>
  <c r="T108" i="1"/>
  <c r="T129" i="1"/>
  <c r="P129" i="1"/>
  <c r="R129" i="1"/>
  <c r="N129" i="1"/>
  <c r="Q129" i="1"/>
  <c r="U129" i="1"/>
  <c r="M129" i="1"/>
  <c r="S129" i="1"/>
  <c r="O129" i="1"/>
  <c r="U122" i="1"/>
  <c r="Q122" i="1"/>
  <c r="M122" i="1"/>
  <c r="S122" i="1"/>
  <c r="O122" i="1"/>
  <c r="N122" i="1"/>
  <c r="R122" i="1"/>
  <c r="P122" i="1"/>
  <c r="T122" i="1"/>
  <c r="L56" i="1"/>
  <c r="R56" i="1" s="1"/>
  <c r="S128" i="1"/>
  <c r="O128" i="1"/>
  <c r="U128" i="1"/>
  <c r="Q128" i="1"/>
  <c r="M128" i="1"/>
  <c r="T128" i="1"/>
  <c r="P128" i="1"/>
  <c r="N128" i="1"/>
  <c r="R128" i="1"/>
  <c r="T125" i="1"/>
  <c r="P125" i="1"/>
  <c r="R125" i="1"/>
  <c r="N125" i="1"/>
  <c r="U125" i="1"/>
  <c r="M125" i="1"/>
  <c r="Q125" i="1"/>
  <c r="O125" i="1"/>
  <c r="S125" i="1"/>
  <c r="R134" i="1"/>
  <c r="N134" i="1"/>
  <c r="T134" i="1"/>
  <c r="P134" i="1"/>
  <c r="Q134" i="1"/>
  <c r="U134" i="1"/>
  <c r="M134" i="1"/>
  <c r="O134" i="1"/>
  <c r="S134" i="1"/>
  <c r="V98" i="1"/>
  <c r="U114" i="1"/>
  <c r="Q114" i="1"/>
  <c r="M114" i="1"/>
  <c r="S114" i="1"/>
  <c r="O114" i="1"/>
  <c r="N114" i="1"/>
  <c r="R114" i="1"/>
  <c r="T114" i="1"/>
  <c r="P114" i="1"/>
  <c r="T138" i="1"/>
  <c r="P138" i="1"/>
  <c r="R138" i="1"/>
  <c r="N138" i="1"/>
  <c r="O138" i="1"/>
  <c r="S138" i="1"/>
  <c r="M138" i="1"/>
  <c r="Q138" i="1"/>
  <c r="U138" i="1"/>
  <c r="S116" i="1"/>
  <c r="O116" i="1"/>
  <c r="U116" i="1"/>
  <c r="Q116" i="1"/>
  <c r="M116" i="1"/>
  <c r="P116" i="1"/>
  <c r="T116" i="1"/>
  <c r="R116" i="1"/>
  <c r="N116" i="1"/>
  <c r="T131" i="1"/>
  <c r="P131" i="1"/>
  <c r="R131" i="1"/>
  <c r="N131" i="1"/>
  <c r="Q131" i="1"/>
  <c r="U131" i="1"/>
  <c r="M131" i="1"/>
  <c r="O131" i="1"/>
  <c r="S131" i="1"/>
  <c r="S120" i="1"/>
  <c r="O120" i="1"/>
  <c r="U120" i="1"/>
  <c r="Q120" i="1"/>
  <c r="M120" i="1"/>
  <c r="T120" i="1"/>
  <c r="P120" i="1"/>
  <c r="R120" i="1"/>
  <c r="N120" i="1"/>
  <c r="V136" i="1" l="1"/>
  <c r="S51" i="1"/>
  <c r="V131" i="1"/>
  <c r="V135" i="1"/>
  <c r="V134" i="1"/>
  <c r="V108" i="1"/>
  <c r="V127" i="1"/>
  <c r="V117" i="1"/>
  <c r="V128" i="1"/>
  <c r="V120" i="1"/>
  <c r="V118" i="1"/>
  <c r="E171" i="1"/>
  <c r="V138" i="1"/>
  <c r="V129" i="1"/>
  <c r="V115" i="1"/>
  <c r="V107" i="1"/>
  <c r="V197" i="1"/>
  <c r="V119" i="1"/>
  <c r="U110" i="1"/>
  <c r="Q110" i="1"/>
  <c r="M110" i="1"/>
  <c r="S110" i="1"/>
  <c r="O110" i="1"/>
  <c r="P110" i="1"/>
  <c r="N110" i="1"/>
  <c r="R110" i="1"/>
  <c r="T110" i="1"/>
  <c r="T111" i="1"/>
  <c r="R111" i="1"/>
  <c r="N111" i="1"/>
  <c r="U111" i="1"/>
  <c r="P111" i="1"/>
  <c r="M111" i="1"/>
  <c r="S111" i="1"/>
  <c r="O111" i="1"/>
  <c r="Q111" i="1"/>
  <c r="V114" i="1"/>
  <c r="V124" i="1"/>
  <c r="V123" i="1"/>
  <c r="V113" i="1"/>
  <c r="V190" i="1"/>
  <c r="V116" i="1"/>
  <c r="V125" i="1"/>
  <c r="V122" i="1"/>
  <c r="G85" i="1"/>
  <c r="L51" i="1"/>
  <c r="R51" i="1" s="1"/>
  <c r="L80" i="1"/>
  <c r="R80" i="1" s="1"/>
  <c r="L76" i="1"/>
  <c r="R76" i="1" s="1"/>
  <c r="L72" i="1"/>
  <c r="R72" i="1" s="1"/>
  <c r="L65" i="1"/>
  <c r="R65" i="1" s="1"/>
  <c r="L61" i="1"/>
  <c r="R61" i="1" s="1"/>
  <c r="L78" i="1"/>
  <c r="R78" i="1" s="1"/>
  <c r="L79" i="1"/>
  <c r="R79" i="1" s="1"/>
  <c r="L75" i="1"/>
  <c r="R75" i="1" s="1"/>
  <c r="L71" i="1"/>
  <c r="R71" i="1" s="1"/>
  <c r="L64" i="1"/>
  <c r="R64" i="1" s="1"/>
  <c r="L69" i="1"/>
  <c r="R69" i="1" s="1"/>
  <c r="L70" i="1"/>
  <c r="R70" i="1" s="1"/>
  <c r="L73" i="1"/>
  <c r="R73" i="1" s="1"/>
  <c r="L66" i="1"/>
  <c r="R66" i="1" s="1"/>
  <c r="L60" i="1"/>
  <c r="R60" i="1" s="1"/>
  <c r="L74" i="1"/>
  <c r="R74" i="1" s="1"/>
  <c r="L63" i="1"/>
  <c r="R63" i="1" s="1"/>
  <c r="L55" i="1"/>
  <c r="R55" i="1" s="1"/>
  <c r="L53" i="1"/>
  <c r="R53" i="1" s="1"/>
  <c r="L52" i="1"/>
  <c r="R52" i="1" s="1"/>
  <c r="L68" i="1"/>
  <c r="R68" i="1" s="1"/>
  <c r="L67" i="1"/>
  <c r="R67" i="1" s="1"/>
  <c r="L59" i="1"/>
  <c r="R59" i="1" s="1"/>
  <c r="L77" i="1"/>
  <c r="R77" i="1" s="1"/>
  <c r="L62" i="1"/>
  <c r="R62" i="1" s="1"/>
  <c r="L54" i="1"/>
  <c r="R54" i="1" s="1"/>
  <c r="H85" i="1"/>
  <c r="U126" i="1"/>
  <c r="Q126" i="1"/>
  <c r="M126" i="1"/>
  <c r="S126" i="1"/>
  <c r="O126" i="1"/>
  <c r="R126" i="1"/>
  <c r="N126" i="1"/>
  <c r="T126" i="1"/>
  <c r="P126" i="1"/>
  <c r="V133" i="1"/>
  <c r="V198" i="1"/>
  <c r="V121" i="1"/>
  <c r="V132" i="1"/>
  <c r="V109" i="1"/>
  <c r="V111" i="1" l="1"/>
  <c r="E166" i="1"/>
  <c r="R85" i="1"/>
  <c r="E169" i="1"/>
  <c r="E177" i="1"/>
  <c r="V110" i="1"/>
  <c r="V126" i="1"/>
  <c r="E106" i="1"/>
  <c r="S85" i="1"/>
  <c r="E174" i="1"/>
  <c r="E168" i="1"/>
  <c r="E191" i="1"/>
  <c r="E195" i="1"/>
  <c r="E188" i="1"/>
  <c r="E181" i="1"/>
  <c r="E170" i="1"/>
  <c r="E187" i="1"/>
  <c r="E176" i="1"/>
  <c r="E194" i="1"/>
  <c r="E192" i="1"/>
  <c r="E182" i="1"/>
  <c r="E180" i="1"/>
  <c r="E175" i="1"/>
  <c r="E189" i="1"/>
  <c r="S171" i="1"/>
  <c r="O171" i="1"/>
  <c r="U171" i="1"/>
  <c r="Q171" i="1"/>
  <c r="M171" i="1"/>
  <c r="P171" i="1"/>
  <c r="T171" i="1"/>
  <c r="N171" i="1"/>
  <c r="R171" i="1"/>
  <c r="E193" i="1"/>
  <c r="E179" i="1"/>
  <c r="E185" i="1"/>
  <c r="E186" i="1"/>
  <c r="E167" i="1"/>
  <c r="E183" i="1"/>
  <c r="E196" i="1"/>
  <c r="E184" i="1"/>
  <c r="E178" i="1"/>
  <c r="L85" i="1"/>
  <c r="U178" i="1" l="1"/>
  <c r="Q178" i="1"/>
  <c r="M178" i="1"/>
  <c r="S178" i="1"/>
  <c r="O178" i="1"/>
  <c r="N178" i="1"/>
  <c r="R178" i="1"/>
  <c r="T178" i="1"/>
  <c r="P178" i="1"/>
  <c r="U167" i="1"/>
  <c r="Q167" i="1"/>
  <c r="M167" i="1"/>
  <c r="S167" i="1"/>
  <c r="O167" i="1"/>
  <c r="T167" i="1"/>
  <c r="P167" i="1"/>
  <c r="N167" i="1"/>
  <c r="R167" i="1"/>
  <c r="U189" i="1"/>
  <c r="Q189" i="1"/>
  <c r="M189" i="1"/>
  <c r="S189" i="1"/>
  <c r="O189" i="1"/>
  <c r="T189" i="1"/>
  <c r="P189" i="1"/>
  <c r="N189" i="1"/>
  <c r="R189" i="1"/>
  <c r="R192" i="1"/>
  <c r="N192" i="1"/>
  <c r="T192" i="1"/>
  <c r="P192" i="1"/>
  <c r="Q192" i="1"/>
  <c r="U192" i="1"/>
  <c r="M192" i="1"/>
  <c r="S192" i="1"/>
  <c r="O192" i="1"/>
  <c r="T168" i="1"/>
  <c r="P168" i="1"/>
  <c r="R168" i="1"/>
  <c r="N168" i="1"/>
  <c r="Q168" i="1"/>
  <c r="U168" i="1"/>
  <c r="M168" i="1"/>
  <c r="O168" i="1"/>
  <c r="S168" i="1"/>
  <c r="R170" i="1"/>
  <c r="N170" i="1"/>
  <c r="T170" i="1"/>
  <c r="P170" i="1"/>
  <c r="S170" i="1"/>
  <c r="O170" i="1"/>
  <c r="Q170" i="1"/>
  <c r="U170" i="1"/>
  <c r="M170" i="1"/>
  <c r="U177" i="1"/>
  <c r="Q177" i="1"/>
  <c r="M177" i="1"/>
  <c r="S177" i="1"/>
  <c r="O177" i="1"/>
  <c r="R177" i="1"/>
  <c r="N177" i="1"/>
  <c r="P177" i="1"/>
  <c r="T177" i="1"/>
  <c r="R179" i="1"/>
  <c r="N179" i="1"/>
  <c r="T179" i="1"/>
  <c r="P179" i="1"/>
  <c r="S179" i="1"/>
  <c r="O179" i="1"/>
  <c r="Q179" i="1"/>
  <c r="U179" i="1"/>
  <c r="M179" i="1"/>
  <c r="S180" i="1"/>
  <c r="O180" i="1"/>
  <c r="U180" i="1"/>
  <c r="Q180" i="1"/>
  <c r="M180" i="1"/>
  <c r="P180" i="1"/>
  <c r="T180" i="1"/>
  <c r="N180" i="1"/>
  <c r="R180" i="1"/>
  <c r="T176" i="1"/>
  <c r="P176" i="1"/>
  <c r="R176" i="1"/>
  <c r="N176" i="1"/>
  <c r="U176" i="1"/>
  <c r="M176" i="1"/>
  <c r="Q176" i="1"/>
  <c r="S176" i="1"/>
  <c r="O176" i="1"/>
  <c r="T181" i="1"/>
  <c r="P181" i="1"/>
  <c r="R181" i="1"/>
  <c r="N181" i="1"/>
  <c r="U181" i="1"/>
  <c r="M181" i="1"/>
  <c r="Q181" i="1"/>
  <c r="S181" i="1"/>
  <c r="O181" i="1"/>
  <c r="U182" i="1"/>
  <c r="Q182" i="1"/>
  <c r="M182" i="1"/>
  <c r="S182" i="1"/>
  <c r="O182" i="1"/>
  <c r="R182" i="1"/>
  <c r="N182" i="1"/>
  <c r="P182" i="1"/>
  <c r="T182" i="1"/>
  <c r="S187" i="1"/>
  <c r="O187" i="1"/>
  <c r="U187" i="1"/>
  <c r="Q187" i="1"/>
  <c r="M187" i="1"/>
  <c r="R187" i="1"/>
  <c r="N187" i="1"/>
  <c r="T187" i="1"/>
  <c r="P187" i="1"/>
  <c r="R191" i="1"/>
  <c r="N191" i="1"/>
  <c r="T191" i="1"/>
  <c r="P191" i="1"/>
  <c r="U191" i="1"/>
  <c r="M191" i="1"/>
  <c r="Q191" i="1"/>
  <c r="O191" i="1"/>
  <c r="S191" i="1"/>
  <c r="E96" i="1"/>
  <c r="E95" i="1"/>
  <c r="E97" i="1"/>
  <c r="E157" i="1"/>
  <c r="E156" i="1"/>
  <c r="T184" i="1"/>
  <c r="P184" i="1"/>
  <c r="R184" i="1"/>
  <c r="N184" i="1"/>
  <c r="S184" i="1"/>
  <c r="O184" i="1"/>
  <c r="U184" i="1"/>
  <c r="M184" i="1"/>
  <c r="Q184" i="1"/>
  <c r="S183" i="1"/>
  <c r="O183" i="1"/>
  <c r="U183" i="1"/>
  <c r="Q183" i="1"/>
  <c r="N183" i="1"/>
  <c r="R183" i="1"/>
  <c r="P183" i="1"/>
  <c r="M183" i="1"/>
  <c r="T183" i="1"/>
  <c r="R186" i="1"/>
  <c r="N186" i="1"/>
  <c r="T186" i="1"/>
  <c r="P186" i="1"/>
  <c r="U186" i="1"/>
  <c r="M186" i="1"/>
  <c r="Q186" i="1"/>
  <c r="O186" i="1"/>
  <c r="S186" i="1"/>
  <c r="U185" i="1"/>
  <c r="Q185" i="1"/>
  <c r="M185" i="1"/>
  <c r="S185" i="1"/>
  <c r="O185" i="1"/>
  <c r="P185" i="1"/>
  <c r="T185" i="1"/>
  <c r="R185" i="1"/>
  <c r="N185" i="1"/>
  <c r="R193" i="1"/>
  <c r="N193" i="1"/>
  <c r="T193" i="1"/>
  <c r="P193" i="1"/>
  <c r="U193" i="1"/>
  <c r="M193" i="1"/>
  <c r="Q193" i="1"/>
  <c r="O193" i="1"/>
  <c r="S193" i="1"/>
  <c r="V171" i="1"/>
  <c r="S175" i="1"/>
  <c r="O175" i="1"/>
  <c r="U175" i="1"/>
  <c r="Q175" i="1"/>
  <c r="M175" i="1"/>
  <c r="P175" i="1"/>
  <c r="T175" i="1"/>
  <c r="N175" i="1"/>
  <c r="R175" i="1"/>
  <c r="S194" i="1"/>
  <c r="R194" i="1"/>
  <c r="N194" i="1"/>
  <c r="U194" i="1"/>
  <c r="P194" i="1"/>
  <c r="Q194" i="1"/>
  <c r="M194" i="1"/>
  <c r="T194" i="1"/>
  <c r="O194" i="1"/>
  <c r="T188" i="1"/>
  <c r="P188" i="1"/>
  <c r="R188" i="1"/>
  <c r="N188" i="1"/>
  <c r="O188" i="1"/>
  <c r="S188" i="1"/>
  <c r="Q188" i="1"/>
  <c r="U188" i="1"/>
  <c r="M188" i="1"/>
  <c r="R174" i="1"/>
  <c r="N174" i="1"/>
  <c r="T174" i="1"/>
  <c r="P174" i="1"/>
  <c r="S174" i="1"/>
  <c r="O174" i="1"/>
  <c r="Q174" i="1"/>
  <c r="M174" i="1"/>
  <c r="U174" i="1"/>
  <c r="U106" i="1"/>
  <c r="U140" i="1" s="1"/>
  <c r="Q106" i="1"/>
  <c r="Q140" i="1" s="1"/>
  <c r="M106" i="1"/>
  <c r="E140" i="1"/>
  <c r="S106" i="1"/>
  <c r="S140" i="1" s="1"/>
  <c r="O106" i="1"/>
  <c r="O140" i="1" s="1"/>
  <c r="P106" i="1"/>
  <c r="P140" i="1" s="1"/>
  <c r="N106" i="1"/>
  <c r="N140" i="1" s="1"/>
  <c r="R106" i="1"/>
  <c r="R140" i="1" s="1"/>
  <c r="T106" i="1"/>
  <c r="T140" i="1" s="1"/>
  <c r="U169" i="1"/>
  <c r="Q169" i="1"/>
  <c r="M169" i="1"/>
  <c r="S169" i="1"/>
  <c r="O169" i="1"/>
  <c r="N169" i="1"/>
  <c r="R169" i="1"/>
  <c r="T169" i="1"/>
  <c r="P169" i="1"/>
  <c r="E200" i="1"/>
  <c r="F178" i="1" s="1"/>
  <c r="U166" i="1"/>
  <c r="Q166" i="1"/>
  <c r="M166" i="1"/>
  <c r="S166" i="1"/>
  <c r="O166" i="1"/>
  <c r="P166" i="1"/>
  <c r="T166" i="1"/>
  <c r="R166" i="1"/>
  <c r="N166" i="1"/>
  <c r="V184" i="1" l="1"/>
  <c r="V186" i="1"/>
  <c r="S200" i="1"/>
  <c r="S202" i="1" s="1"/>
  <c r="R200" i="1"/>
  <c r="R202" i="1" s="1"/>
  <c r="V194" i="1"/>
  <c r="V181" i="1"/>
  <c r="V179" i="1"/>
  <c r="V177" i="1"/>
  <c r="F192" i="1"/>
  <c r="N200" i="1"/>
  <c r="N202" i="1" s="1"/>
  <c r="O200" i="1"/>
  <c r="O202" i="1" s="1"/>
  <c r="U200" i="1"/>
  <c r="U202" i="1" s="1"/>
  <c r="V169" i="1"/>
  <c r="R142" i="1"/>
  <c r="R148" i="1"/>
  <c r="S148" i="1"/>
  <c r="S142" i="1"/>
  <c r="U148" i="1"/>
  <c r="U142" i="1"/>
  <c r="F193" i="1"/>
  <c r="V183" i="1"/>
  <c r="T157" i="1"/>
  <c r="P157" i="1"/>
  <c r="F157" i="1"/>
  <c r="R157" i="1"/>
  <c r="N157" i="1"/>
  <c r="Q157" i="1"/>
  <c r="U157" i="1"/>
  <c r="M157" i="1"/>
  <c r="O157" i="1"/>
  <c r="S157" i="1"/>
  <c r="V191" i="1"/>
  <c r="V180" i="1"/>
  <c r="V168" i="1"/>
  <c r="V189" i="1"/>
  <c r="N142" i="1"/>
  <c r="N148" i="1"/>
  <c r="V167" i="1"/>
  <c r="T200" i="1"/>
  <c r="T202" i="1" s="1"/>
  <c r="M200" i="1"/>
  <c r="V166" i="1"/>
  <c r="P142" i="1"/>
  <c r="P148" i="1"/>
  <c r="V106" i="1"/>
  <c r="M140" i="1"/>
  <c r="V174" i="1"/>
  <c r="V188" i="1"/>
  <c r="V193" i="1"/>
  <c r="T95" i="1"/>
  <c r="P95" i="1"/>
  <c r="F95" i="1"/>
  <c r="R95" i="1"/>
  <c r="N95" i="1"/>
  <c r="O95" i="1"/>
  <c r="U95" i="1"/>
  <c r="M95" i="1"/>
  <c r="Q95" i="1"/>
  <c r="S95" i="1"/>
  <c r="F191" i="1"/>
  <c r="V182" i="1"/>
  <c r="V176" i="1"/>
  <c r="F196" i="1"/>
  <c r="V170" i="1"/>
  <c r="V192" i="1"/>
  <c r="F159" i="1"/>
  <c r="F158" i="1"/>
  <c r="F160" i="1"/>
  <c r="F198" i="1"/>
  <c r="F197" i="1"/>
  <c r="F98" i="1"/>
  <c r="F100" i="1"/>
  <c r="F137" i="1"/>
  <c r="F130" i="1"/>
  <c r="F135" i="1"/>
  <c r="F133" i="1"/>
  <c r="F99" i="1"/>
  <c r="F131" i="1"/>
  <c r="F136" i="1"/>
  <c r="F134" i="1"/>
  <c r="F132" i="1"/>
  <c r="F138" i="1"/>
  <c r="V175" i="1"/>
  <c r="T97" i="1"/>
  <c r="P97" i="1"/>
  <c r="F97" i="1"/>
  <c r="R97" i="1"/>
  <c r="N97" i="1"/>
  <c r="O97" i="1"/>
  <c r="U97" i="1"/>
  <c r="M97" i="1"/>
  <c r="Q97" i="1"/>
  <c r="S97" i="1"/>
  <c r="P200" i="1"/>
  <c r="P202" i="1" s="1"/>
  <c r="Q200" i="1"/>
  <c r="Q202" i="1" s="1"/>
  <c r="T142" i="1"/>
  <c r="T148" i="1"/>
  <c r="O148" i="1"/>
  <c r="O142" i="1"/>
  <c r="Q148" i="1"/>
  <c r="Q142" i="1"/>
  <c r="F194" i="1"/>
  <c r="V185" i="1"/>
  <c r="R156" i="1"/>
  <c r="N156" i="1"/>
  <c r="N162" i="1" s="1"/>
  <c r="T156" i="1"/>
  <c r="T162" i="1" s="1"/>
  <c r="P156" i="1"/>
  <c r="F156" i="1"/>
  <c r="Q156" i="1"/>
  <c r="U156" i="1"/>
  <c r="M156" i="1"/>
  <c r="O156" i="1"/>
  <c r="O162" i="1" s="1"/>
  <c r="S156" i="1"/>
  <c r="T96" i="1"/>
  <c r="P96" i="1"/>
  <c r="F96" i="1"/>
  <c r="I106" i="1" s="1"/>
  <c r="R96" i="1"/>
  <c r="N96" i="1"/>
  <c r="S96" i="1"/>
  <c r="Q96" i="1"/>
  <c r="U96" i="1"/>
  <c r="M96" i="1"/>
  <c r="O96" i="1"/>
  <c r="V187" i="1"/>
  <c r="F195" i="1"/>
  <c r="V178" i="1"/>
  <c r="S162" i="1" l="1"/>
  <c r="Q162" i="1"/>
  <c r="P162" i="1"/>
  <c r="I167" i="1"/>
  <c r="R162" i="1"/>
  <c r="U102" i="1"/>
  <c r="N144" i="1"/>
  <c r="N143" i="1"/>
  <c r="Q144" i="1"/>
  <c r="Q143" i="1"/>
  <c r="M102" i="1"/>
  <c r="V95" i="1"/>
  <c r="R102" i="1"/>
  <c r="M202" i="1"/>
  <c r="V202" i="1" s="1"/>
  <c r="V200" i="1"/>
  <c r="V157" i="1"/>
  <c r="S144" i="1"/>
  <c r="S143" i="1"/>
  <c r="I168" i="1"/>
  <c r="M162" i="1"/>
  <c r="V156" i="1"/>
  <c r="O144" i="1"/>
  <c r="O143" i="1"/>
  <c r="V97" i="1"/>
  <c r="I108" i="1"/>
  <c r="S102" i="1"/>
  <c r="O102" i="1"/>
  <c r="P102" i="1"/>
  <c r="P144" i="1"/>
  <c r="P143" i="1"/>
  <c r="U144" i="1"/>
  <c r="U143" i="1"/>
  <c r="F200" i="1"/>
  <c r="I166" i="1"/>
  <c r="T144" i="1"/>
  <c r="T143" i="1"/>
  <c r="F140" i="1"/>
  <c r="I107" i="1"/>
  <c r="V96" i="1"/>
  <c r="U162" i="1"/>
  <c r="I109" i="1"/>
  <c r="Q102" i="1"/>
  <c r="N102" i="1"/>
  <c r="T102" i="1"/>
  <c r="M148" i="1"/>
  <c r="V140" i="1"/>
  <c r="M142" i="1"/>
  <c r="R144" i="1"/>
  <c r="R143" i="1"/>
  <c r="I110" i="1" l="1"/>
  <c r="V148" i="1"/>
  <c r="V102" i="1"/>
  <c r="V142" i="1"/>
  <c r="M144" i="1"/>
  <c r="M143" i="1"/>
  <c r="V143" i="1" s="1"/>
  <c r="V162" i="1"/>
  <c r="V144" i="1" l="1"/>
</calcChain>
</file>

<file path=xl/sharedStrings.xml><?xml version="1.0" encoding="utf-8"?>
<sst xmlns="http://schemas.openxmlformats.org/spreadsheetml/2006/main" count="489" uniqueCount="181">
  <si>
    <t>Verteilung der gemeinschaftlichen Bundesabgaben 2011</t>
  </si>
  <si>
    <t>in 1000.- Euro</t>
  </si>
  <si>
    <t>Aufkommen</t>
  </si>
  <si>
    <t>FlAF (§ 39/5a)</t>
  </si>
  <si>
    <t>verbleibt als</t>
  </si>
  <si>
    <t>Vorwegabz.</t>
  </si>
  <si>
    <t>EA zur Verteilung</t>
  </si>
  <si>
    <t>Übersicht über diverse Abzüge</t>
  </si>
  <si>
    <t>BeihilfenG</t>
  </si>
  <si>
    <t>fixe Vorwegabzüge</t>
  </si>
  <si>
    <t>veranl. Eink.st.</t>
  </si>
  <si>
    <t>Länder</t>
  </si>
  <si>
    <t>Lohnsteuer</t>
  </si>
  <si>
    <t>Gemeinden</t>
  </si>
  <si>
    <t>Kest I</t>
  </si>
  <si>
    <t>Kest II</t>
  </si>
  <si>
    <t>aufkommensabhängig</t>
  </si>
  <si>
    <t>Körperschaftsteuer</t>
  </si>
  <si>
    <t>Gmde-KA-Btrg (USt)</t>
  </si>
  <si>
    <t>Umsatzsteuer</t>
  </si>
  <si>
    <t>Biersteuer</t>
  </si>
  <si>
    <t>EU-Länder-Beitrag (Eigenm)</t>
  </si>
  <si>
    <t>Weinsteuer</t>
  </si>
  <si>
    <t>FlaF (vESt, LSt, KeSt I, KöSt)</t>
  </si>
  <si>
    <t>Schaumweinst.</t>
  </si>
  <si>
    <t>KatF (-"- + 10 Mio. Euro)</t>
  </si>
  <si>
    <t>Alkoholsteuer</t>
  </si>
  <si>
    <t>Gmden-EU-Btrg (-"-)</t>
  </si>
  <si>
    <t>Abg.v.alkoh.Getränken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</si>
  <si>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</si>
  <si>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</si>
  <si>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</si>
  <si>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</si>
  <si>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</si>
  <si>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</si>
  <si>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</si>
  <si>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</si>
  <si>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</si>
  <si>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</si>
  <si>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</si>
  <si>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Bankenabgabe</t>
  </si>
  <si>
    <t>Flugabgabe</t>
  </si>
  <si>
    <t>Energieabgaben</t>
  </si>
  <si>
    <t xml:space="preserve">Normverbrauchsabgabe </t>
  </si>
  <si>
    <t>Versicherungsteuer</t>
  </si>
  <si>
    <t>Konzessionsabgabe</t>
  </si>
  <si>
    <t>Kunstförderungsbeitrag</t>
  </si>
  <si>
    <t>Spielbankabg. &lt;= 725.000</t>
  </si>
  <si>
    <t>Spielbankabg. &gt; 725.000</t>
  </si>
  <si>
    <t>Summe</t>
  </si>
  <si>
    <t>davon Abg. m einh Schl</t>
  </si>
  <si>
    <t>vertikale Verteilung</t>
  </si>
  <si>
    <t>EU-Btrg.</t>
  </si>
  <si>
    <t>Ldr-EU-Btrg, Kons.btrg</t>
  </si>
  <si>
    <t>Gmde-KA-Btrg</t>
  </si>
  <si>
    <t>Siedlungswasserwirtschaft</t>
  </si>
  <si>
    <t>Bund</t>
  </si>
  <si>
    <t>EU</t>
  </si>
  <si>
    <t>+Lohnsteuer</t>
  </si>
  <si>
    <t>vor BZ-Abzug</t>
  </si>
  <si>
    <t>fix</t>
  </si>
  <si>
    <t>vESt</t>
  </si>
  <si>
    <t xml:space="preserve">  vESt</t>
  </si>
  <si>
    <t>LSt</t>
  </si>
  <si>
    <t xml:space="preserve">  LSt</t>
  </si>
  <si>
    <t xml:space="preserve">  Kest I</t>
  </si>
  <si>
    <t xml:space="preserve">  Kest II</t>
  </si>
  <si>
    <t>Köst</t>
  </si>
  <si>
    <t xml:space="preserve">  Köst</t>
  </si>
  <si>
    <t>USt</t>
  </si>
  <si>
    <t xml:space="preserve">  USt</t>
  </si>
  <si>
    <t>USt-Selbstträgerschaft</t>
  </si>
  <si>
    <t>USt-Selbsttr.</t>
  </si>
  <si>
    <t xml:space="preserve">  USt-Selbsttr.</t>
  </si>
  <si>
    <t>USt-Landespflegegeld</t>
  </si>
  <si>
    <t>USt-Landespfl.gld</t>
  </si>
  <si>
    <t>BierSt</t>
  </si>
  <si>
    <t xml:space="preserve">  BierSt</t>
  </si>
  <si>
    <t>WeinSt</t>
  </si>
  <si>
    <t xml:space="preserve">  WeinSt</t>
  </si>
  <si>
    <t>Schaumw.St</t>
  </si>
  <si>
    <t xml:space="preserve">  Schaumw.St</t>
  </si>
  <si>
    <t>Alk.St.</t>
  </si>
  <si>
    <t xml:space="preserve">  Alk.St.</t>
  </si>
  <si>
    <t>AlkoholAbg</t>
  </si>
  <si>
    <t xml:space="preserve">  AlkoholAbg</t>
  </si>
  <si>
    <t>MinSt</t>
  </si>
  <si>
    <t xml:space="preserve">  MinSt</t>
  </si>
  <si>
    <t>ErbSchSt</t>
  </si>
  <si>
    <t xml:space="preserve">  ErbSchSt</t>
  </si>
  <si>
    <t xml:space="preserve">  Stiftungseingsst</t>
  </si>
  <si>
    <t xml:space="preserve">  Werbeabgabe</t>
  </si>
  <si>
    <t>Wohnbaufdrbtrg</t>
  </si>
  <si>
    <t xml:space="preserve">  Wohnbaufdrbtrg</t>
  </si>
  <si>
    <t>GrErwSt</t>
  </si>
  <si>
    <t xml:space="preserve">  GrErwSt</t>
  </si>
  <si>
    <t>BodWAbg</t>
  </si>
  <si>
    <t xml:space="preserve">  BodWAbg</t>
  </si>
  <si>
    <t>KfzSt</t>
  </si>
  <si>
    <t xml:space="preserve">  KfzSt</t>
  </si>
  <si>
    <t>Motorbez VersSt</t>
  </si>
  <si>
    <t xml:space="preserve">  Mot.bez.VersSt</t>
  </si>
  <si>
    <t xml:space="preserve">  Tabaksteuer</t>
  </si>
  <si>
    <t xml:space="preserve">  Kapitalverkehrsteuern </t>
  </si>
  <si>
    <t xml:space="preserve">  Bankenabgabe</t>
  </si>
  <si>
    <t xml:space="preserve">  Flugabgabe</t>
  </si>
  <si>
    <t xml:space="preserve">  Energieabgaben</t>
  </si>
  <si>
    <t xml:space="preserve">  Normverbrauchsabgabe </t>
  </si>
  <si>
    <t xml:space="preserve">  Versicherungsteuer</t>
  </si>
  <si>
    <t xml:space="preserve">  Konzessionsabgabe</t>
  </si>
  <si>
    <t>Kunstf.btrg.</t>
  </si>
  <si>
    <t>KstFdrgBtrg.</t>
  </si>
  <si>
    <t xml:space="preserve">  KstFdrgBtrg.</t>
  </si>
  <si>
    <t>Spielbkabg &lt;= 725T E</t>
  </si>
  <si>
    <t>Spielbankabg bis 725.000 Euro</t>
  </si>
  <si>
    <t xml:space="preserve">  SpbkA bis 725T</t>
  </si>
  <si>
    <t>Spielbkabg &gt; 725T E</t>
  </si>
  <si>
    <t>Spielbankabg &gt; 725.000 Euro</t>
  </si>
  <si>
    <t xml:space="preserve">  SpbkA &gt; 725T</t>
  </si>
  <si>
    <t xml:space="preserve">  Summe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</si>
  <si>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</si>
  <si>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</si>
  <si>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</si>
  <si>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</si>
  <si>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</si>
  <si>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</si>
  <si>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</si>
  <si>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</si>
  <si>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</si>
  <si>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</si>
  <si>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</si>
  <si>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Anteil in %</t>
  </si>
  <si>
    <t>Abgaben mit einh. Schl</t>
  </si>
  <si>
    <t>Volkszahl</t>
  </si>
  <si>
    <t>aBS</t>
  </si>
  <si>
    <t>Fixschlüssel</t>
  </si>
  <si>
    <t>des Aufk. an USt fix</t>
  </si>
  <si>
    <t>davon GetrStA</t>
  </si>
  <si>
    <t>USt-Landespfl.gd</t>
  </si>
  <si>
    <t>alle Abgaben</t>
  </si>
  <si>
    <t>Fix-Schlüssel</t>
  </si>
  <si>
    <t xml:space="preserve">zur Gänze </t>
  </si>
  <si>
    <t>Volkszl</t>
  </si>
  <si>
    <t>Abg.v.alkoh.Getr.</t>
  </si>
  <si>
    <t>Anz.-und Ank.abg.ausgl</t>
  </si>
  <si>
    <t>Aufk. Grd.erw.st.</t>
  </si>
  <si>
    <t>Aufk. Bod.wert.abg.</t>
  </si>
  <si>
    <t>Aufk. Spbg.abg. &lt;= 725.000</t>
  </si>
  <si>
    <t>Aufk. Spbg.abg. &gt; 725.000</t>
  </si>
  <si>
    <t>Summe ungek. EA</t>
  </si>
  <si>
    <t>ungek. EA</t>
  </si>
  <si>
    <t>EA Bmsgrdlage</t>
  </si>
  <si>
    <t>Abzg Gmde-BZ</t>
  </si>
  <si>
    <t>EA nach Abzgn</t>
  </si>
  <si>
    <t>horizontale Verteilung, Länder-EA</t>
  </si>
  <si>
    <t>Umschichtg</t>
  </si>
  <si>
    <t>Abgaben mit einheitlichem Schlüssel (ohne Erbschafts- und Schenkungssteuer)</t>
  </si>
  <si>
    <t>(ohne Erb.u.Sch.St)</t>
  </si>
  <si>
    <t>davon nach KA-Schl</t>
  </si>
  <si>
    <t>davon KA-Schl</t>
  </si>
  <si>
    <t>Aufk. Erb.u.Sch.St</t>
  </si>
  <si>
    <t>Volksz.</t>
  </si>
  <si>
    <t>Gmde zu USt-Landespfl.gd</t>
  </si>
  <si>
    <t>Netto-EA</t>
  </si>
  <si>
    <t>Schlüssel</t>
  </si>
  <si>
    <t>(Aufk. in 1000.-)</t>
  </si>
  <si>
    <t>Bev.Statistik 31.10.2009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</si>
  <si>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</si>
  <si>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</si>
  <si>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</si>
  <si>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</si>
  <si>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</si>
  <si>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Getränkest.ausgl (fix)</t>
  </si>
  <si>
    <t>Gmde-Werbest.ausgl (fix)</t>
  </si>
  <si>
    <t>Ldr-Werbeabg. (fix)</t>
  </si>
  <si>
    <t>G-einh.Abg-Fixschlüssel</t>
  </si>
  <si>
    <t>L-einh.Abg-Fixschlüssel</t>
  </si>
  <si>
    <t>G USt-Selbstträgerschaft</t>
  </si>
  <si>
    <t>L USt-Selbstträgerschaft</t>
  </si>
  <si>
    <t>Erfolg</t>
  </si>
  <si>
    <t>aBS 31.10.2009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</si>
</sst>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0.000%"/>
    <numFmt numFmtId="165" formatCode="&quot;ok&quot;;&quot;??&quot;;[Red]&quot;Fehler&quot;"/>
    <numFmt numFmtId="166" formatCode="0.000"/>
    <numFmt numFmtId="167" formatCode="0.0000000"/>
    <numFmt numFmtId="168" formatCode="#,##0.000000"/>
    <numFmt numFmtId="169" formatCode="0.0"/>
    <numFmt numFmtId="170" formatCode="0.0%"/>
    <numFmt numFmtId="171" formatCode="#,##0.0"/>
    <numFmt numFmtId="172" formatCode="00.00"/>
    <numFmt numFmtId="173" formatCode="&quot;davon&quot;\ 0.0%"/>
    <numFmt numFmtId="174" formatCode="#,##0.000"/>
    <numFmt numFmtId="175" formatCode="_-* #,##0.00\ [$€-1]_-;\-* #,##0.00\ [$€-1]_-;_-* &quot;-&quot;??\ [$€-1]_-"/>
  </numFmts>
  <fonts count="13" x14ac:knownFonts="1">
    <font>
      <sz val="10"/>
      <name val="Arial"/>
      <family val="2"/>
    </font>
    <font>
      <sz val="10"/>
      <name val="Helv"/>
    </font>
    <font>
      <b/>
      <sz val="8"/>
      <name val="Helv"/>
    </font>
    <font>
      <sz val="8"/>
      <name val="Helv"/>
    </font>
    <font>
      <sz val="10"/>
      <name val="Arial"/>
      <family val="2"/>
    </font>
    <font>
      <i/>
      <sz val="8"/>
      <name val="Helv"/>
    </font>
    <font>
      <i/>
      <sz val="10"/>
      <name val="Helv"/>
    </font>
    <font>
      <sz val="8"/>
      <color indexed="8"/>
      <name val="Helv"/>
    </font>
    <font>
      <i/>
      <sz val="8"/>
      <color indexed="8"/>
      <name val="Helv"/>
    </font>
    <font>
      <b/>
      <i/>
      <sz val="8"/>
      <name val="Helv"/>
    </font>
    <font>
      <sz val="7"/>
      <name val="Helv"/>
    </font>
    <font>
      <sz val="8"/>
      <name val="Arial"/>
      <family val="2"/>
    </font>
    <font>
      <i/>
      <sz val="7"/>
      <name val="Helv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  <xf numFmtId="175" fontId="4" fillId="0" borderId="0" applyFont="0" applyFill="0" applyBorder="0" applyAlignment="0" applyProtection="0"/>
  </cellStyleXfs>
  <cellXfs count="136">
    <xf numFmtId="0" fontId="0" fillId="0" borderId="0" xfId="0"/>
    <xf numFmtId="0" fontId="2" fillId="0" borderId="0" xfId="2" applyFont="1"/>
    <xf numFmtId="0" fontId="3" fillId="0" borderId="0" xfId="2" applyFont="1"/>
    <xf numFmtId="0" fontId="5" fillId="0" borderId="0" xfId="2" applyFont="1"/>
    <xf numFmtId="0" fontId="6" fillId="0" borderId="0" xfId="2" applyFont="1"/>
    <xf numFmtId="0" fontId="7" fillId="0" borderId="0" xfId="2" applyFont="1"/>
    <xf numFmtId="3" fontId="7" fillId="0" borderId="0" xfId="2" applyNumberFormat="1" applyFont="1"/>
    <xf numFmtId="0" fontId="5" fillId="0" borderId="0" xfId="2" applyFont="1" applyAlignment="1">
      <alignment horizontal="right"/>
    </xf>
    <xf numFmtId="3" fontId="5" fillId="0" borderId="0" xfId="2" applyNumberFormat="1" applyFont="1"/>
    <xf numFmtId="0" fontId="5" fillId="0" borderId="0" xfId="2" applyFont="1" applyBorder="1"/>
    <xf numFmtId="3" fontId="5" fillId="0" borderId="0" xfId="2" applyNumberFormat="1" applyFont="1" applyBorder="1"/>
    <xf numFmtId="0" fontId="8" fillId="0" borderId="0" xfId="2" applyFont="1" applyAlignment="1">
      <alignment horizontal="left"/>
    </xf>
    <xf numFmtId="3" fontId="8" fillId="0" borderId="0" xfId="2" applyNumberFormat="1" applyFont="1"/>
    <xf numFmtId="3" fontId="3" fillId="0" borderId="0" xfId="3" applyNumberFormat="1" applyFont="1"/>
    <xf numFmtId="3" fontId="3" fillId="0" borderId="0" xfId="2" applyNumberFormat="1" applyFont="1"/>
    <xf numFmtId="0" fontId="3" fillId="0" borderId="0" xfId="2" applyFont="1" applyBorder="1"/>
    <xf numFmtId="2" fontId="3" fillId="0" borderId="0" xfId="2" applyNumberFormat="1" applyFont="1"/>
    <xf numFmtId="3" fontId="2" fillId="0" borderId="0" xfId="3" applyNumberFormat="1" applyFont="1"/>
    <xf numFmtId="0" fontId="9" fillId="0" borderId="0" xfId="2" applyFont="1" applyBorder="1"/>
    <xf numFmtId="3" fontId="9" fillId="0" borderId="0" xfId="3" applyNumberFormat="1" applyFont="1" applyBorder="1"/>
    <xf numFmtId="0" fontId="3" fillId="0" borderId="0" xfId="2" applyFont="1" applyAlignment="1">
      <alignment horizontal="right"/>
    </xf>
    <xf numFmtId="3" fontId="3" fillId="0" borderId="1" xfId="2" applyNumberFormat="1" applyFont="1" applyBorder="1"/>
    <xf numFmtId="0" fontId="5" fillId="0" borderId="2" xfId="2" applyFont="1" applyBorder="1" applyAlignment="1">
      <alignment horizontal="right"/>
    </xf>
    <xf numFmtId="0" fontId="5" fillId="0" borderId="2" xfId="2" applyFont="1" applyBorder="1"/>
    <xf numFmtId="0" fontId="5" fillId="0" borderId="3" xfId="2" applyFont="1" applyBorder="1"/>
    <xf numFmtId="3" fontId="10" fillId="0" borderId="0" xfId="2" applyNumberFormat="1" applyFont="1" applyAlignment="1">
      <alignment horizontal="right"/>
    </xf>
    <xf numFmtId="0" fontId="5" fillId="0" borderId="4" xfId="2" applyFont="1" applyBorder="1"/>
    <xf numFmtId="0" fontId="5" fillId="0" borderId="5" xfId="2" applyFont="1" applyBorder="1"/>
    <xf numFmtId="0" fontId="3" fillId="0" borderId="4" xfId="2" applyFont="1" applyBorder="1" applyAlignment="1">
      <alignment horizontal="left"/>
    </xf>
    <xf numFmtId="3" fontId="2" fillId="0" borderId="5" xfId="2" applyNumberFormat="1" applyFont="1" applyBorder="1"/>
    <xf numFmtId="3" fontId="3" fillId="0" borderId="4" xfId="2" applyNumberFormat="1" applyFont="1" applyBorder="1" applyAlignment="1">
      <alignment horizontal="left"/>
    </xf>
    <xf numFmtId="0" fontId="11" fillId="0" borderId="4" xfId="0" applyFont="1" applyBorder="1"/>
    <xf numFmtId="0" fontId="3" fillId="0" borderId="4" xfId="2" applyFont="1" applyBorder="1"/>
    <xf numFmtId="164" fontId="3" fillId="0" borderId="0" xfId="1" applyNumberFormat="1" applyFont="1" applyBorder="1" applyAlignment="1">
      <alignment horizontal="right"/>
    </xf>
    <xf numFmtId="3" fontId="3" fillId="0" borderId="5" xfId="2" applyNumberFormat="1" applyFont="1" applyBorder="1"/>
    <xf numFmtId="3" fontId="3" fillId="0" borderId="5" xfId="3" applyNumberFormat="1" applyFont="1" applyBorder="1"/>
    <xf numFmtId="3" fontId="3" fillId="0" borderId="5" xfId="2" applyNumberFormat="1" applyFont="1" applyFill="1" applyBorder="1"/>
    <xf numFmtId="0" fontId="3" fillId="0" borderId="6" xfId="2" applyFont="1" applyBorder="1" applyAlignment="1">
      <alignment horizontal="left"/>
    </xf>
    <xf numFmtId="164" fontId="3" fillId="0" borderId="7" xfId="1" applyNumberFormat="1" applyFont="1" applyBorder="1" applyAlignment="1">
      <alignment horizontal="right"/>
    </xf>
    <xf numFmtId="3" fontId="3" fillId="0" borderId="8" xfId="2" applyNumberFormat="1" applyFont="1" applyBorder="1"/>
    <xf numFmtId="3" fontId="5" fillId="0" borderId="0" xfId="2" applyNumberFormat="1" applyFont="1" applyBorder="1" applyAlignment="1">
      <alignment horizontal="right"/>
    </xf>
    <xf numFmtId="3" fontId="3" fillId="0" borderId="0" xfId="2" applyNumberFormat="1" applyFont="1" applyBorder="1"/>
    <xf numFmtId="0" fontId="3" fillId="0" borderId="0" xfId="2" applyFont="1" applyBorder="1" applyAlignment="1">
      <alignment horizontal="right"/>
    </xf>
    <xf numFmtId="3" fontId="11" fillId="0" borderId="0" xfId="0" applyNumberFormat="1" applyFont="1"/>
    <xf numFmtId="3" fontId="3" fillId="0" borderId="0" xfId="2" applyNumberFormat="1" applyFont="1" applyBorder="1" applyAlignment="1">
      <alignment horizontal="right"/>
    </xf>
    <xf numFmtId="3" fontId="5" fillId="0" borderId="0" xfId="2" applyNumberFormat="1" applyFont="1" applyFill="1" applyBorder="1" applyAlignment="1">
      <alignment horizontal="right"/>
    </xf>
    <xf numFmtId="3" fontId="3" fillId="0" borderId="2" xfId="2" applyNumberFormat="1" applyFont="1" applyBorder="1"/>
    <xf numFmtId="3" fontId="3" fillId="0" borderId="3" xfId="2" applyNumberFormat="1" applyFont="1" applyBorder="1"/>
    <xf numFmtId="10" fontId="3" fillId="0" borderId="0" xfId="1" applyNumberFormat="1" applyFont="1" applyBorder="1"/>
    <xf numFmtId="3" fontId="10" fillId="0" borderId="0" xfId="2" applyNumberFormat="1" applyFont="1"/>
    <xf numFmtId="0" fontId="11" fillId="0" borderId="9" xfId="0" applyFont="1" applyBorder="1"/>
    <xf numFmtId="0" fontId="3" fillId="0" borderId="10" xfId="2" applyFont="1" applyBorder="1"/>
    <xf numFmtId="0" fontId="2" fillId="0" borderId="0" xfId="2" applyFont="1" applyBorder="1"/>
    <xf numFmtId="0" fontId="3" fillId="0" borderId="5" xfId="2" applyFont="1" applyBorder="1"/>
    <xf numFmtId="0" fontId="3" fillId="0" borderId="10" xfId="2" applyFont="1" applyBorder="1" applyAlignment="1">
      <alignment horizontal="right"/>
    </xf>
    <xf numFmtId="0" fontId="3" fillId="0" borderId="4" xfId="2" applyFont="1" applyBorder="1" applyAlignment="1">
      <alignment horizontal="right"/>
    </xf>
    <xf numFmtId="0" fontId="3" fillId="0" borderId="5" xfId="2" applyFont="1" applyBorder="1" applyAlignment="1">
      <alignment horizontal="right"/>
    </xf>
    <xf numFmtId="3" fontId="3" fillId="0" borderId="0" xfId="2" applyNumberFormat="1" applyFont="1" applyAlignment="1">
      <alignment horizontal="right"/>
    </xf>
    <xf numFmtId="0" fontId="3" fillId="0" borderId="1" xfId="2" applyFont="1" applyBorder="1" applyAlignment="1">
      <alignment horizontal="right"/>
    </xf>
    <xf numFmtId="0" fontId="3" fillId="0" borderId="3" xfId="2" applyFont="1" applyBorder="1" applyAlignment="1">
      <alignment horizontal="right"/>
    </xf>
    <xf numFmtId="0" fontId="3" fillId="0" borderId="0" xfId="2" applyFont="1" applyBorder="1" applyAlignment="1">
      <alignment horizontal="left"/>
    </xf>
    <xf numFmtId="3" fontId="5" fillId="0" borderId="9" xfId="2" applyNumberFormat="1" applyFont="1" applyBorder="1"/>
    <xf numFmtId="3" fontId="5" fillId="0" borderId="1" xfId="2" applyNumberFormat="1" applyFont="1" applyFill="1" applyBorder="1"/>
    <xf numFmtId="3" fontId="2" fillId="0" borderId="0" xfId="2" applyNumberFormat="1" applyFont="1" applyBorder="1"/>
    <xf numFmtId="0" fontId="3" fillId="0" borderId="11" xfId="2" applyFont="1" applyBorder="1"/>
    <xf numFmtId="3" fontId="5" fillId="0" borderId="6" xfId="2" applyNumberFormat="1" applyFont="1" applyFill="1" applyBorder="1"/>
    <xf numFmtId="3" fontId="2" fillId="0" borderId="4" xfId="2" applyNumberFormat="1" applyFont="1" applyBorder="1"/>
    <xf numFmtId="167" fontId="3" fillId="0" borderId="0" xfId="2" applyNumberFormat="1" applyFont="1"/>
    <xf numFmtId="3" fontId="3" fillId="0" borderId="10" xfId="2" applyNumberFormat="1" applyFont="1" applyBorder="1"/>
    <xf numFmtId="3" fontId="3" fillId="0" borderId="4" xfId="2" applyNumberFormat="1" applyFont="1" applyBorder="1"/>
    <xf numFmtId="3" fontId="3" fillId="0" borderId="0" xfId="3" applyNumberFormat="1" applyFont="1" applyBorder="1"/>
    <xf numFmtId="166" fontId="3" fillId="0" borderId="0" xfId="2" applyNumberFormat="1" applyFont="1"/>
    <xf numFmtId="0" fontId="0" fillId="0" borderId="5" xfId="0" applyBorder="1"/>
    <xf numFmtId="3" fontId="3" fillId="0" borderId="4" xfId="2" quotePrefix="1" applyNumberFormat="1" applyFont="1" applyBorder="1" applyAlignment="1">
      <alignment horizontal="right"/>
    </xf>
    <xf numFmtId="3" fontId="3" fillId="0" borderId="5" xfId="2" quotePrefix="1" applyNumberFormat="1" applyFont="1" applyBorder="1" applyAlignment="1">
      <alignment horizontal="right"/>
    </xf>
    <xf numFmtId="3" fontId="3" fillId="0" borderId="0" xfId="2" quotePrefix="1" applyNumberFormat="1" applyFont="1" applyBorder="1" applyAlignment="1">
      <alignment horizontal="right"/>
    </xf>
    <xf numFmtId="3" fontId="10" fillId="0" borderId="10" xfId="2" applyNumberFormat="1" applyFont="1" applyBorder="1"/>
    <xf numFmtId="0" fontId="5" fillId="0" borderId="0" xfId="2" applyFont="1" applyAlignment="1">
      <alignment horizontal="center"/>
    </xf>
    <xf numFmtId="3" fontId="3" fillId="0" borderId="11" xfId="2" applyNumberFormat="1" applyFont="1" applyBorder="1"/>
    <xf numFmtId="3" fontId="3" fillId="0" borderId="6" xfId="2" applyNumberFormat="1" applyFont="1" applyBorder="1"/>
    <xf numFmtId="3" fontId="3" fillId="0" borderId="7" xfId="2" applyNumberFormat="1" applyFont="1" applyBorder="1"/>
    <xf numFmtId="3" fontId="5" fillId="0" borderId="0" xfId="2" applyNumberFormat="1" applyFont="1" applyAlignment="1">
      <alignment horizontal="right"/>
    </xf>
    <xf numFmtId="3" fontId="2" fillId="0" borderId="0" xfId="2" applyNumberFormat="1" applyFont="1"/>
    <xf numFmtId="168" fontId="5" fillId="0" borderId="0" xfId="2" applyNumberFormat="1" applyFont="1" applyAlignment="1">
      <alignment horizontal="center"/>
    </xf>
    <xf numFmtId="0" fontId="1" fillId="0" borderId="0" xfId="2"/>
    <xf numFmtId="4" fontId="3" fillId="0" borderId="0" xfId="2" applyNumberFormat="1" applyFont="1"/>
    <xf numFmtId="0" fontId="3" fillId="0" borderId="0" xfId="2" applyFont="1" applyAlignment="1">
      <alignment horizontal="center"/>
    </xf>
    <xf numFmtId="169" fontId="3" fillId="0" borderId="0" xfId="2" applyNumberFormat="1" applyFont="1" applyAlignment="1">
      <alignment horizontal="center"/>
    </xf>
    <xf numFmtId="0" fontId="3" fillId="0" borderId="0" xfId="2" applyFont="1" applyFill="1"/>
    <xf numFmtId="0" fontId="3" fillId="0" borderId="0" xfId="2" applyFont="1" applyAlignment="1">
      <alignment horizontal="left"/>
    </xf>
    <xf numFmtId="170" fontId="3" fillId="0" borderId="0" xfId="1" applyNumberFormat="1" applyFont="1" applyAlignment="1">
      <alignment horizontal="center"/>
    </xf>
    <xf numFmtId="171" fontId="3" fillId="0" borderId="0" xfId="2" applyNumberFormat="1" applyFont="1" applyAlignment="1">
      <alignment horizontal="center"/>
    </xf>
    <xf numFmtId="0" fontId="4" fillId="0" borderId="0" xfId="0" applyFont="1"/>
    <xf numFmtId="172" fontId="3" fillId="0" borderId="0" xfId="2" applyNumberFormat="1" applyFont="1" applyAlignment="1">
      <alignment horizontal="center"/>
    </xf>
    <xf numFmtId="164" fontId="5" fillId="0" borderId="0" xfId="1" applyNumberFormat="1" applyFont="1"/>
    <xf numFmtId="164" fontId="3" fillId="0" borderId="0" xfId="1" applyNumberFormat="1" applyFont="1"/>
    <xf numFmtId="171" fontId="3" fillId="0" borderId="0" xfId="2" applyNumberFormat="1" applyFont="1" applyBorder="1" applyAlignment="1">
      <alignment horizontal="center"/>
    </xf>
    <xf numFmtId="166" fontId="3" fillId="0" borderId="0" xfId="2" applyNumberFormat="1" applyFont="1" applyAlignment="1">
      <alignment horizontal="right"/>
    </xf>
    <xf numFmtId="170" fontId="3" fillId="0" borderId="0" xfId="1" applyNumberFormat="1" applyFont="1" applyBorder="1" applyAlignment="1">
      <alignment horizontal="center"/>
    </xf>
    <xf numFmtId="169" fontId="3" fillId="0" borderId="0" xfId="2" applyNumberFormat="1" applyFont="1"/>
    <xf numFmtId="2" fontId="3" fillId="0" borderId="0" xfId="2" applyNumberFormat="1" applyFont="1" applyAlignment="1">
      <alignment horizontal="center"/>
    </xf>
    <xf numFmtId="0" fontId="3" fillId="0" borderId="0" xfId="2" applyFont="1" applyFill="1" applyBorder="1" applyAlignment="1">
      <alignment horizontal="right"/>
    </xf>
    <xf numFmtId="3" fontId="3" fillId="0" borderId="0" xfId="2" applyNumberFormat="1" applyFont="1" applyFill="1" applyBorder="1"/>
    <xf numFmtId="0" fontId="3" fillId="0" borderId="0" xfId="2" quotePrefix="1" applyFont="1"/>
    <xf numFmtId="173" fontId="3" fillId="0" borderId="0" xfId="1" applyNumberFormat="1" applyFont="1" applyAlignment="1">
      <alignment horizontal="left"/>
    </xf>
    <xf numFmtId="3" fontId="2" fillId="0" borderId="0" xfId="2" applyNumberFormat="1" applyFont="1" applyFill="1"/>
    <xf numFmtId="4" fontId="3" fillId="0" borderId="0" xfId="2" applyNumberFormat="1" applyFont="1" applyBorder="1"/>
    <xf numFmtId="0" fontId="1" fillId="0" borderId="0" xfId="2" applyFont="1"/>
    <xf numFmtId="0" fontId="3" fillId="0" borderId="0" xfId="2" quotePrefix="1" applyFont="1" applyFill="1"/>
    <xf numFmtId="166" fontId="5" fillId="0" borderId="0" xfId="2" applyNumberFormat="1" applyFont="1"/>
    <xf numFmtId="164" fontId="3" fillId="0" borderId="0" xfId="1" applyNumberFormat="1" applyFont="1" applyAlignment="1">
      <alignment horizontal="right"/>
    </xf>
    <xf numFmtId="0" fontId="3" fillId="0" borderId="0" xfId="2" applyFont="1" applyProtection="1">
      <protection locked="0"/>
    </xf>
    <xf numFmtId="168" fontId="3" fillId="0" borderId="0" xfId="2" applyNumberFormat="1" applyFont="1"/>
    <xf numFmtId="174" fontId="3" fillId="0" borderId="0" xfId="2" applyNumberFormat="1" applyFont="1"/>
    <xf numFmtId="0" fontId="11" fillId="0" borderId="0" xfId="0" applyFont="1" applyBorder="1"/>
    <xf numFmtId="3" fontId="10" fillId="0" borderId="0" xfId="2" applyNumberFormat="1" applyFont="1" applyBorder="1"/>
    <xf numFmtId="165" fontId="3" fillId="0" borderId="0" xfId="2" applyNumberFormat="1" applyFont="1" applyBorder="1" applyAlignment="1">
      <alignment horizontal="right"/>
    </xf>
    <xf numFmtId="0" fontId="5" fillId="0" borderId="0" xfId="2" applyFont="1" applyBorder="1" applyAlignment="1">
      <alignment horizontal="right"/>
    </xf>
    <xf numFmtId="0" fontId="0" fillId="0" borderId="0" xfId="0" applyFont="1" applyBorder="1"/>
    <xf numFmtId="0" fontId="0" fillId="0" borderId="4" xfId="0" applyFont="1" applyBorder="1"/>
    <xf numFmtId="0" fontId="0" fillId="0" borderId="7" xfId="0" applyFont="1" applyBorder="1"/>
    <xf numFmtId="166" fontId="3" fillId="0" borderId="0" xfId="2" applyNumberFormat="1" applyFont="1" applyFill="1"/>
    <xf numFmtId="0" fontId="1" fillId="0" borderId="0" xfId="2" applyBorder="1"/>
    <xf numFmtId="3" fontId="5" fillId="0" borderId="2" xfId="2" applyNumberFormat="1" applyFont="1" applyFill="1" applyBorder="1"/>
    <xf numFmtId="3" fontId="5" fillId="0" borderId="7" xfId="2" applyNumberFormat="1" applyFont="1" applyFill="1" applyBorder="1"/>
    <xf numFmtId="3" fontId="3" fillId="0" borderId="9" xfId="2" applyNumberFormat="1" applyFont="1" applyBorder="1"/>
    <xf numFmtId="3" fontId="3" fillId="0" borderId="10" xfId="2" quotePrefix="1" applyNumberFormat="1" applyFont="1" applyBorder="1"/>
    <xf numFmtId="3" fontId="2" fillId="0" borderId="10" xfId="2" applyNumberFormat="1" applyFont="1" applyBorder="1"/>
    <xf numFmtId="3" fontId="3" fillId="0" borderId="10" xfId="2" quotePrefix="1" applyNumberFormat="1" applyFont="1" applyBorder="1" applyAlignment="1">
      <alignment horizontal="right"/>
    </xf>
    <xf numFmtId="0" fontId="0" fillId="0" borderId="4" xfId="0" applyBorder="1"/>
    <xf numFmtId="164" fontId="3" fillId="0" borderId="0" xfId="1" applyNumberFormat="1" applyFont="1" applyFill="1"/>
    <xf numFmtId="0" fontId="3" fillId="0" borderId="0" xfId="2" applyFont="1" applyFill="1" applyAlignment="1">
      <alignment horizontal="center"/>
    </xf>
    <xf numFmtId="3" fontId="3" fillId="0" borderId="0" xfId="2" applyNumberFormat="1" applyFont="1" applyFill="1"/>
    <xf numFmtId="174" fontId="10" fillId="0" borderId="0" xfId="2" applyNumberFormat="1" applyFont="1" applyFill="1"/>
    <xf numFmtId="174" fontId="12" fillId="0" borderId="0" xfId="2" applyNumberFormat="1" applyFont="1"/>
    <xf numFmtId="174" fontId="3" fillId="0" borderId="0" xfId="2" applyNumberFormat="1" applyFont="1" applyFill="1"/>
  </cellXfs>
  <cellStyles count="5">
    <cellStyle name="Dezimal_EAVERT96" xfId="3"/>
    <cellStyle name="Euro" xfId="4"/>
    <cellStyle name="Prozent" xfId="1" builtinId="5"/>
    <cellStyle name="Standard" xfId="0" builtinId="0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AH241"/>
  <sheetViews>
    <sheetView tabSelected="1" workbookViewId="0"/>
  </sheetViews>
  <sheetFormatPr baseColWidth="10" defaultRowHeight="9.9499999999999993" customHeight="1" x14ac:dyDescent="0.15"/>
  <cols>
    <col min="1" max="1" width="18.5703125" style="2" customWidth="1"/>
    <col min="2" max="11" width="10.42578125" style="2" customWidth="1"/>
    <col min="12" max="26" width="10.7109375" style="2" customWidth="1"/>
    <col min="27" max="16384" width="11.42578125" style="2"/>
  </cols>
  <sheetData>
    <row r="1" spans="1:13" ht="9.9499999999999993" customHeight="1" x14ac:dyDescent="0.2">
      <c r="A1" s="1" t="s">
        <v>0</v>
      </c>
      <c r="G1"/>
      <c r="H1"/>
      <c r="I1"/>
    </row>
    <row r="2" spans="1:13" ht="9.9499999999999993" customHeight="1" x14ac:dyDescent="0.2">
      <c r="A2" s="2" t="s">
        <v>1</v>
      </c>
      <c r="E2"/>
      <c r="G2"/>
      <c r="H2"/>
      <c r="I2"/>
    </row>
    <row r="3" spans="1:13" ht="9.9499999999999993" customHeight="1" x14ac:dyDescent="0.2">
      <c r="E3"/>
      <c r="G3"/>
      <c r="H3"/>
      <c r="I3"/>
      <c r="J3" s="3"/>
      <c r="K3" s="3"/>
      <c r="L3" s="4"/>
      <c r="M3" s="3"/>
    </row>
    <row r="4" spans="1:13" ht="9.9499999999999993" customHeight="1" x14ac:dyDescent="0.2">
      <c r="E4"/>
      <c r="G4"/>
      <c r="H4"/>
      <c r="I4"/>
      <c r="J4" s="3"/>
      <c r="K4" s="3"/>
      <c r="L4" s="4"/>
      <c r="M4" s="3"/>
    </row>
    <row r="5" spans="1:13" ht="9.9499999999999993" customHeight="1" x14ac:dyDescent="0.2">
      <c r="A5" s="5"/>
      <c r="B5" s="6"/>
      <c r="E5"/>
      <c r="F5"/>
      <c r="H5" s="7"/>
      <c r="I5" s="8"/>
      <c r="J5" s="9"/>
      <c r="K5" s="10"/>
      <c r="L5" s="9"/>
      <c r="M5" s="9"/>
    </row>
    <row r="6" spans="1:13" ht="9.9499999999999993" customHeight="1" x14ac:dyDescent="0.2">
      <c r="A6" s="11"/>
      <c r="B6" s="12"/>
      <c r="E6"/>
      <c r="F6"/>
      <c r="G6" s="13"/>
      <c r="H6" s="14"/>
      <c r="I6" s="14"/>
      <c r="J6" s="15"/>
      <c r="K6" s="16"/>
      <c r="L6" s="9"/>
      <c r="M6" s="9"/>
    </row>
    <row r="7" spans="1:13" ht="9.9499999999999993" customHeight="1" x14ac:dyDescent="0.15">
      <c r="A7" s="1"/>
      <c r="B7" s="17"/>
      <c r="H7" s="3"/>
      <c r="I7" s="3"/>
      <c r="J7" s="18"/>
      <c r="K7" s="19"/>
      <c r="L7" s="9"/>
      <c r="M7" s="9"/>
    </row>
    <row r="8" spans="1:13" ht="9.9499999999999993" customHeight="1" x14ac:dyDescent="0.15">
      <c r="A8" s="14"/>
      <c r="B8" s="20" t="s">
        <v>2</v>
      </c>
      <c r="C8" s="20" t="s">
        <v>3</v>
      </c>
      <c r="D8" s="20" t="s">
        <v>4</v>
      </c>
      <c r="E8" s="20" t="s">
        <v>5</v>
      </c>
      <c r="F8" s="20" t="s">
        <v>6</v>
      </c>
      <c r="H8" s="21" t="s">
        <v>7</v>
      </c>
      <c r="I8" s="22"/>
      <c r="J8" s="23"/>
      <c r="K8" s="24"/>
    </row>
    <row r="9" spans="1:13" ht="9.9499999999999993" customHeight="1" x14ac:dyDescent="0.15">
      <c r="B9" s="25" t="s">
        <v>179</v>
      </c>
      <c r="C9" s="25" t="s">
        <v>8</v>
      </c>
      <c r="D9" s="20" t="s">
        <v>2</v>
      </c>
      <c r="E9" s="20"/>
      <c r="F9" s="20"/>
      <c r="H9" s="26"/>
      <c r="I9" s="117"/>
      <c r="J9" s="9"/>
      <c r="K9" s="27"/>
    </row>
    <row r="10" spans="1:13" ht="9.9499999999999993" customHeight="1" x14ac:dyDescent="0.2">
      <c r="A10"/>
      <c r="H10" s="28" t="s">
        <v>9</v>
      </c>
      <c r="I10" s="9"/>
      <c r="J10" s="9"/>
      <c r="K10" s="27"/>
    </row>
    <row r="11" spans="1:13" ht="9.9499999999999993" customHeight="1" x14ac:dyDescent="0.2">
      <c r="A11" s="2" t="s">
        <v>10</v>
      </c>
      <c r="B11" s="14">
        <v>2678206.2845600001</v>
      </c>
      <c r="C11" s="14">
        <v>172598</v>
      </c>
      <c r="D11" s="14">
        <f t="shared" ref="D11:D38" si="0">B11-C11</f>
        <v>2505608.2845600001</v>
      </c>
      <c r="E11" s="14"/>
      <c r="F11" s="14">
        <f t="shared" ref="F11:F38" si="1">D11-E11</f>
        <v>2505608.2845600001</v>
      </c>
      <c r="H11" s="28" t="s">
        <v>11</v>
      </c>
      <c r="I11" s="118"/>
      <c r="J11" s="9"/>
      <c r="K11" s="34">
        <v>0</v>
      </c>
    </row>
    <row r="12" spans="1:13" ht="9.9499999999999993" customHeight="1" x14ac:dyDescent="0.2">
      <c r="A12" s="2" t="s">
        <v>12</v>
      </c>
      <c r="B12" s="14">
        <v>21783868.941709999</v>
      </c>
      <c r="C12" s="14">
        <v>517794</v>
      </c>
      <c r="D12" s="14">
        <f t="shared" si="0"/>
        <v>21266074.941709999</v>
      </c>
      <c r="E12" s="14"/>
      <c r="F12" s="14">
        <f t="shared" si="1"/>
        <v>21266074.941709999</v>
      </c>
      <c r="H12" s="30" t="s">
        <v>13</v>
      </c>
      <c r="I12" s="118"/>
      <c r="J12" s="9"/>
      <c r="K12" s="34">
        <v>0</v>
      </c>
    </row>
    <row r="13" spans="1:13" ht="9.9499999999999993" customHeight="1" x14ac:dyDescent="0.2">
      <c r="A13" s="2" t="s">
        <v>14</v>
      </c>
      <c r="B13" s="14">
        <v>1448775.7477500001</v>
      </c>
      <c r="C13" s="14"/>
      <c r="D13" s="14">
        <f t="shared" si="0"/>
        <v>1448775.7477500001</v>
      </c>
      <c r="E13" s="14"/>
      <c r="F13" s="14">
        <f t="shared" si="1"/>
        <v>1448775.7477500001</v>
      </c>
      <c r="H13" s="119"/>
      <c r="I13" s="10"/>
      <c r="J13" s="9"/>
      <c r="K13" s="27"/>
    </row>
    <row r="14" spans="1:13" ht="9.9499999999999993" customHeight="1" x14ac:dyDescent="0.2">
      <c r="A14" s="2" t="s">
        <v>15</v>
      </c>
      <c r="B14" s="14">
        <v>1263441.3287200001</v>
      </c>
      <c r="C14" s="14"/>
      <c r="D14" s="14">
        <f t="shared" si="0"/>
        <v>1263441.3287200001</v>
      </c>
      <c r="E14" s="14"/>
      <c r="F14" s="14">
        <f t="shared" si="1"/>
        <v>1263441.3287200001</v>
      </c>
      <c r="H14" s="31" t="s">
        <v>16</v>
      </c>
      <c r="I14" s="10"/>
      <c r="J14" s="9"/>
      <c r="K14" s="27"/>
    </row>
    <row r="15" spans="1:13" ht="9.9499999999999993" customHeight="1" x14ac:dyDescent="0.15">
      <c r="A15" s="2" t="s">
        <v>17</v>
      </c>
      <c r="B15" s="14">
        <v>5277095.3203699999</v>
      </c>
      <c r="C15" s="14"/>
      <c r="D15" s="14">
        <f t="shared" si="0"/>
        <v>5277095.3203699999</v>
      </c>
      <c r="E15" s="14"/>
      <c r="F15" s="14">
        <f t="shared" si="1"/>
        <v>5277095.3203699999</v>
      </c>
      <c r="H15" s="32" t="s">
        <v>18</v>
      </c>
      <c r="I15" s="10"/>
      <c r="J15" s="33">
        <v>6.4200000000000004E-3</v>
      </c>
      <c r="K15" s="34">
        <f>D16*J15</f>
        <v>138130.7280056742</v>
      </c>
    </row>
    <row r="16" spans="1:13" ht="9.9499999999999993" customHeight="1" x14ac:dyDescent="0.15">
      <c r="A16" s="2" t="s">
        <v>19</v>
      </c>
      <c r="B16" s="14">
        <v>23391392.416689999</v>
      </c>
      <c r="C16" s="14">
        <v>1875702.69618</v>
      </c>
      <c r="D16" s="14">
        <f t="shared" si="0"/>
        <v>21515689.720509999</v>
      </c>
      <c r="E16" s="14">
        <v>107250.00000000001</v>
      </c>
      <c r="F16" s="14">
        <f t="shared" si="1"/>
        <v>21408439.720509999</v>
      </c>
      <c r="H16" s="32" t="s">
        <v>21</v>
      </c>
      <c r="I16" s="10"/>
      <c r="J16" s="33"/>
      <c r="K16" s="35">
        <v>578548.62400000007</v>
      </c>
    </row>
    <row r="17" spans="1:20" ht="9.9499999999999993" customHeight="1" x14ac:dyDescent="0.2">
      <c r="A17" s="2" t="s">
        <v>20</v>
      </c>
      <c r="B17" s="14">
        <v>188939.75881</v>
      </c>
      <c r="C17" s="14"/>
      <c r="D17" s="14">
        <f t="shared" si="0"/>
        <v>188939.75881</v>
      </c>
      <c r="E17" s="14"/>
      <c r="F17" s="14">
        <f t="shared" si="1"/>
        <v>188939.75881</v>
      </c>
      <c r="H17" s="28" t="s">
        <v>23</v>
      </c>
      <c r="I17" s="118"/>
      <c r="J17" s="33">
        <v>1.7500000000000002E-2</v>
      </c>
      <c r="K17" s="36">
        <v>333432.20015182497</v>
      </c>
    </row>
    <row r="18" spans="1:20" ht="9.9499999999999993" customHeight="1" x14ac:dyDescent="0.2">
      <c r="A18" s="2" t="s">
        <v>22</v>
      </c>
      <c r="B18" s="14">
        <v>0</v>
      </c>
      <c r="C18" s="14"/>
      <c r="D18" s="14">
        <f t="shared" si="0"/>
        <v>0</v>
      </c>
      <c r="E18" s="14"/>
      <c r="F18" s="14">
        <f t="shared" si="1"/>
        <v>0</v>
      </c>
      <c r="H18" s="28" t="s">
        <v>25</v>
      </c>
      <c r="I18" s="118"/>
      <c r="J18" s="33">
        <v>1.0999999999999999E-2</v>
      </c>
      <c r="K18" s="34">
        <f>(SUM($D$11:$D$13)+$D$15)*J18+10000</f>
        <v>345473.09723828995</v>
      </c>
    </row>
    <row r="19" spans="1:20" ht="9.9499999999999993" customHeight="1" x14ac:dyDescent="0.2">
      <c r="A19" s="2" t="s">
        <v>24</v>
      </c>
      <c r="B19" s="14">
        <v>1188.9094599999999</v>
      </c>
      <c r="C19" s="14"/>
      <c r="D19" s="14">
        <f t="shared" si="0"/>
        <v>1188.9094599999999</v>
      </c>
      <c r="E19" s="14"/>
      <c r="F19" s="14">
        <f t="shared" si="1"/>
        <v>1188.9094599999999</v>
      </c>
      <c r="H19" s="37" t="s">
        <v>27</v>
      </c>
      <c r="I19" s="120"/>
      <c r="J19" s="38">
        <v>1.66E-3</v>
      </c>
      <c r="K19" s="39">
        <f>(F43-F18-F21-F25-F26-F27-F28-F40-F41)*J19</f>
        <v>106725.42431535758</v>
      </c>
    </row>
    <row r="20" spans="1:20" ht="9.9499999999999993" customHeight="1" x14ac:dyDescent="0.15">
      <c r="A20" s="2" t="s">
        <v>26</v>
      </c>
      <c r="B20" s="14">
        <v>131910.08079000001</v>
      </c>
      <c r="C20" s="14"/>
      <c r="D20" s="14">
        <f t="shared" si="0"/>
        <v>131910.08079000001</v>
      </c>
      <c r="E20" s="14"/>
      <c r="F20" s="14">
        <f t="shared" si="1"/>
        <v>131910.08079000001</v>
      </c>
    </row>
    <row r="21" spans="1:20" ht="9.9499999999999993" customHeight="1" x14ac:dyDescent="0.15">
      <c r="A21" s="2" t="s">
        <v>28</v>
      </c>
      <c r="B21" s="14">
        <v>29.024380000000001</v>
      </c>
      <c r="C21" s="14"/>
      <c r="D21" s="14">
        <f t="shared" si="0"/>
        <v>29.024380000000001</v>
      </c>
      <c r="E21" s="14"/>
      <c r="F21" s="14">
        <f t="shared" si="1"/>
        <v>29.024380000000001</v>
      </c>
      <c r="H21" s="15"/>
      <c r="I21" s="102"/>
      <c r="J21" s="9"/>
      <c r="K21" s="9"/>
      <c r="L21" s="15"/>
      <c r="M21" s="15"/>
      <c r="N21" s="15"/>
      <c r="O21" s="15"/>
      <c r="P21" s="15"/>
      <c r="Q21" s="15"/>
      <c r="R21" s="15"/>
    </row>
    <row r="22" spans="1:20" ht="9.9499999999999993" customHeight="1" x14ac:dyDescent="0.15">
      <c r="A22" s="2" t="s">
        <v>29</v>
      </c>
      <c r="B22" s="14">
        <v>4212515.0200100001</v>
      </c>
      <c r="C22" s="14"/>
      <c r="D22" s="14">
        <f t="shared" si="0"/>
        <v>4212515.0200100001</v>
      </c>
      <c r="E22" s="14"/>
      <c r="F22" s="14">
        <f t="shared" si="1"/>
        <v>4212515.0200100001</v>
      </c>
      <c r="H22" s="15"/>
      <c r="I22" s="63"/>
      <c r="J22" s="9"/>
      <c r="K22" s="9"/>
      <c r="L22" s="15"/>
      <c r="M22" s="15"/>
      <c r="N22" s="15"/>
      <c r="O22" s="15"/>
      <c r="P22" s="15"/>
      <c r="Q22" s="15"/>
      <c r="R22" s="15"/>
    </row>
    <row r="23" spans="1:20" ht="9.9499999999999993" customHeight="1" x14ac:dyDescent="0.15">
      <c r="A23" s="2" t="s">
        <v>30</v>
      </c>
      <c r="B23" s="14">
        <v>32989.683429999997</v>
      </c>
      <c r="C23" s="14"/>
      <c r="D23" s="14">
        <f t="shared" si="0"/>
        <v>32989.683429999997</v>
      </c>
      <c r="E23" s="14"/>
      <c r="F23" s="14">
        <f t="shared" si="1"/>
        <v>32989.683429999997</v>
      </c>
      <c r="H23" s="15"/>
      <c r="I23" s="41"/>
      <c r="J23" s="41"/>
      <c r="K23" s="40"/>
      <c r="L23" s="40"/>
      <c r="M23" s="15"/>
      <c r="N23" s="15"/>
      <c r="O23" s="15"/>
      <c r="P23" s="15"/>
      <c r="Q23" s="15"/>
      <c r="R23" s="41"/>
      <c r="S23" s="14"/>
      <c r="T23" s="14"/>
    </row>
    <row r="24" spans="1:20" ht="9.9499999999999993" customHeight="1" x14ac:dyDescent="0.15">
      <c r="A24" s="2" t="s">
        <v>31</v>
      </c>
      <c r="B24" s="14">
        <v>17836.63769</v>
      </c>
      <c r="C24" s="14"/>
      <c r="D24" s="14">
        <f t="shared" si="0"/>
        <v>17836.63769</v>
      </c>
      <c r="E24" s="14"/>
      <c r="F24" s="14">
        <f t="shared" si="1"/>
        <v>17836.63769</v>
      </c>
      <c r="H24" s="15"/>
      <c r="I24" s="41"/>
      <c r="J24" s="41"/>
      <c r="K24" s="40"/>
      <c r="L24" s="40"/>
      <c r="M24" s="15"/>
      <c r="N24" s="15"/>
      <c r="O24" s="15"/>
      <c r="P24" s="15"/>
      <c r="Q24" s="15"/>
      <c r="R24" s="41"/>
      <c r="S24" s="14"/>
      <c r="T24" s="14"/>
    </row>
    <row r="25" spans="1:20" ht="9.9499999999999993" customHeight="1" x14ac:dyDescent="0.15">
      <c r="A25" s="2" t="s">
        <v>32</v>
      </c>
      <c r="B25" s="14">
        <v>111310.15829000001</v>
      </c>
      <c r="C25" s="14"/>
      <c r="D25" s="14">
        <f t="shared" si="0"/>
        <v>111310.15829000001</v>
      </c>
      <c r="E25" s="14"/>
      <c r="F25" s="14">
        <f t="shared" si="1"/>
        <v>111310.15829000001</v>
      </c>
      <c r="H25" s="15"/>
      <c r="I25" s="42"/>
      <c r="J25" s="42"/>
      <c r="K25" s="40"/>
      <c r="L25" s="40"/>
      <c r="M25" s="15"/>
      <c r="N25" s="15"/>
      <c r="O25" s="15"/>
      <c r="P25" s="15"/>
      <c r="Q25" s="15"/>
      <c r="R25" s="41"/>
      <c r="S25" s="14"/>
      <c r="T25" s="14"/>
    </row>
    <row r="26" spans="1:20" ht="9.9499999999999993" customHeight="1" x14ac:dyDescent="0.2">
      <c r="A26" s="43" t="s">
        <v>33</v>
      </c>
      <c r="B26" s="14">
        <v>843739.72435999999</v>
      </c>
      <c r="C26" s="14"/>
      <c r="D26" s="14">
        <f t="shared" si="0"/>
        <v>843739.72435999999</v>
      </c>
      <c r="E26" s="14"/>
      <c r="F26" s="14">
        <f t="shared" si="1"/>
        <v>843739.72435999999</v>
      </c>
      <c r="H26" s="114"/>
      <c r="I26" s="44"/>
      <c r="J26" s="42"/>
      <c r="K26" s="40"/>
      <c r="L26" s="40"/>
      <c r="M26" s="15"/>
      <c r="N26" s="15"/>
      <c r="O26" s="15"/>
      <c r="P26" s="15"/>
      <c r="Q26" s="15"/>
      <c r="R26" s="41"/>
      <c r="S26" s="14"/>
      <c r="T26" s="14"/>
    </row>
    <row r="27" spans="1:20" ht="9.9499999999999993" customHeight="1" x14ac:dyDescent="0.15">
      <c r="A27" s="2" t="s">
        <v>34</v>
      </c>
      <c r="B27" s="14">
        <v>753995.07426999998</v>
      </c>
      <c r="C27" s="14"/>
      <c r="D27" s="14">
        <f t="shared" si="0"/>
        <v>753995.07426999998</v>
      </c>
      <c r="E27" s="14"/>
      <c r="F27" s="14">
        <f t="shared" si="1"/>
        <v>753995.07426999998</v>
      </c>
      <c r="H27" s="15"/>
      <c r="I27" s="41"/>
      <c r="J27" s="41"/>
      <c r="K27" s="40"/>
      <c r="L27" s="40"/>
      <c r="M27" s="15"/>
      <c r="N27" s="15"/>
      <c r="O27" s="15"/>
      <c r="P27" s="15"/>
      <c r="Q27" s="15"/>
      <c r="R27" s="41"/>
      <c r="S27" s="14"/>
      <c r="T27" s="14"/>
    </row>
    <row r="28" spans="1:20" ht="9.9499999999999993" customHeight="1" x14ac:dyDescent="0.15">
      <c r="A28" s="2" t="s">
        <v>35</v>
      </c>
      <c r="B28" s="14">
        <v>5586.8710300000002</v>
      </c>
      <c r="C28" s="14"/>
      <c r="D28" s="14">
        <f t="shared" si="0"/>
        <v>5586.8710300000002</v>
      </c>
      <c r="E28" s="14"/>
      <c r="F28" s="14">
        <f t="shared" si="1"/>
        <v>5586.8710300000002</v>
      </c>
      <c r="H28" s="15"/>
      <c r="I28" s="41"/>
      <c r="J28" s="41"/>
      <c r="K28" s="40"/>
      <c r="L28" s="40"/>
      <c r="M28" s="15"/>
      <c r="N28" s="15"/>
      <c r="O28" s="15"/>
      <c r="P28" s="15"/>
      <c r="Q28" s="15"/>
      <c r="R28" s="41"/>
      <c r="S28" s="14"/>
      <c r="T28" s="14"/>
    </row>
    <row r="29" spans="1:20" ht="9.9499999999999993" customHeight="1" x14ac:dyDescent="0.2">
      <c r="A29" s="2" t="s">
        <v>36</v>
      </c>
      <c r="B29" s="14">
        <v>58886.939310000002</v>
      </c>
      <c r="C29" s="14"/>
      <c r="D29" s="14">
        <f t="shared" si="0"/>
        <v>58886.939310000002</v>
      </c>
      <c r="E29" s="14">
        <v>14500</v>
      </c>
      <c r="F29" s="14">
        <f t="shared" si="1"/>
        <v>44386.939310000002</v>
      </c>
      <c r="H29" s="114"/>
      <c r="I29" s="44"/>
      <c r="J29" s="44"/>
      <c r="K29" s="40"/>
      <c r="L29" s="40"/>
      <c r="M29" s="15"/>
      <c r="N29" s="15"/>
      <c r="O29" s="15"/>
      <c r="P29" s="15"/>
      <c r="Q29" s="15"/>
      <c r="R29" s="41"/>
      <c r="S29" s="14"/>
      <c r="T29" s="14"/>
    </row>
    <row r="30" spans="1:20" ht="9.9499999999999993" customHeight="1" x14ac:dyDescent="0.2">
      <c r="A30" s="2" t="s">
        <v>37</v>
      </c>
      <c r="B30" s="14">
        <v>1661785.9806900001</v>
      </c>
      <c r="C30" s="14"/>
      <c r="D30" s="14">
        <f t="shared" si="0"/>
        <v>1661785.9806900001</v>
      </c>
      <c r="E30" s="14"/>
      <c r="F30" s="14">
        <f t="shared" si="1"/>
        <v>1661785.9806900001</v>
      </c>
      <c r="H30" s="114"/>
      <c r="I30" s="44"/>
      <c r="J30" s="44"/>
      <c r="K30" s="40"/>
      <c r="L30" s="40"/>
      <c r="M30" s="15"/>
      <c r="N30" s="15"/>
      <c r="O30" s="15"/>
      <c r="P30" s="15"/>
      <c r="Q30" s="15"/>
      <c r="R30" s="41"/>
      <c r="S30" s="14"/>
      <c r="T30" s="14"/>
    </row>
    <row r="31" spans="1:20" ht="9.9499999999999993" customHeight="1" x14ac:dyDescent="0.15">
      <c r="A31" s="2" t="s">
        <v>38</v>
      </c>
      <c r="B31" s="14">
        <v>1568376.64121</v>
      </c>
      <c r="C31" s="14">
        <v>12423.759090000065</v>
      </c>
      <c r="D31" s="14">
        <f t="shared" si="0"/>
        <v>1555952.88212</v>
      </c>
      <c r="E31" s="14"/>
      <c r="F31" s="14">
        <f t="shared" si="1"/>
        <v>1555952.88212</v>
      </c>
      <c r="H31" s="15"/>
      <c r="I31" s="41"/>
      <c r="J31" s="41"/>
      <c r="K31" s="40"/>
      <c r="L31" s="40"/>
      <c r="M31" s="15"/>
      <c r="N31" s="15"/>
      <c r="O31" s="15"/>
      <c r="P31" s="15"/>
      <c r="Q31" s="15"/>
      <c r="R31" s="41"/>
      <c r="S31" s="14"/>
      <c r="T31" s="14"/>
    </row>
    <row r="32" spans="1:20" ht="9.9499999999999993" customHeight="1" x14ac:dyDescent="0.15">
      <c r="A32" s="2" t="s">
        <v>39</v>
      </c>
      <c r="B32" s="14">
        <v>77462.385479999997</v>
      </c>
      <c r="C32" s="14"/>
      <c r="D32" s="14">
        <f t="shared" si="0"/>
        <v>77462.385479999997</v>
      </c>
      <c r="E32" s="14"/>
      <c r="F32" s="14">
        <f t="shared" si="1"/>
        <v>77462.385479999997</v>
      </c>
      <c r="H32" s="15"/>
      <c r="I32" s="41"/>
      <c r="J32" s="41"/>
      <c r="K32" s="40"/>
      <c r="L32" s="40"/>
      <c r="M32" s="15"/>
      <c r="N32" s="15"/>
      <c r="O32" s="15"/>
      <c r="P32" s="15"/>
      <c r="Q32" s="15"/>
      <c r="R32" s="41"/>
      <c r="S32" s="14"/>
      <c r="T32" s="14"/>
    </row>
    <row r="33" spans="1:33" ht="9.9499999999999993" customHeight="1" x14ac:dyDescent="0.15">
      <c r="A33" s="2" t="s">
        <v>40</v>
      </c>
      <c r="B33" s="14">
        <v>509874.57500000001</v>
      </c>
      <c r="C33" s="14"/>
      <c r="D33" s="14">
        <f t="shared" si="0"/>
        <v>509874.57500000001</v>
      </c>
      <c r="E33" s="14"/>
      <c r="F33" s="14">
        <f t="shared" si="1"/>
        <v>509874.57500000001</v>
      </c>
      <c r="H33" s="15"/>
      <c r="I33" s="41"/>
      <c r="J33" s="41"/>
      <c r="K33" s="40"/>
      <c r="L33" s="40"/>
      <c r="M33" s="15"/>
      <c r="N33" s="15"/>
      <c r="O33" s="15"/>
      <c r="P33" s="15"/>
      <c r="Q33" s="15"/>
      <c r="R33" s="41"/>
      <c r="S33" s="14"/>
      <c r="T33" s="14"/>
    </row>
    <row r="34" spans="1:33" ht="9.9499999999999993" customHeight="1" x14ac:dyDescent="0.15">
      <c r="A34" s="2" t="s">
        <v>41</v>
      </c>
      <c r="B34" s="14">
        <v>59292.59287</v>
      </c>
      <c r="C34" s="14"/>
      <c r="D34" s="14">
        <f t="shared" si="0"/>
        <v>59292.59287</v>
      </c>
      <c r="E34" s="14"/>
      <c r="F34" s="14">
        <f t="shared" si="1"/>
        <v>59292.59287</v>
      </c>
      <c r="H34" s="15"/>
      <c r="I34" s="41"/>
      <c r="J34" s="41"/>
      <c r="K34" s="45"/>
      <c r="L34" s="45"/>
      <c r="M34" s="15"/>
      <c r="N34" s="15"/>
      <c r="O34" s="15"/>
      <c r="P34" s="15"/>
      <c r="Q34" s="15"/>
      <c r="R34" s="15"/>
    </row>
    <row r="35" spans="1:33" ht="9.9499999999999993" customHeight="1" x14ac:dyDescent="0.15">
      <c r="A35" s="2" t="s">
        <v>42</v>
      </c>
      <c r="B35" s="14">
        <v>791754.46859000006</v>
      </c>
      <c r="C35" s="14"/>
      <c r="D35" s="14">
        <f t="shared" si="0"/>
        <v>791754.46859000006</v>
      </c>
      <c r="E35" s="14"/>
      <c r="F35" s="14">
        <f t="shared" si="1"/>
        <v>791754.46859000006</v>
      </c>
      <c r="H35" s="15"/>
      <c r="I35" s="15"/>
      <c r="J35" s="9"/>
      <c r="K35" s="9"/>
      <c r="L35" s="15"/>
      <c r="M35" s="15"/>
      <c r="N35" s="15"/>
      <c r="O35" s="15"/>
      <c r="P35" s="15"/>
      <c r="Q35" s="15"/>
      <c r="R35" s="15"/>
    </row>
    <row r="36" spans="1:33" ht="9.9499999999999993" customHeight="1" x14ac:dyDescent="0.15">
      <c r="A36" s="2" t="s">
        <v>43</v>
      </c>
      <c r="B36" s="14">
        <v>481074.89750999998</v>
      </c>
      <c r="C36" s="14"/>
      <c r="D36" s="14">
        <f t="shared" si="0"/>
        <v>481074.89750999998</v>
      </c>
      <c r="E36" s="14"/>
      <c r="F36" s="14">
        <f t="shared" si="1"/>
        <v>481074.89750999998</v>
      </c>
      <c r="H36" s="15"/>
      <c r="I36" s="15"/>
      <c r="J36" s="41"/>
      <c r="K36" s="9"/>
      <c r="L36" s="15"/>
      <c r="M36" s="15"/>
      <c r="N36" s="15"/>
      <c r="O36" s="15"/>
      <c r="P36" s="15"/>
      <c r="Q36" s="15"/>
      <c r="R36" s="15"/>
    </row>
    <row r="37" spans="1:33" ht="9.9499999999999993" customHeight="1" x14ac:dyDescent="0.15">
      <c r="A37" s="2" t="s">
        <v>44</v>
      </c>
      <c r="B37" s="14">
        <v>1071473.42025</v>
      </c>
      <c r="C37" s="14"/>
      <c r="D37" s="14">
        <f t="shared" si="0"/>
        <v>1071473.42025</v>
      </c>
      <c r="E37" s="14"/>
      <c r="F37" s="14">
        <f t="shared" si="1"/>
        <v>1071473.42025</v>
      </c>
      <c r="H37" s="15"/>
      <c r="I37" s="41"/>
      <c r="J37" s="41"/>
      <c r="K37" s="9"/>
      <c r="L37" s="15"/>
      <c r="M37" s="15"/>
      <c r="N37" s="15"/>
      <c r="O37" s="15"/>
      <c r="P37" s="15"/>
      <c r="Q37" s="15"/>
      <c r="R37" s="15"/>
    </row>
    <row r="38" spans="1:33" ht="9.9499999999999993" customHeight="1" x14ac:dyDescent="0.15">
      <c r="A38" s="2" t="s">
        <v>45</v>
      </c>
      <c r="B38" s="14">
        <v>267827.13099999999</v>
      </c>
      <c r="C38" s="14"/>
      <c r="D38" s="14">
        <f t="shared" si="0"/>
        <v>267827.13099999999</v>
      </c>
      <c r="E38" s="14"/>
      <c r="F38" s="14">
        <f t="shared" si="1"/>
        <v>267827.13099999999</v>
      </c>
      <c r="H38" s="15"/>
      <c r="I38" s="48"/>
      <c r="J38" s="41"/>
      <c r="K38" s="9"/>
      <c r="L38" s="15"/>
      <c r="M38" s="15"/>
      <c r="N38" s="15"/>
      <c r="O38" s="15"/>
      <c r="P38" s="15"/>
      <c r="Q38" s="15"/>
      <c r="R38" s="15"/>
    </row>
    <row r="39" spans="1:33" ht="9.9499999999999993" customHeight="1" x14ac:dyDescent="0.15">
      <c r="A39" s="2" t="s">
        <v>46</v>
      </c>
      <c r="B39" s="14">
        <v>16723.579730000001</v>
      </c>
      <c r="C39" s="14"/>
      <c r="D39" s="14">
        <f>B39-C39</f>
        <v>16723.579730000001</v>
      </c>
      <c r="E39" s="14"/>
      <c r="F39" s="14">
        <f>D39-E39</f>
        <v>16723.579730000001</v>
      </c>
      <c r="H39" s="15"/>
      <c r="I39" s="15"/>
      <c r="J39" s="41"/>
      <c r="K39" s="15"/>
      <c r="L39" s="15"/>
      <c r="M39" s="15"/>
      <c r="N39" s="15"/>
      <c r="O39" s="15"/>
      <c r="P39" s="15"/>
      <c r="Q39" s="15"/>
      <c r="R39" s="15"/>
    </row>
    <row r="40" spans="1:33" ht="9.9499999999999993" customHeight="1" x14ac:dyDescent="0.15">
      <c r="A40" s="2" t="s">
        <v>47</v>
      </c>
      <c r="B40" s="14">
        <v>7829.4691600000006</v>
      </c>
      <c r="C40" s="14"/>
      <c r="D40" s="14">
        <f>B40-C40</f>
        <v>7829.4691600000006</v>
      </c>
      <c r="E40" s="14"/>
      <c r="F40" s="14">
        <f>D40-E40</f>
        <v>7829.4691600000006</v>
      </c>
      <c r="H40" s="15"/>
      <c r="I40" s="15"/>
      <c r="J40" s="41"/>
      <c r="K40" s="15"/>
      <c r="L40" s="15"/>
      <c r="M40" s="15"/>
      <c r="N40" s="15"/>
      <c r="O40" s="15"/>
      <c r="P40" s="15"/>
      <c r="Q40" s="15"/>
      <c r="R40" s="15"/>
    </row>
    <row r="41" spans="1:33" ht="9.9499999999999993" customHeight="1" x14ac:dyDescent="0.15">
      <c r="A41" s="2" t="s">
        <v>48</v>
      </c>
      <c r="B41" s="14">
        <v>39388.705119999999</v>
      </c>
      <c r="C41" s="14"/>
      <c r="D41" s="14">
        <f>B41-C41</f>
        <v>39388.705119999999</v>
      </c>
      <c r="F41" s="14">
        <f>D41-E41</f>
        <v>39388.705119999999</v>
      </c>
      <c r="H41" s="52"/>
      <c r="I41" s="15"/>
      <c r="J41" s="41"/>
      <c r="K41" s="10"/>
      <c r="L41" s="10"/>
      <c r="M41" s="15"/>
      <c r="N41" s="15"/>
      <c r="O41" s="15"/>
      <c r="P41" s="15"/>
      <c r="Q41" s="15"/>
      <c r="R41" s="15"/>
    </row>
    <row r="42" spans="1:33" ht="9.9499999999999993" customHeight="1" x14ac:dyDescent="0.15">
      <c r="F42" s="14"/>
      <c r="H42" s="15"/>
      <c r="I42" s="15"/>
      <c r="J42" s="115"/>
      <c r="K42" s="9"/>
      <c r="L42" s="15"/>
      <c r="M42" s="15"/>
      <c r="N42" s="15"/>
      <c r="O42" s="15"/>
      <c r="P42" s="15"/>
      <c r="Q42" s="15"/>
      <c r="R42" s="15"/>
    </row>
    <row r="43" spans="1:33" ht="9.9499999999999993" customHeight="1" x14ac:dyDescent="0.15">
      <c r="A43" s="2" t="s">
        <v>49</v>
      </c>
      <c r="B43" s="14">
        <f>SUM(B11:B41)</f>
        <v>68754571.768240005</v>
      </c>
      <c r="C43" s="14">
        <f>SUM(C11:C41)</f>
        <v>2578518.4552699998</v>
      </c>
      <c r="D43" s="14">
        <f>SUM(D11:D41)</f>
        <v>66176053.312969983</v>
      </c>
      <c r="E43" s="14">
        <f>SUM(E11:E41)</f>
        <v>121750.00000000001</v>
      </c>
      <c r="F43" s="14">
        <f>SUM(F11:F41)</f>
        <v>66054303.312969983</v>
      </c>
      <c r="H43" s="15"/>
      <c r="I43" s="116"/>
      <c r="J43" s="115"/>
      <c r="K43" s="9"/>
      <c r="L43" s="15"/>
      <c r="M43" s="15"/>
      <c r="N43" s="15"/>
      <c r="O43" s="15"/>
      <c r="P43" s="15"/>
      <c r="Q43" s="15"/>
      <c r="R43" s="15"/>
    </row>
    <row r="44" spans="1:33" ht="9.9499999999999993" customHeight="1" x14ac:dyDescent="0.15">
      <c r="A44" s="2" t="s">
        <v>50</v>
      </c>
      <c r="B44" s="14"/>
      <c r="C44" s="14"/>
      <c r="D44" s="14"/>
      <c r="E44" s="14"/>
      <c r="F44" s="14">
        <f>F11+F12+F13+F14+F15+F16+F17+F19+F20+F22+F23+F24+F29+F30+F31+F32+F33+F34+F35+F36+F37+F38+F39</f>
        <v>64292424.286359988</v>
      </c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ht="9.9499999999999993" customHeight="1" x14ac:dyDescent="0.15"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ht="9.9499999999999993" customHeight="1" x14ac:dyDescent="0.2">
      <c r="K46" s="20"/>
      <c r="L46" s="20"/>
      <c r="M46" s="20"/>
      <c r="N46" s="20"/>
      <c r="O46" s="20"/>
      <c r="P46" s="20"/>
      <c r="Q46" s="20"/>
      <c r="R46" s="20"/>
      <c r="W46" s="15"/>
      <c r="X46" s="122"/>
      <c r="Y46" s="122"/>
      <c r="Z46" s="122"/>
      <c r="AA46" s="122"/>
      <c r="AB46" s="15"/>
      <c r="AC46" s="15"/>
      <c r="AD46" s="15"/>
      <c r="AE46" s="15"/>
      <c r="AF46" s="15"/>
      <c r="AG46" s="15"/>
    </row>
    <row r="47" spans="1:33" ht="9.9499999999999993" customHeight="1" x14ac:dyDescent="0.2">
      <c r="A47" s="1" t="s">
        <v>51</v>
      </c>
      <c r="J47" s="49"/>
      <c r="K47" s="50" t="s">
        <v>52</v>
      </c>
      <c r="L47" s="21" t="s">
        <v>53</v>
      </c>
      <c r="M47" s="46"/>
      <c r="N47" s="125" t="s">
        <v>54</v>
      </c>
      <c r="O47" s="21" t="s">
        <v>55</v>
      </c>
      <c r="P47" s="47"/>
      <c r="Q47" s="14"/>
      <c r="U47" s="15"/>
      <c r="V47" s="52"/>
      <c r="W47" s="52"/>
      <c r="X47" s="52"/>
      <c r="Y47" s="52"/>
      <c r="Z47" s="15"/>
      <c r="AA47" s="52"/>
      <c r="AB47" s="15"/>
      <c r="AC47" s="52"/>
      <c r="AD47" s="15"/>
      <c r="AE47" s="15"/>
    </row>
    <row r="48" spans="1:33" ht="9.9499999999999993" customHeight="1" x14ac:dyDescent="0.15">
      <c r="B48" s="20" t="s">
        <v>56</v>
      </c>
      <c r="C48" s="20" t="s">
        <v>11</v>
      </c>
      <c r="D48" s="20" t="s">
        <v>13</v>
      </c>
      <c r="E48" s="20"/>
      <c r="F48" s="20" t="s">
        <v>56</v>
      </c>
      <c r="G48" s="20" t="s">
        <v>11</v>
      </c>
      <c r="H48" s="20" t="s">
        <v>13</v>
      </c>
      <c r="I48" s="20"/>
      <c r="J48" s="20"/>
      <c r="K48" s="54" t="s">
        <v>13</v>
      </c>
      <c r="L48" s="55" t="s">
        <v>11</v>
      </c>
      <c r="M48" s="42" t="s">
        <v>13</v>
      </c>
      <c r="N48" s="54" t="s">
        <v>13</v>
      </c>
      <c r="O48" s="55" t="s">
        <v>11</v>
      </c>
      <c r="P48" s="56" t="s">
        <v>13</v>
      </c>
      <c r="Q48" s="57"/>
      <c r="R48" s="58" t="s">
        <v>11</v>
      </c>
      <c r="S48" s="59" t="s">
        <v>13</v>
      </c>
      <c r="U48" s="15"/>
      <c r="V48" s="60"/>
      <c r="W48" s="42"/>
      <c r="X48" s="42"/>
      <c r="Y48" s="42"/>
      <c r="Z48" s="42"/>
      <c r="AA48" s="42"/>
      <c r="AB48" s="42"/>
      <c r="AC48" s="42"/>
      <c r="AD48" s="42"/>
      <c r="AE48" s="15"/>
    </row>
    <row r="49" spans="1:31" ht="9.9499999999999993" customHeight="1" x14ac:dyDescent="0.15">
      <c r="J49" s="20" t="s">
        <v>57</v>
      </c>
      <c r="K49" s="61">
        <f>K19</f>
        <v>106725.42431535758</v>
      </c>
      <c r="L49" s="62">
        <f>K16</f>
        <v>578548.62400000007</v>
      </c>
      <c r="M49" s="123">
        <v>0</v>
      </c>
      <c r="N49" s="126" t="s">
        <v>58</v>
      </c>
      <c r="O49" s="66"/>
      <c r="P49" s="29"/>
      <c r="Q49" s="14"/>
      <c r="R49" s="32"/>
      <c r="S49" s="56" t="s">
        <v>59</v>
      </c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</row>
    <row r="50" spans="1:31" ht="9.9499999999999993" customHeight="1" x14ac:dyDescent="0.15">
      <c r="J50" s="20" t="s">
        <v>60</v>
      </c>
      <c r="K50" s="64"/>
      <c r="L50" s="65">
        <f>K11</f>
        <v>0</v>
      </c>
      <c r="M50" s="124">
        <f>K12</f>
        <v>0</v>
      </c>
      <c r="N50" s="127"/>
      <c r="O50" s="66"/>
      <c r="P50" s="29"/>
      <c r="Q50" s="14"/>
      <c r="R50" s="32"/>
      <c r="S50" s="53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</row>
    <row r="51" spans="1:31" ht="9.9499999999999993" customHeight="1" x14ac:dyDescent="0.15">
      <c r="A51" s="2" t="s">
        <v>10</v>
      </c>
      <c r="B51" s="121">
        <v>67.417000000000002</v>
      </c>
      <c r="C51" s="121">
        <v>20.7</v>
      </c>
      <c r="D51" s="121">
        <v>11.883000000000001</v>
      </c>
      <c r="E51" s="67"/>
      <c r="F51" s="13">
        <f t="shared" ref="F51:H56" si="2">B51*$F11/100</f>
        <v>1689205.9372018152</v>
      </c>
      <c r="G51" s="13">
        <f t="shared" si="2"/>
        <v>518660.91490391997</v>
      </c>
      <c r="H51" s="13">
        <f t="shared" si="2"/>
        <v>297741.43245426484</v>
      </c>
      <c r="I51" s="14"/>
      <c r="J51" s="49" t="s">
        <v>61</v>
      </c>
      <c r="K51" s="68">
        <f>-F11*$J$19</f>
        <v>-4159.3097523696006</v>
      </c>
      <c r="L51" s="69">
        <f t="shared" ref="L51:L56" si="3">-SUM(L$49:L$50)/(SUM(G$51:G$80)-G$57-G$58)*G51</f>
        <v>-21441.542553080522</v>
      </c>
      <c r="M51" s="41"/>
      <c r="N51" s="68"/>
      <c r="O51" s="69">
        <v>-9628</v>
      </c>
      <c r="P51" s="34">
        <v>-8180</v>
      </c>
      <c r="Q51" s="49" t="s">
        <v>62</v>
      </c>
      <c r="R51" s="69">
        <f>G51+L51+O51</f>
        <v>487591.37235083943</v>
      </c>
      <c r="S51" s="34">
        <f>H51+K51+M51+N51+P51</f>
        <v>285402.12270189525</v>
      </c>
      <c r="U51" s="15"/>
      <c r="V51" s="70"/>
      <c r="W51" s="70"/>
      <c r="X51" s="70"/>
      <c r="Y51" s="70"/>
      <c r="Z51" s="70"/>
      <c r="AA51" s="70"/>
      <c r="AB51" s="70"/>
      <c r="AC51" s="70"/>
      <c r="AD51" s="70"/>
      <c r="AE51" s="15"/>
    </row>
    <row r="52" spans="1:31" ht="9.9499999999999993" customHeight="1" x14ac:dyDescent="0.15">
      <c r="A52" s="2" t="s">
        <v>12</v>
      </c>
      <c r="B52" s="71">
        <f t="shared" ref="B52:D66" si="4">B$51</f>
        <v>67.417000000000002</v>
      </c>
      <c r="C52" s="71">
        <f t="shared" si="4"/>
        <v>20.7</v>
      </c>
      <c r="D52" s="71">
        <f t="shared" si="4"/>
        <v>11.883000000000001</v>
      </c>
      <c r="E52" s="67"/>
      <c r="F52" s="13">
        <f t="shared" si="2"/>
        <v>14336949.743452631</v>
      </c>
      <c r="G52" s="13">
        <f t="shared" si="2"/>
        <v>4402077.5129339695</v>
      </c>
      <c r="H52" s="13">
        <f t="shared" si="2"/>
        <v>2527047.6853233995</v>
      </c>
      <c r="I52" s="14"/>
      <c r="J52" s="49" t="s">
        <v>63</v>
      </c>
      <c r="K52" s="68">
        <f>-F12*$J$19</f>
        <v>-35301.6844032386</v>
      </c>
      <c r="L52" s="69">
        <f t="shared" si="3"/>
        <v>-181982.73593262275</v>
      </c>
      <c r="M52" s="41"/>
      <c r="N52" s="68">
        <v>0</v>
      </c>
      <c r="O52" s="69">
        <v>-23426</v>
      </c>
      <c r="P52" s="34">
        <v>-18368</v>
      </c>
      <c r="Q52" s="49" t="s">
        <v>64</v>
      </c>
      <c r="R52" s="69">
        <f>G52+L52+O52</f>
        <v>4196668.7770013465</v>
      </c>
      <c r="S52" s="34">
        <f>H52+K52+M52+N52+P52</f>
        <v>2473378.0009201607</v>
      </c>
      <c r="U52" s="15"/>
      <c r="V52" s="70"/>
      <c r="W52" s="70"/>
      <c r="X52" s="70"/>
      <c r="Y52" s="70"/>
      <c r="Z52" s="70"/>
      <c r="AA52" s="70"/>
      <c r="AB52" s="70"/>
      <c r="AC52" s="70"/>
      <c r="AD52" s="70"/>
      <c r="AE52" s="15"/>
    </row>
    <row r="53" spans="1:31" ht="9.9499999999999993" customHeight="1" x14ac:dyDescent="0.15">
      <c r="A53" s="2" t="s">
        <v>14</v>
      </c>
      <c r="B53" s="71">
        <f t="shared" si="4"/>
        <v>67.417000000000002</v>
      </c>
      <c r="C53" s="71">
        <f t="shared" si="4"/>
        <v>20.7</v>
      </c>
      <c r="D53" s="71">
        <f t="shared" si="4"/>
        <v>11.883000000000001</v>
      </c>
      <c r="E53" s="67"/>
      <c r="F53" s="13">
        <f t="shared" si="2"/>
        <v>976721.14586061763</v>
      </c>
      <c r="G53" s="13">
        <f t="shared" si="2"/>
        <v>299896.57978425</v>
      </c>
      <c r="H53" s="13">
        <f t="shared" si="2"/>
        <v>172158.02210513252</v>
      </c>
      <c r="I53" s="14"/>
      <c r="J53" s="49" t="s">
        <v>14</v>
      </c>
      <c r="K53" s="68">
        <f>-F13*$J$19</f>
        <v>-2404.9677412650003</v>
      </c>
      <c r="L53" s="69">
        <f t="shared" si="3"/>
        <v>-12397.782620960525</v>
      </c>
      <c r="M53" s="41"/>
      <c r="N53" s="68"/>
      <c r="O53" s="69">
        <v>-373</v>
      </c>
      <c r="P53" s="34">
        <v>-1864</v>
      </c>
      <c r="Q53" s="49" t="s">
        <v>65</v>
      </c>
      <c r="R53" s="69">
        <f>G53+L53+O53</f>
        <v>287125.79716328951</v>
      </c>
      <c r="S53" s="34">
        <f>H53+K53+M53+N53+P53</f>
        <v>167889.05436386753</v>
      </c>
      <c r="U53" s="15"/>
      <c r="V53" s="70"/>
      <c r="W53" s="70"/>
      <c r="X53" s="70"/>
      <c r="Y53" s="70"/>
      <c r="Z53" s="70"/>
      <c r="AA53" s="70"/>
      <c r="AB53" s="70"/>
      <c r="AC53" s="70"/>
      <c r="AD53" s="70"/>
      <c r="AE53" s="15"/>
    </row>
    <row r="54" spans="1:31" ht="9.9499999999999993" customHeight="1" x14ac:dyDescent="0.15">
      <c r="A54" s="2" t="s">
        <v>15</v>
      </c>
      <c r="B54" s="71">
        <f t="shared" si="4"/>
        <v>67.417000000000002</v>
      </c>
      <c r="C54" s="71">
        <f t="shared" si="4"/>
        <v>20.7</v>
      </c>
      <c r="D54" s="71">
        <f t="shared" si="4"/>
        <v>11.883000000000001</v>
      </c>
      <c r="E54" s="67"/>
      <c r="F54" s="13">
        <f t="shared" si="2"/>
        <v>851774.24058316241</v>
      </c>
      <c r="G54" s="13">
        <f t="shared" si="2"/>
        <v>261532.35504504002</v>
      </c>
      <c r="H54" s="13">
        <f t="shared" si="2"/>
        <v>150134.73309179762</v>
      </c>
      <c r="I54" s="14"/>
      <c r="J54" s="49" t="s">
        <v>15</v>
      </c>
      <c r="K54" s="68">
        <f>-F14*$J$19</f>
        <v>-2097.3126056752003</v>
      </c>
      <c r="L54" s="69">
        <f t="shared" si="3"/>
        <v>-10811.798148978292</v>
      </c>
      <c r="M54" s="41"/>
      <c r="N54" s="68"/>
      <c r="O54" s="69"/>
      <c r="P54" s="34"/>
      <c r="Q54" s="49" t="s">
        <v>66</v>
      </c>
      <c r="R54" s="69">
        <f>G54+L54+O54</f>
        <v>250720.55689606172</v>
      </c>
      <c r="S54" s="34">
        <f>H54+K54+M54+N54+P54</f>
        <v>148037.42048612243</v>
      </c>
      <c r="U54" s="15"/>
      <c r="V54" s="70"/>
      <c r="W54" s="70"/>
      <c r="X54" s="70"/>
      <c r="Y54" s="70"/>
      <c r="Z54" s="70"/>
      <c r="AA54" s="70"/>
      <c r="AB54" s="70"/>
      <c r="AC54" s="70"/>
      <c r="AD54" s="70"/>
      <c r="AE54" s="15"/>
    </row>
    <row r="55" spans="1:31" ht="9.9499999999999993" customHeight="1" x14ac:dyDescent="0.15">
      <c r="A55" s="2" t="s">
        <v>17</v>
      </c>
      <c r="B55" s="71">
        <f t="shared" si="4"/>
        <v>67.417000000000002</v>
      </c>
      <c r="C55" s="71">
        <f t="shared" si="4"/>
        <v>20.7</v>
      </c>
      <c r="D55" s="71">
        <f t="shared" si="4"/>
        <v>11.883000000000001</v>
      </c>
      <c r="E55" s="67"/>
      <c r="F55" s="13">
        <f t="shared" si="2"/>
        <v>3557659.3521338427</v>
      </c>
      <c r="G55" s="13">
        <f t="shared" si="2"/>
        <v>1092358.7313165898</v>
      </c>
      <c r="H55" s="13">
        <f t="shared" si="2"/>
        <v>627077.23691956711</v>
      </c>
      <c r="I55" s="14"/>
      <c r="J55" s="49" t="s">
        <v>67</v>
      </c>
      <c r="K55" s="68">
        <f>-F15*$J$19</f>
        <v>-8759.9782318142006</v>
      </c>
      <c r="L55" s="69">
        <f t="shared" si="3"/>
        <v>-45158.321260996745</v>
      </c>
      <c r="M55" s="41"/>
      <c r="N55" s="68"/>
      <c r="O55" s="69"/>
      <c r="P55" s="34"/>
      <c r="Q55" s="49" t="s">
        <v>68</v>
      </c>
      <c r="R55" s="69">
        <f>G55+L55+O55</f>
        <v>1047200.410055593</v>
      </c>
      <c r="S55" s="34">
        <f>H55+K55+M55+N55+P55</f>
        <v>618317.25868775288</v>
      </c>
      <c r="U55" s="15"/>
      <c r="V55" s="70"/>
      <c r="W55" s="70"/>
      <c r="X55" s="70"/>
      <c r="Y55" s="70"/>
      <c r="Z55" s="70"/>
      <c r="AA55" s="70"/>
      <c r="AB55" s="70"/>
      <c r="AC55" s="70"/>
      <c r="AD55" s="70"/>
      <c r="AE55" s="15"/>
    </row>
    <row r="56" spans="1:31" ht="9.9499999999999993" customHeight="1" x14ac:dyDescent="0.15">
      <c r="A56" s="2" t="s">
        <v>19</v>
      </c>
      <c r="B56" s="71">
        <f t="shared" si="4"/>
        <v>67.417000000000002</v>
      </c>
      <c r="C56" s="71">
        <f t="shared" si="4"/>
        <v>20.7</v>
      </c>
      <c r="D56" s="71">
        <f t="shared" si="4"/>
        <v>11.883000000000001</v>
      </c>
      <c r="E56" s="67"/>
      <c r="F56" s="13">
        <f t="shared" si="2"/>
        <v>14432927.806376226</v>
      </c>
      <c r="G56" s="13">
        <f t="shared" si="2"/>
        <v>4431547.0221455693</v>
      </c>
      <c r="H56" s="13">
        <f t="shared" si="2"/>
        <v>2543964.8919882034</v>
      </c>
      <c r="I56" s="14"/>
      <c r="J56" s="49" t="s">
        <v>69</v>
      </c>
      <c r="K56" s="68">
        <f>-F16*$J$19</f>
        <v>-35538.009936046597</v>
      </c>
      <c r="L56" s="69">
        <f t="shared" si="3"/>
        <v>-183201.01114407947</v>
      </c>
      <c r="M56" s="41"/>
      <c r="N56" s="68">
        <f>-K15</f>
        <v>-138130.7280056742</v>
      </c>
      <c r="O56" s="69"/>
      <c r="P56" s="34">
        <v>-12565</v>
      </c>
      <c r="Q56" s="49" t="s">
        <v>70</v>
      </c>
      <c r="R56" s="69">
        <f>G56+L56+O56</f>
        <v>4248346.0110014901</v>
      </c>
      <c r="S56" s="34">
        <f>H56+K56+M56+N56+P56</f>
        <v>2357731.1540464824</v>
      </c>
      <c r="U56" s="15"/>
      <c r="V56" s="70"/>
      <c r="W56" s="70"/>
      <c r="X56" s="70"/>
      <c r="Y56" s="70"/>
      <c r="Z56" s="70"/>
      <c r="AA56" s="70"/>
      <c r="AB56" s="70"/>
      <c r="AC56" s="70"/>
      <c r="AD56" s="70"/>
      <c r="AE56" s="15"/>
    </row>
    <row r="57" spans="1:31" ht="9.9499999999999993" customHeight="1" x14ac:dyDescent="0.15">
      <c r="A57" s="2" t="s">
        <v>71</v>
      </c>
      <c r="B57" s="71"/>
      <c r="C57" s="71"/>
      <c r="D57" s="71"/>
      <c r="E57" s="67"/>
      <c r="F57" s="13">
        <f>-G57-H57</f>
        <v>-111350.738</v>
      </c>
      <c r="G57" s="13">
        <v>79005</v>
      </c>
      <c r="H57" s="13">
        <v>32345.738000000001</v>
      </c>
      <c r="I57" s="14"/>
      <c r="J57" s="49" t="s">
        <v>72</v>
      </c>
      <c r="K57" s="68"/>
      <c r="L57" s="69"/>
      <c r="M57" s="41"/>
      <c r="N57" s="68"/>
      <c r="O57" s="69"/>
      <c r="P57" s="34"/>
      <c r="Q57" s="49" t="s">
        <v>73</v>
      </c>
      <c r="R57" s="69">
        <f>G57+L57+O57</f>
        <v>79005</v>
      </c>
      <c r="S57" s="34">
        <f>H57+K57+M57+N57+P57</f>
        <v>32345.738000000001</v>
      </c>
      <c r="U57" s="15"/>
      <c r="V57" s="70"/>
      <c r="W57" s="70"/>
      <c r="X57" s="70"/>
      <c r="Y57" s="70"/>
      <c r="Z57" s="70"/>
      <c r="AA57" s="70"/>
      <c r="AB57" s="70"/>
      <c r="AC57" s="70"/>
      <c r="AD57" s="70"/>
      <c r="AE57" s="15"/>
    </row>
    <row r="58" spans="1:31" ht="9.9499999999999993" customHeight="1" x14ac:dyDescent="0.15">
      <c r="A58" s="2" t="s">
        <v>74</v>
      </c>
      <c r="B58" s="71"/>
      <c r="C58" s="71"/>
      <c r="D58" s="71"/>
      <c r="E58" s="67"/>
      <c r="F58" s="13">
        <f>-G58-H58</f>
        <v>0</v>
      </c>
      <c r="G58" s="13">
        <v>0</v>
      </c>
      <c r="H58" s="13">
        <v>0</v>
      </c>
      <c r="I58" s="14"/>
      <c r="J58" s="49" t="s">
        <v>75</v>
      </c>
      <c r="K58" s="68"/>
      <c r="L58" s="69"/>
      <c r="M58" s="41"/>
      <c r="N58" s="68"/>
      <c r="O58" s="69"/>
      <c r="P58" s="34"/>
      <c r="Q58" s="49"/>
      <c r="R58" s="69">
        <f>G58+L58+O58</f>
        <v>0</v>
      </c>
      <c r="S58" s="34">
        <f>H58+K58+M58+N58+P58</f>
        <v>0</v>
      </c>
      <c r="U58" s="15"/>
      <c r="V58" s="70"/>
      <c r="W58" s="70"/>
      <c r="X58" s="70"/>
      <c r="Y58" s="70"/>
      <c r="Z58" s="70"/>
      <c r="AA58" s="70"/>
      <c r="AB58" s="70"/>
      <c r="AC58" s="70"/>
      <c r="AD58" s="70"/>
      <c r="AE58" s="15"/>
    </row>
    <row r="59" spans="1:31" ht="9.9499999999999993" customHeight="1" x14ac:dyDescent="0.2">
      <c r="A59" s="2" t="s">
        <v>20</v>
      </c>
      <c r="B59" s="71">
        <f t="shared" si="4"/>
        <v>67.417000000000002</v>
      </c>
      <c r="C59" s="71">
        <f t="shared" si="4"/>
        <v>20.7</v>
      </c>
      <c r="D59" s="71">
        <f t="shared" si="4"/>
        <v>11.883000000000001</v>
      </c>
      <c r="E59" s="67"/>
      <c r="F59" s="13">
        <f t="shared" ref="F59:H74" si="5">B59*$F17/100</f>
        <v>127377.51719693771</v>
      </c>
      <c r="G59" s="13">
        <f t="shared" si="5"/>
        <v>39110.530073670001</v>
      </c>
      <c r="H59" s="13">
        <f t="shared" si="5"/>
        <v>22451.711539392305</v>
      </c>
      <c r="I59" s="14"/>
      <c r="J59" s="49" t="s">
        <v>76</v>
      </c>
      <c r="K59" s="68">
        <f>-F17*$J$19</f>
        <v>-313.63999962460002</v>
      </c>
      <c r="L59" s="69">
        <f t="shared" ref="L59:L80" si="6">-SUM(L$49:L$50)/(SUM(G$51:G$80)-G$57-G$58)*G59</f>
        <v>-1616.8368788758191</v>
      </c>
      <c r="M59" s="41"/>
      <c r="N59" s="68"/>
      <c r="O59" s="129"/>
      <c r="P59" s="72"/>
      <c r="Q59" s="49" t="s">
        <v>77</v>
      </c>
      <c r="R59" s="69">
        <f>G59+L59+O59</f>
        <v>37493.693194794185</v>
      </c>
      <c r="S59" s="34">
        <f>H59+K59+M59+N59+P59</f>
        <v>22138.071539767705</v>
      </c>
      <c r="U59" s="15"/>
      <c r="V59" s="70"/>
      <c r="W59" s="70"/>
      <c r="X59" s="70"/>
      <c r="Y59" s="70"/>
      <c r="Z59" s="70"/>
      <c r="AA59" s="70"/>
      <c r="AB59" s="70"/>
      <c r="AC59" s="70"/>
      <c r="AD59" s="70"/>
      <c r="AE59" s="15"/>
    </row>
    <row r="60" spans="1:31" ht="9.9499999999999993" customHeight="1" x14ac:dyDescent="0.15">
      <c r="A60" s="2" t="s">
        <v>22</v>
      </c>
      <c r="B60" s="71">
        <v>38.600999999999999</v>
      </c>
      <c r="C60" s="71">
        <v>33.887</v>
      </c>
      <c r="D60" s="71">
        <v>27.512</v>
      </c>
      <c r="E60" s="67"/>
      <c r="F60" s="13">
        <f t="shared" si="5"/>
        <v>0</v>
      </c>
      <c r="G60" s="13">
        <f t="shared" si="5"/>
        <v>0</v>
      </c>
      <c r="H60" s="13">
        <f t="shared" si="5"/>
        <v>0</v>
      </c>
      <c r="I60" s="14"/>
      <c r="J60" s="49" t="s">
        <v>78</v>
      </c>
      <c r="K60" s="68"/>
      <c r="L60" s="69">
        <f t="shared" si="6"/>
        <v>0</v>
      </c>
      <c r="M60" s="41"/>
      <c r="N60" s="68"/>
      <c r="O60" s="69"/>
      <c r="P60" s="34"/>
      <c r="Q60" s="49" t="s">
        <v>79</v>
      </c>
      <c r="R60" s="69">
        <f>G60+L60+O60</f>
        <v>0</v>
      </c>
      <c r="S60" s="34">
        <f>H60+K60+M60+N60+P60</f>
        <v>0</v>
      </c>
      <c r="U60" s="15"/>
      <c r="V60" s="70"/>
      <c r="W60" s="70"/>
      <c r="X60" s="70"/>
      <c r="Y60" s="70"/>
      <c r="Z60" s="70"/>
      <c r="AA60" s="70"/>
      <c r="AB60" s="70"/>
      <c r="AC60" s="70"/>
      <c r="AD60" s="70"/>
      <c r="AE60" s="15"/>
    </row>
    <row r="61" spans="1:31" ht="9.9499999999999993" customHeight="1" x14ac:dyDescent="0.15">
      <c r="A61" s="2" t="s">
        <v>24</v>
      </c>
      <c r="B61" s="71">
        <f>B$51</f>
        <v>67.417000000000002</v>
      </c>
      <c r="C61" s="71">
        <f t="shared" si="4"/>
        <v>20.7</v>
      </c>
      <c r="D61" s="71">
        <f t="shared" si="4"/>
        <v>11.883000000000001</v>
      </c>
      <c r="E61" s="67"/>
      <c r="F61" s="13">
        <f t="shared" si="5"/>
        <v>801.52709064819999</v>
      </c>
      <c r="G61" s="13">
        <f t="shared" si="5"/>
        <v>246.10425821999996</v>
      </c>
      <c r="H61" s="13">
        <f t="shared" si="5"/>
        <v>141.27811113179999</v>
      </c>
      <c r="I61" s="14"/>
      <c r="J61" s="49" t="s">
        <v>80</v>
      </c>
      <c r="K61" s="68">
        <f>-F19*$J$19</f>
        <v>-1.9735897035999999</v>
      </c>
      <c r="L61" s="69">
        <f t="shared" si="6"/>
        <v>-10.173997641784833</v>
      </c>
      <c r="M61" s="41"/>
      <c r="N61" s="68"/>
      <c r="O61" s="69"/>
      <c r="P61" s="34"/>
      <c r="Q61" s="49" t="s">
        <v>81</v>
      </c>
      <c r="R61" s="69">
        <f>G61+L61+O61</f>
        <v>235.93026057821513</v>
      </c>
      <c r="S61" s="34">
        <f>H61+K61+M61+N61+P61</f>
        <v>139.30452142819999</v>
      </c>
      <c r="U61" s="15"/>
      <c r="V61" s="70"/>
      <c r="W61" s="70"/>
      <c r="X61" s="70"/>
      <c r="Y61" s="70"/>
      <c r="Z61" s="70"/>
      <c r="AA61" s="70"/>
      <c r="AB61" s="70"/>
      <c r="AC61" s="70"/>
      <c r="AD61" s="70"/>
      <c r="AE61" s="15"/>
    </row>
    <row r="62" spans="1:31" ht="9.9499999999999993" customHeight="1" x14ac:dyDescent="0.15">
      <c r="A62" s="2" t="s">
        <v>26</v>
      </c>
      <c r="B62" s="71">
        <f>B$51</f>
        <v>67.417000000000002</v>
      </c>
      <c r="C62" s="71">
        <f t="shared" si="4"/>
        <v>20.7</v>
      </c>
      <c r="D62" s="71">
        <f t="shared" si="4"/>
        <v>11.883000000000001</v>
      </c>
      <c r="E62" s="67"/>
      <c r="F62" s="13">
        <f t="shared" si="5"/>
        <v>88929.819166194313</v>
      </c>
      <c r="G62" s="13">
        <f t="shared" si="5"/>
        <v>27305.386723529999</v>
      </c>
      <c r="H62" s="13">
        <f t="shared" si="5"/>
        <v>15674.874900275701</v>
      </c>
      <c r="I62" s="14"/>
      <c r="J62" s="49" t="s">
        <v>82</v>
      </c>
      <c r="K62" s="68">
        <f>-F20*$J$19</f>
        <v>-218.97073411140002</v>
      </c>
      <c r="L62" s="69">
        <f t="shared" si="6"/>
        <v>-1128.8099691671282</v>
      </c>
      <c r="M62" s="41"/>
      <c r="N62" s="68"/>
      <c r="O62" s="69"/>
      <c r="P62" s="34"/>
      <c r="Q62" s="49" t="s">
        <v>83</v>
      </c>
      <c r="R62" s="69">
        <f>G62+L62+O62</f>
        <v>26176.576754362872</v>
      </c>
      <c r="S62" s="34">
        <f>H62+K62+M62+N62+P62</f>
        <v>15455.9041661643</v>
      </c>
      <c r="U62" s="15"/>
      <c r="V62" s="70"/>
      <c r="W62" s="70"/>
      <c r="X62" s="70"/>
      <c r="Y62" s="70"/>
      <c r="Z62" s="70"/>
      <c r="AA62" s="70"/>
      <c r="AB62" s="70"/>
      <c r="AC62" s="70"/>
      <c r="AD62" s="70"/>
      <c r="AE62" s="15"/>
    </row>
    <row r="63" spans="1:31" ht="9.9499999999999993" customHeight="1" x14ac:dyDescent="0.15">
      <c r="A63" s="2" t="s">
        <v>28</v>
      </c>
      <c r="B63" s="71">
        <v>40</v>
      </c>
      <c r="C63" s="71">
        <v>30</v>
      </c>
      <c r="D63" s="71">
        <v>30</v>
      </c>
      <c r="E63" s="67"/>
      <c r="F63" s="13">
        <f t="shared" si="5"/>
        <v>11.609752</v>
      </c>
      <c r="G63" s="13">
        <f t="shared" si="5"/>
        <v>8.7073140000000002</v>
      </c>
      <c r="H63" s="13">
        <f t="shared" si="5"/>
        <v>8.7073140000000002</v>
      </c>
      <c r="I63" s="14"/>
      <c r="J63" s="49" t="s">
        <v>84</v>
      </c>
      <c r="K63" s="68"/>
      <c r="L63" s="69">
        <f t="shared" si="6"/>
        <v>-0.35996204512271557</v>
      </c>
      <c r="M63" s="41"/>
      <c r="N63" s="68"/>
      <c r="O63" s="69"/>
      <c r="P63" s="34"/>
      <c r="Q63" s="49" t="s">
        <v>85</v>
      </c>
      <c r="R63" s="69">
        <f>G63+L63+O63</f>
        <v>8.3473519548772845</v>
      </c>
      <c r="S63" s="34">
        <f>H63+K63+M63+N63+P63</f>
        <v>8.7073140000000002</v>
      </c>
      <c r="U63" s="15"/>
      <c r="V63" s="70"/>
      <c r="W63" s="70"/>
      <c r="X63" s="70"/>
      <c r="Y63" s="70"/>
      <c r="Z63" s="70"/>
      <c r="AA63" s="70"/>
      <c r="AB63" s="70"/>
      <c r="AC63" s="70"/>
      <c r="AD63" s="70"/>
      <c r="AE63" s="15"/>
    </row>
    <row r="64" spans="1:31" ht="9.9499999999999993" customHeight="1" x14ac:dyDescent="0.15">
      <c r="A64" s="2" t="s">
        <v>29</v>
      </c>
      <c r="B64" s="71">
        <f>B$51</f>
        <v>67.417000000000002</v>
      </c>
      <c r="C64" s="71">
        <f t="shared" si="4"/>
        <v>20.7</v>
      </c>
      <c r="D64" s="71">
        <f t="shared" si="4"/>
        <v>11.883000000000001</v>
      </c>
      <c r="E64" s="67"/>
      <c r="F64" s="13">
        <f t="shared" si="5"/>
        <v>2839951.2510401416</v>
      </c>
      <c r="G64" s="13">
        <f t="shared" si="5"/>
        <v>871990.60914206994</v>
      </c>
      <c r="H64" s="13">
        <f t="shared" si="5"/>
        <v>500573.1598277883</v>
      </c>
      <c r="I64" s="14"/>
      <c r="J64" s="49" t="s">
        <v>86</v>
      </c>
      <c r="K64" s="68">
        <f>-F22*$J$19</f>
        <v>-6992.7749332166004</v>
      </c>
      <c r="L64" s="69">
        <f t="shared" si="6"/>
        <v>-36048.260461789025</v>
      </c>
      <c r="M64" s="41"/>
      <c r="N64" s="68"/>
      <c r="O64" s="69"/>
      <c r="P64" s="34"/>
      <c r="Q64" s="49" t="s">
        <v>87</v>
      </c>
      <c r="R64" s="69">
        <f>G64+L64+O64</f>
        <v>835942.34868028096</v>
      </c>
      <c r="S64" s="34">
        <f>H64+K64+M64+N64+P64</f>
        <v>493580.38489457167</v>
      </c>
      <c r="U64" s="15"/>
      <c r="V64" s="70"/>
      <c r="W64" s="70"/>
      <c r="X64" s="70"/>
      <c r="Y64" s="70"/>
      <c r="Z64" s="70"/>
      <c r="AA64" s="70"/>
      <c r="AB64" s="70"/>
      <c r="AC64" s="70"/>
      <c r="AD64" s="70"/>
      <c r="AE64" s="15"/>
    </row>
    <row r="65" spans="1:31" ht="9.9499999999999993" customHeight="1" x14ac:dyDescent="0.15">
      <c r="A65" s="2" t="s">
        <v>30</v>
      </c>
      <c r="B65" s="71">
        <f>B$51</f>
        <v>67.417000000000002</v>
      </c>
      <c r="C65" s="71">
        <f t="shared" si="4"/>
        <v>20.7</v>
      </c>
      <c r="D65" s="71">
        <f t="shared" si="4"/>
        <v>11.883000000000001</v>
      </c>
      <c r="E65" s="67"/>
      <c r="F65" s="13">
        <f t="shared" si="5"/>
        <v>22240.654878003101</v>
      </c>
      <c r="G65" s="13">
        <f t="shared" si="5"/>
        <v>6828.8644700099994</v>
      </c>
      <c r="H65" s="13">
        <f t="shared" si="5"/>
        <v>3920.1640819868999</v>
      </c>
      <c r="I65" s="14"/>
      <c r="J65" s="49" t="s">
        <v>88</v>
      </c>
      <c r="K65" s="68">
        <f>-F23*$J$19</f>
        <v>-54.762874493799998</v>
      </c>
      <c r="L65" s="69">
        <f t="shared" si="6"/>
        <v>-282.30657818135978</v>
      </c>
      <c r="M65" s="41"/>
      <c r="N65" s="68"/>
      <c r="O65" s="69"/>
      <c r="P65" s="34"/>
      <c r="Q65" s="49" t="s">
        <v>89</v>
      </c>
      <c r="R65" s="69">
        <f>G65+L65+O65</f>
        <v>6546.5578918286392</v>
      </c>
      <c r="S65" s="34">
        <f>H65+K65+M65+N65+P65</f>
        <v>3865.4012074930997</v>
      </c>
      <c r="U65" s="15"/>
      <c r="V65" s="70"/>
      <c r="W65" s="70"/>
      <c r="X65" s="70"/>
      <c r="Y65" s="70"/>
      <c r="Z65" s="70"/>
      <c r="AA65" s="70"/>
      <c r="AB65" s="70"/>
      <c r="AC65" s="70"/>
      <c r="AD65" s="70"/>
      <c r="AE65" s="15"/>
    </row>
    <row r="66" spans="1:31" ht="9.9499999999999993" customHeight="1" x14ac:dyDescent="0.15">
      <c r="A66" s="2" t="s">
        <v>31</v>
      </c>
      <c r="B66" s="71">
        <f>B$51</f>
        <v>67.417000000000002</v>
      </c>
      <c r="C66" s="71">
        <f t="shared" si="4"/>
        <v>20.7</v>
      </c>
      <c r="D66" s="71">
        <f t="shared" si="4"/>
        <v>11.883000000000001</v>
      </c>
      <c r="E66" s="67"/>
      <c r="F66" s="13">
        <f t="shared" si="5"/>
        <v>12024.926031467299</v>
      </c>
      <c r="G66" s="13">
        <f t="shared" si="5"/>
        <v>3692.1840018299995</v>
      </c>
      <c r="H66" s="13">
        <f t="shared" si="5"/>
        <v>2119.5276567027004</v>
      </c>
      <c r="I66" s="14"/>
      <c r="J66" s="49" t="s">
        <v>31</v>
      </c>
      <c r="K66" s="68">
        <f>-F24*$J$19</f>
        <v>-29.6088185654</v>
      </c>
      <c r="L66" s="69">
        <f t="shared" si="6"/>
        <v>-152.63560086016179</v>
      </c>
      <c r="M66" s="41"/>
      <c r="N66" s="68"/>
      <c r="O66" s="69"/>
      <c r="P66" s="34"/>
      <c r="Q66" s="49" t="s">
        <v>90</v>
      </c>
      <c r="R66" s="69">
        <f>G66+L66+O66</f>
        <v>3539.5484009698375</v>
      </c>
      <c r="S66" s="34">
        <f>H66+K66+M66+N66+P66</f>
        <v>2089.9188381373006</v>
      </c>
      <c r="U66" s="15"/>
      <c r="V66" s="70"/>
      <c r="W66" s="70"/>
      <c r="X66" s="70"/>
      <c r="Y66" s="70"/>
      <c r="Z66" s="70"/>
      <c r="AA66" s="70"/>
      <c r="AB66" s="70"/>
      <c r="AC66" s="70"/>
      <c r="AD66" s="70"/>
      <c r="AE66" s="15"/>
    </row>
    <row r="67" spans="1:31" ht="9.9499999999999993" customHeight="1" x14ac:dyDescent="0.15">
      <c r="A67" s="2" t="s">
        <v>32</v>
      </c>
      <c r="B67" s="71">
        <v>4</v>
      </c>
      <c r="C67" s="71">
        <v>9.0830000000000002</v>
      </c>
      <c r="D67" s="71">
        <v>86.917000000000002</v>
      </c>
      <c r="E67" s="67"/>
      <c r="F67" s="13">
        <f t="shared" si="5"/>
        <v>4452.4063316000002</v>
      </c>
      <c r="G67" s="13">
        <f t="shared" si="5"/>
        <v>10110.3016774807</v>
      </c>
      <c r="H67" s="13">
        <f t="shared" si="5"/>
        <v>96747.450280919293</v>
      </c>
      <c r="I67" s="14"/>
      <c r="J67" s="49" t="s">
        <v>32</v>
      </c>
      <c r="K67" s="68"/>
      <c r="L67" s="69">
        <f t="shared" si="6"/>
        <v>-417.96182710690977</v>
      </c>
      <c r="M67" s="41"/>
      <c r="N67" s="68"/>
      <c r="O67" s="69"/>
      <c r="P67" s="34"/>
      <c r="Q67" s="49" t="s">
        <v>91</v>
      </c>
      <c r="R67" s="69">
        <f>G67+L67+O67</f>
        <v>9692.3398503737899</v>
      </c>
      <c r="S67" s="34">
        <f>H67+K67+M67+N67+P67</f>
        <v>96747.450280919293</v>
      </c>
      <c r="U67" s="15"/>
      <c r="V67" s="70"/>
      <c r="W67" s="70"/>
      <c r="X67" s="70"/>
      <c r="Y67" s="70"/>
      <c r="Z67" s="70"/>
      <c r="AA67" s="70"/>
      <c r="AB67" s="70"/>
      <c r="AC67" s="70"/>
      <c r="AD67" s="70"/>
      <c r="AE67" s="15"/>
    </row>
    <row r="68" spans="1:31" ht="9.9499999999999993" customHeight="1" x14ac:dyDescent="0.15">
      <c r="A68" s="2" t="s">
        <v>92</v>
      </c>
      <c r="B68" s="71">
        <v>19.450000000000003</v>
      </c>
      <c r="C68" s="71">
        <v>80.55</v>
      </c>
      <c r="D68" s="71">
        <v>0</v>
      </c>
      <c r="E68" s="67"/>
      <c r="F68" s="13">
        <f t="shared" si="5"/>
        <v>164107.37638802003</v>
      </c>
      <c r="G68" s="13">
        <f t="shared" si="5"/>
        <v>679632.34797197999</v>
      </c>
      <c r="H68" s="13">
        <f t="shared" si="5"/>
        <v>0</v>
      </c>
      <c r="I68" s="14"/>
      <c r="J68" s="49" t="s">
        <v>92</v>
      </c>
      <c r="K68" s="68"/>
      <c r="L68" s="69">
        <f t="shared" si="6"/>
        <v>-28096.132734795941</v>
      </c>
      <c r="M68" s="41"/>
      <c r="N68" s="68"/>
      <c r="O68" s="69"/>
      <c r="P68" s="34"/>
      <c r="Q68" s="49" t="s">
        <v>93</v>
      </c>
      <c r="R68" s="69">
        <f>G68+L68+O68</f>
        <v>651536.21523718408</v>
      </c>
      <c r="S68" s="34">
        <f>H68+K68+M68+N68+P68</f>
        <v>0</v>
      </c>
      <c r="U68" s="15"/>
      <c r="V68" s="70"/>
      <c r="W68" s="70"/>
      <c r="X68" s="70"/>
      <c r="Y68" s="70"/>
      <c r="Z68" s="70"/>
      <c r="AA68" s="70"/>
      <c r="AB68" s="70"/>
      <c r="AC68" s="70"/>
      <c r="AD68" s="70"/>
      <c r="AE68" s="15"/>
    </row>
    <row r="69" spans="1:31" ht="9.9499999999999993" customHeight="1" x14ac:dyDescent="0.15">
      <c r="A69" s="2" t="s">
        <v>34</v>
      </c>
      <c r="B69" s="71">
        <v>4</v>
      </c>
      <c r="C69" s="71">
        <v>0</v>
      </c>
      <c r="D69" s="71">
        <v>96</v>
      </c>
      <c r="E69" s="67"/>
      <c r="F69" s="13">
        <f t="shared" si="5"/>
        <v>30159.802970799999</v>
      </c>
      <c r="G69" s="13">
        <f t="shared" si="5"/>
        <v>0</v>
      </c>
      <c r="H69" s="13">
        <f t="shared" si="5"/>
        <v>723835.27129920002</v>
      </c>
      <c r="I69" s="14"/>
      <c r="J69" s="49" t="s">
        <v>94</v>
      </c>
      <c r="K69" s="68"/>
      <c r="L69" s="69">
        <f t="shared" si="6"/>
        <v>0</v>
      </c>
      <c r="M69" s="41"/>
      <c r="N69" s="68"/>
      <c r="O69" s="69"/>
      <c r="P69" s="34"/>
      <c r="Q69" s="49" t="s">
        <v>95</v>
      </c>
      <c r="R69" s="69">
        <f>G69+L69+O69</f>
        <v>0</v>
      </c>
      <c r="S69" s="34">
        <f>H69+K69+M69+N69+P69</f>
        <v>723835.27129920002</v>
      </c>
      <c r="U69" s="15"/>
      <c r="V69" s="70"/>
      <c r="W69" s="70"/>
      <c r="X69" s="70"/>
      <c r="Y69" s="70"/>
      <c r="Z69" s="70"/>
      <c r="AA69" s="70"/>
      <c r="AB69" s="70"/>
      <c r="AC69" s="70"/>
      <c r="AD69" s="70"/>
      <c r="AE69" s="15"/>
    </row>
    <row r="70" spans="1:31" ht="9.9499999999999993" customHeight="1" x14ac:dyDescent="0.15">
      <c r="A70" s="2" t="s">
        <v>35</v>
      </c>
      <c r="B70" s="71">
        <v>4</v>
      </c>
      <c r="C70" s="71">
        <v>0</v>
      </c>
      <c r="D70" s="71">
        <v>96</v>
      </c>
      <c r="E70" s="67"/>
      <c r="F70" s="13">
        <f t="shared" si="5"/>
        <v>223.47484120000001</v>
      </c>
      <c r="G70" s="13">
        <f t="shared" si="5"/>
        <v>0</v>
      </c>
      <c r="H70" s="13">
        <f t="shared" si="5"/>
        <v>5363.3961887999994</v>
      </c>
      <c r="I70" s="14"/>
      <c r="J70" s="49" t="s">
        <v>96</v>
      </c>
      <c r="K70" s="68"/>
      <c r="L70" s="69">
        <f t="shared" si="6"/>
        <v>0</v>
      </c>
      <c r="M70" s="41"/>
      <c r="N70" s="68"/>
      <c r="O70" s="69"/>
      <c r="P70" s="34"/>
      <c r="Q70" s="49" t="s">
        <v>97</v>
      </c>
      <c r="R70" s="69">
        <f>G70+L70+O70</f>
        <v>0</v>
      </c>
      <c r="S70" s="34">
        <f>H70+K70+M70+N70+P70</f>
        <v>5363.3961887999994</v>
      </c>
      <c r="U70" s="15"/>
      <c r="V70" s="70"/>
      <c r="W70" s="70"/>
      <c r="X70" s="70"/>
      <c r="Y70" s="70"/>
      <c r="Z70" s="70"/>
      <c r="AA70" s="70"/>
      <c r="AB70" s="70"/>
      <c r="AC70" s="70"/>
      <c r="AD70" s="70"/>
      <c r="AE70" s="15"/>
    </row>
    <row r="71" spans="1:31" ht="9.9499999999999993" customHeight="1" x14ac:dyDescent="0.15">
      <c r="A71" s="2" t="s">
        <v>36</v>
      </c>
      <c r="B71" s="71">
        <f t="shared" ref="B71:D81" si="7">B$51</f>
        <v>67.417000000000002</v>
      </c>
      <c r="C71" s="71">
        <f t="shared" si="7"/>
        <v>20.7</v>
      </c>
      <c r="D71" s="71">
        <f t="shared" si="7"/>
        <v>11.883000000000001</v>
      </c>
      <c r="E71" s="67"/>
      <c r="F71" s="13">
        <f t="shared" si="5"/>
        <v>29924.342874622704</v>
      </c>
      <c r="G71" s="13">
        <f t="shared" si="5"/>
        <v>9188.0964371700011</v>
      </c>
      <c r="H71" s="13">
        <f t="shared" si="5"/>
        <v>5274.4999982073005</v>
      </c>
      <c r="I71" s="14"/>
      <c r="J71" s="49" t="s">
        <v>98</v>
      </c>
      <c r="K71" s="68">
        <f>-F29*$J$19</f>
        <v>-73.682319254600003</v>
      </c>
      <c r="L71" s="69">
        <f t="shared" si="6"/>
        <v>-379.83768407897662</v>
      </c>
      <c r="M71" s="41"/>
      <c r="N71" s="68"/>
      <c r="O71" s="69"/>
      <c r="P71" s="34"/>
      <c r="Q71" s="49" t="s">
        <v>99</v>
      </c>
      <c r="R71" s="69">
        <f>G71+L71+O71</f>
        <v>8808.2587530910241</v>
      </c>
      <c r="S71" s="34">
        <f>H71+K71+M71+N71+P71</f>
        <v>5200.8176789527006</v>
      </c>
      <c r="U71" s="15"/>
      <c r="V71" s="70"/>
      <c r="W71" s="70"/>
      <c r="X71" s="70"/>
      <c r="Y71" s="70"/>
      <c r="Z71" s="70"/>
      <c r="AA71" s="70"/>
      <c r="AB71" s="70"/>
      <c r="AC71" s="70"/>
      <c r="AD71" s="70"/>
      <c r="AE71" s="15"/>
    </row>
    <row r="72" spans="1:31" ht="9.9499999999999993" customHeight="1" x14ac:dyDescent="0.15">
      <c r="A72" s="2" t="s">
        <v>37</v>
      </c>
      <c r="B72" s="71">
        <f t="shared" si="7"/>
        <v>67.417000000000002</v>
      </c>
      <c r="C72" s="71">
        <f t="shared" si="7"/>
        <v>20.7</v>
      </c>
      <c r="D72" s="71">
        <f t="shared" si="7"/>
        <v>11.883000000000001</v>
      </c>
      <c r="E72" s="67"/>
      <c r="F72" s="13">
        <f t="shared" si="5"/>
        <v>1120326.2546017773</v>
      </c>
      <c r="G72" s="13">
        <f t="shared" si="5"/>
        <v>343989.69800282997</v>
      </c>
      <c r="H72" s="13">
        <f t="shared" si="5"/>
        <v>197470.02808539273</v>
      </c>
      <c r="I72" s="14"/>
      <c r="J72" s="49" t="s">
        <v>100</v>
      </c>
      <c r="K72" s="68">
        <f>-F30*$J$19</f>
        <v>-2758.5647279454001</v>
      </c>
      <c r="L72" s="69">
        <f t="shared" si="6"/>
        <v>-14220.600657590157</v>
      </c>
      <c r="M72" s="41"/>
      <c r="N72" s="68"/>
      <c r="O72" s="69"/>
      <c r="P72" s="34"/>
      <c r="Q72" s="49" t="s">
        <v>101</v>
      </c>
      <c r="R72" s="69">
        <f>G72+L72+O72</f>
        <v>329769.09734523983</v>
      </c>
      <c r="S72" s="34">
        <f>H72+K72+M72+N72+P72</f>
        <v>194711.46335744733</v>
      </c>
      <c r="U72" s="15"/>
      <c r="V72" s="70"/>
      <c r="W72" s="70"/>
      <c r="X72" s="70"/>
      <c r="Y72" s="70"/>
      <c r="Z72" s="70"/>
      <c r="AA72" s="70"/>
      <c r="AB72" s="70"/>
      <c r="AC72" s="70"/>
      <c r="AD72" s="70"/>
      <c r="AE72" s="15"/>
    </row>
    <row r="73" spans="1:31" ht="9.9499999999999993" customHeight="1" x14ac:dyDescent="0.15">
      <c r="A73" s="2" t="s">
        <v>38</v>
      </c>
      <c r="B73" s="71">
        <f t="shared" si="7"/>
        <v>67.417000000000002</v>
      </c>
      <c r="C73" s="71">
        <f t="shared" si="7"/>
        <v>20.7</v>
      </c>
      <c r="D73" s="71">
        <f t="shared" si="7"/>
        <v>11.883000000000001</v>
      </c>
      <c r="E73" s="67"/>
      <c r="F73" s="13">
        <f t="shared" si="5"/>
        <v>1048976.7545388404</v>
      </c>
      <c r="G73" s="13">
        <f t="shared" si="5"/>
        <v>322082.24659883999</v>
      </c>
      <c r="H73" s="13">
        <f t="shared" si="5"/>
        <v>184893.88098231959</v>
      </c>
      <c r="I73" s="14"/>
      <c r="J73" s="49" t="s">
        <v>38</v>
      </c>
      <c r="K73" s="68">
        <f>-F31*$J$19</f>
        <v>-2582.8817843192001</v>
      </c>
      <c r="L73" s="69">
        <f t="shared" si="6"/>
        <v>-13314.942378721755</v>
      </c>
      <c r="M73" s="41"/>
      <c r="N73" s="68"/>
      <c r="O73" s="69"/>
      <c r="P73" s="34"/>
      <c r="Q73" s="49" t="s">
        <v>102</v>
      </c>
      <c r="R73" s="69">
        <f>G73+L73+O73</f>
        <v>308767.30422011821</v>
      </c>
      <c r="S73" s="34">
        <f>H73+K73+M73+N73+P73</f>
        <v>182310.99919800038</v>
      </c>
      <c r="U73" s="15"/>
      <c r="V73" s="70"/>
      <c r="W73" s="70"/>
      <c r="X73" s="70"/>
      <c r="Y73" s="70"/>
      <c r="Z73" s="70"/>
      <c r="AA73" s="70"/>
      <c r="AB73" s="70"/>
      <c r="AC73" s="70"/>
      <c r="AD73" s="70"/>
      <c r="AE73" s="15"/>
    </row>
    <row r="74" spans="1:31" ht="9.9499999999999993" customHeight="1" x14ac:dyDescent="0.15">
      <c r="A74" s="2" t="s">
        <v>39</v>
      </c>
      <c r="B74" s="71">
        <f t="shared" si="7"/>
        <v>67.417000000000002</v>
      </c>
      <c r="C74" s="71">
        <f t="shared" si="7"/>
        <v>20.7</v>
      </c>
      <c r="D74" s="71">
        <f t="shared" si="7"/>
        <v>11.883000000000001</v>
      </c>
      <c r="E74" s="67"/>
      <c r="F74" s="13">
        <f t="shared" si="5"/>
        <v>52222.816419051596</v>
      </c>
      <c r="G74" s="13">
        <f t="shared" si="5"/>
        <v>16034.713794359997</v>
      </c>
      <c r="H74" s="13">
        <f t="shared" si="5"/>
        <v>9204.8552665883999</v>
      </c>
      <c r="I74" s="14"/>
      <c r="J74" s="49" t="s">
        <v>39</v>
      </c>
      <c r="K74" s="68">
        <f>-F32*$J$19</f>
        <v>-128.5875598968</v>
      </c>
      <c r="L74" s="69">
        <f t="shared" si="6"/>
        <v>-662.87817005051647</v>
      </c>
      <c r="M74" s="41"/>
      <c r="N74" s="68"/>
      <c r="O74" s="69"/>
      <c r="P74" s="34"/>
      <c r="Q74" s="49" t="s">
        <v>103</v>
      </c>
      <c r="R74" s="69">
        <f>G74+L74+O74</f>
        <v>15371.83562430948</v>
      </c>
      <c r="S74" s="34">
        <f>H74+K74+M74+N74+P74</f>
        <v>9076.2677066916003</v>
      </c>
      <c r="U74" s="15"/>
      <c r="V74" s="70"/>
      <c r="W74" s="70"/>
      <c r="X74" s="70"/>
      <c r="Y74" s="70"/>
      <c r="Z74" s="70"/>
      <c r="AA74" s="70"/>
      <c r="AB74" s="70"/>
      <c r="AC74" s="70"/>
      <c r="AD74" s="70"/>
      <c r="AE74" s="15"/>
    </row>
    <row r="75" spans="1:31" ht="9.9499999999999993" customHeight="1" x14ac:dyDescent="0.15">
      <c r="A75" s="2" t="s">
        <v>40</v>
      </c>
      <c r="B75" s="71">
        <f t="shared" si="7"/>
        <v>67.417000000000002</v>
      </c>
      <c r="C75" s="71">
        <f t="shared" si="7"/>
        <v>20.7</v>
      </c>
      <c r="D75" s="71">
        <f t="shared" si="7"/>
        <v>11.883000000000001</v>
      </c>
      <c r="E75" s="67"/>
      <c r="F75" s="13">
        <f t="shared" ref="F75:H83" si="8">B75*$F33/100</f>
        <v>343742.14222775004</v>
      </c>
      <c r="G75" s="13">
        <f t="shared" si="8"/>
        <v>105544.03702500001</v>
      </c>
      <c r="H75" s="13">
        <f t="shared" si="8"/>
        <v>60588.395747250004</v>
      </c>
      <c r="I75" s="14"/>
      <c r="J75" s="49" t="s">
        <v>40</v>
      </c>
      <c r="K75" s="68">
        <f>-F33*$J$19</f>
        <v>-846.39179450000006</v>
      </c>
      <c r="L75" s="69">
        <f t="shared" si="6"/>
        <v>-4363.2109072931808</v>
      </c>
      <c r="M75" s="41"/>
      <c r="N75" s="68"/>
      <c r="O75" s="69"/>
      <c r="P75" s="34"/>
      <c r="Q75" s="49" t="s">
        <v>104</v>
      </c>
      <c r="R75" s="69">
        <f>G75+L75+O75</f>
        <v>101180.82611770683</v>
      </c>
      <c r="S75" s="34">
        <f>H75+K75+M75+N75+P75</f>
        <v>59742.003952750005</v>
      </c>
      <c r="U75" s="15"/>
      <c r="V75" s="70"/>
      <c r="W75" s="70"/>
      <c r="X75" s="70"/>
      <c r="Y75" s="70"/>
      <c r="Z75" s="70"/>
      <c r="AA75" s="70"/>
      <c r="AB75" s="70"/>
      <c r="AC75" s="70"/>
      <c r="AD75" s="70"/>
      <c r="AE75" s="15"/>
    </row>
    <row r="76" spans="1:31" ht="9.9499999999999993" customHeight="1" x14ac:dyDescent="0.15">
      <c r="A76" s="2" t="s">
        <v>41</v>
      </c>
      <c r="B76" s="71">
        <f t="shared" si="7"/>
        <v>67.417000000000002</v>
      </c>
      <c r="C76" s="71">
        <f t="shared" si="7"/>
        <v>20.7</v>
      </c>
      <c r="D76" s="71">
        <f t="shared" si="7"/>
        <v>11.883000000000001</v>
      </c>
      <c r="E76" s="67"/>
      <c r="F76" s="13">
        <f t="shared" si="8"/>
        <v>39973.287335167901</v>
      </c>
      <c r="G76" s="13">
        <f t="shared" si="8"/>
        <v>12273.566724089998</v>
      </c>
      <c r="H76" s="13">
        <f t="shared" si="8"/>
        <v>7045.7388107421002</v>
      </c>
      <c r="I76" s="14"/>
      <c r="J76" s="49" t="s">
        <v>41</v>
      </c>
      <c r="K76" s="68">
        <f>-F34*$J$19</f>
        <v>-98.425704164199999</v>
      </c>
      <c r="L76" s="69">
        <f t="shared" si="6"/>
        <v>-507.39162260067161</v>
      </c>
      <c r="M76" s="41"/>
      <c r="N76" s="68"/>
      <c r="O76" s="69"/>
      <c r="P76" s="34"/>
      <c r="Q76" s="49" t="s">
        <v>105</v>
      </c>
      <c r="R76" s="69">
        <f>G76+L76+O76</f>
        <v>11766.175101489327</v>
      </c>
      <c r="S76" s="34">
        <f>H76+K76+M76+N76+P76</f>
        <v>6947.3131065778998</v>
      </c>
      <c r="U76" s="15"/>
      <c r="V76" s="70"/>
      <c r="W76" s="70"/>
      <c r="X76" s="70"/>
      <c r="Y76" s="70"/>
      <c r="Z76" s="70"/>
      <c r="AA76" s="70"/>
      <c r="AB76" s="70"/>
      <c r="AC76" s="70"/>
      <c r="AD76" s="70"/>
      <c r="AE76" s="15"/>
    </row>
    <row r="77" spans="1:31" ht="9.9499999999999993" customHeight="1" x14ac:dyDescent="0.15">
      <c r="A77" s="2" t="s">
        <v>42</v>
      </c>
      <c r="B77" s="71">
        <f t="shared" si="7"/>
        <v>67.417000000000002</v>
      </c>
      <c r="C77" s="71">
        <f t="shared" si="7"/>
        <v>20.7</v>
      </c>
      <c r="D77" s="71">
        <f t="shared" si="7"/>
        <v>11.883000000000001</v>
      </c>
      <c r="E77" s="67"/>
      <c r="F77" s="13">
        <f t="shared" si="8"/>
        <v>533777.11008932034</v>
      </c>
      <c r="G77" s="13">
        <f t="shared" si="8"/>
        <v>163893.17499813001</v>
      </c>
      <c r="H77" s="13">
        <f t="shared" si="8"/>
        <v>94084.183502549713</v>
      </c>
      <c r="I77" s="14"/>
      <c r="J77" s="49" t="s">
        <v>42</v>
      </c>
      <c r="K77" s="68">
        <f>-F35*$J$19</f>
        <v>-1314.3124178594001</v>
      </c>
      <c r="L77" s="69">
        <f t="shared" si="6"/>
        <v>-6775.3755582929471</v>
      </c>
      <c r="M77" s="41"/>
      <c r="N77" s="68"/>
      <c r="O77" s="69"/>
      <c r="P77" s="34"/>
      <c r="Q77" s="49" t="s">
        <v>106</v>
      </c>
      <c r="R77" s="69">
        <f>G77+L77+O77</f>
        <v>157117.79943983705</v>
      </c>
      <c r="S77" s="34">
        <f>H77+K77+M77+N77+P77</f>
        <v>92769.871084690312</v>
      </c>
      <c r="U77" s="15"/>
      <c r="V77" s="70"/>
      <c r="W77" s="70"/>
      <c r="X77" s="70"/>
      <c r="Y77" s="70"/>
      <c r="Z77" s="70"/>
      <c r="AA77" s="70"/>
      <c r="AB77" s="70"/>
      <c r="AC77" s="70"/>
      <c r="AD77" s="70"/>
      <c r="AE77" s="15"/>
    </row>
    <row r="78" spans="1:31" ht="9.9499999999999993" customHeight="1" x14ac:dyDescent="0.15">
      <c r="A78" s="2" t="s">
        <v>43</v>
      </c>
      <c r="B78" s="71">
        <f t="shared" si="7"/>
        <v>67.417000000000002</v>
      </c>
      <c r="C78" s="71">
        <f t="shared" si="7"/>
        <v>20.7</v>
      </c>
      <c r="D78" s="71">
        <f t="shared" si="7"/>
        <v>11.883000000000001</v>
      </c>
      <c r="E78" s="67"/>
      <c r="F78" s="13">
        <f t="shared" si="8"/>
        <v>324326.26365431672</v>
      </c>
      <c r="G78" s="13">
        <f t="shared" si="8"/>
        <v>99582.503784569984</v>
      </c>
      <c r="H78" s="13">
        <f t="shared" si="8"/>
        <v>57166.130071113308</v>
      </c>
      <c r="I78" s="14"/>
      <c r="J78" s="49" t="s">
        <v>43</v>
      </c>
      <c r="K78" s="68">
        <f>-F36*$J$19</f>
        <v>-798.5843298666</v>
      </c>
      <c r="L78" s="69">
        <f t="shared" si="6"/>
        <v>-4116.7599699211924</v>
      </c>
      <c r="M78" s="41"/>
      <c r="N78" s="68"/>
      <c r="O78" s="69"/>
      <c r="P78" s="34"/>
      <c r="Q78" s="49" t="s">
        <v>107</v>
      </c>
      <c r="R78" s="69">
        <f>G78+L78+O78</f>
        <v>95465.743814648798</v>
      </c>
      <c r="S78" s="34">
        <f>H78+K78+M78+N78+P78</f>
        <v>56367.545741246708</v>
      </c>
      <c r="U78" s="15"/>
      <c r="V78" s="70"/>
      <c r="W78" s="70"/>
      <c r="X78" s="70"/>
      <c r="Y78" s="70"/>
      <c r="Z78" s="70"/>
      <c r="AA78" s="70"/>
      <c r="AB78" s="70"/>
      <c r="AC78" s="70"/>
      <c r="AD78" s="70"/>
      <c r="AE78" s="15"/>
    </row>
    <row r="79" spans="1:31" ht="9.9499999999999993" customHeight="1" x14ac:dyDescent="0.15">
      <c r="A79" s="2" t="s">
        <v>44</v>
      </c>
      <c r="B79" s="71">
        <f t="shared" si="7"/>
        <v>67.417000000000002</v>
      </c>
      <c r="C79" s="71">
        <f t="shared" si="7"/>
        <v>20.7</v>
      </c>
      <c r="D79" s="71">
        <f t="shared" si="7"/>
        <v>11.883000000000001</v>
      </c>
      <c r="E79" s="67"/>
      <c r="F79" s="13">
        <f t="shared" si="8"/>
        <v>722355.23572994245</v>
      </c>
      <c r="G79" s="13">
        <f t="shared" si="8"/>
        <v>221794.99799174999</v>
      </c>
      <c r="H79" s="13">
        <f t="shared" si="8"/>
        <v>127323.1865283075</v>
      </c>
      <c r="I79" s="14"/>
      <c r="J79" s="49" t="s">
        <v>44</v>
      </c>
      <c r="K79" s="68">
        <f>-F37*$J$19</f>
        <v>-1778.645877615</v>
      </c>
      <c r="L79" s="69">
        <f t="shared" si="6"/>
        <v>-9169.0481215101372</v>
      </c>
      <c r="M79" s="41"/>
      <c r="N79" s="68"/>
      <c r="O79" s="69"/>
      <c r="P79" s="34"/>
      <c r="Q79" s="49" t="s">
        <v>108</v>
      </c>
      <c r="R79" s="69">
        <f>G79+L79+O79</f>
        <v>212625.94987023986</v>
      </c>
      <c r="S79" s="34">
        <f>H79+K79+M79+N79+P79</f>
        <v>125544.54065069251</v>
      </c>
      <c r="U79" s="15"/>
      <c r="V79" s="70"/>
      <c r="W79" s="70"/>
      <c r="X79" s="70"/>
      <c r="Y79" s="70"/>
      <c r="Z79" s="70"/>
      <c r="AA79" s="70"/>
      <c r="AB79" s="70"/>
      <c r="AC79" s="70"/>
      <c r="AD79" s="70"/>
      <c r="AE79" s="15"/>
    </row>
    <row r="80" spans="1:31" ht="9.9499999999999993" customHeight="1" x14ac:dyDescent="0.15">
      <c r="A80" s="2" t="s">
        <v>45</v>
      </c>
      <c r="B80" s="71">
        <f t="shared" si="7"/>
        <v>67.417000000000002</v>
      </c>
      <c r="C80" s="71">
        <f t="shared" si="7"/>
        <v>20.7</v>
      </c>
      <c r="D80" s="71">
        <f t="shared" si="7"/>
        <v>11.883000000000001</v>
      </c>
      <c r="E80" s="67"/>
      <c r="F80" s="13">
        <f t="shared" si="8"/>
        <v>180561.01690627</v>
      </c>
      <c r="G80" s="13">
        <f t="shared" si="8"/>
        <v>55440.216116999996</v>
      </c>
      <c r="H80" s="13">
        <f t="shared" si="8"/>
        <v>31825.897976730001</v>
      </c>
      <c r="I80" s="14"/>
      <c r="J80" s="49" t="s">
        <v>45</v>
      </c>
      <c r="K80" s="68">
        <f>-F38*$J$19</f>
        <v>-444.59303746000001</v>
      </c>
      <c r="L80" s="69">
        <f t="shared" si="6"/>
        <v>-2291.9092587588611</v>
      </c>
      <c r="M80" s="41"/>
      <c r="N80" s="68"/>
      <c r="O80" s="69"/>
      <c r="P80" s="34"/>
      <c r="Q80" s="49" t="s">
        <v>109</v>
      </c>
      <c r="R80" s="69">
        <f>G80+L80+O80</f>
        <v>53148.306858241136</v>
      </c>
      <c r="S80" s="34">
        <f>H80+K80+M80+N80+P80</f>
        <v>31381.304939270001</v>
      </c>
      <c r="U80" s="15"/>
      <c r="V80" s="70"/>
      <c r="W80" s="70"/>
      <c r="X80" s="70"/>
      <c r="Y80" s="70"/>
      <c r="Z80" s="70"/>
      <c r="AA80" s="70"/>
      <c r="AB80" s="70"/>
      <c r="AC80" s="70"/>
      <c r="AD80" s="70"/>
      <c r="AE80" s="15"/>
    </row>
    <row r="81" spans="1:34" ht="9.9499999999999993" customHeight="1" x14ac:dyDescent="0.15">
      <c r="A81" s="2" t="s">
        <v>110</v>
      </c>
      <c r="B81" s="71">
        <f t="shared" si="7"/>
        <v>67.417000000000002</v>
      </c>
      <c r="C81" s="71">
        <f t="shared" si="7"/>
        <v>20.7</v>
      </c>
      <c r="D81" s="71">
        <f t="shared" si="7"/>
        <v>11.883000000000001</v>
      </c>
      <c r="E81" s="67"/>
      <c r="F81" s="13">
        <f t="shared" si="8"/>
        <v>11274.535746574102</v>
      </c>
      <c r="G81" s="13">
        <f t="shared" si="8"/>
        <v>3461.7810041100001</v>
      </c>
      <c r="H81" s="13">
        <f t="shared" si="8"/>
        <v>1987.2629793159003</v>
      </c>
      <c r="I81" s="14"/>
      <c r="J81" s="49" t="s">
        <v>111</v>
      </c>
      <c r="K81" s="68">
        <f>-F39*$J$19</f>
        <v>-27.761142351800004</v>
      </c>
      <c r="L81" s="73"/>
      <c r="M81" s="75"/>
      <c r="N81" s="128"/>
      <c r="O81" s="73"/>
      <c r="P81" s="74"/>
      <c r="Q81" s="49" t="s">
        <v>112</v>
      </c>
      <c r="R81" s="69">
        <f>G81+L81+O81</f>
        <v>3461.7810041100001</v>
      </c>
      <c r="S81" s="34">
        <f>H81+K81+M81+N81+P81</f>
        <v>1959.5018369641002</v>
      </c>
      <c r="U81" s="15"/>
      <c r="V81" s="70"/>
      <c r="W81" s="70"/>
      <c r="X81" s="70"/>
      <c r="Y81" s="70"/>
      <c r="Z81" s="70"/>
      <c r="AA81" s="70"/>
      <c r="AB81" s="70"/>
      <c r="AC81" s="70"/>
      <c r="AD81" s="70"/>
      <c r="AE81" s="15"/>
    </row>
    <row r="82" spans="1:34" ht="9.9499999999999993" customHeight="1" x14ac:dyDescent="0.15">
      <c r="A82" s="2" t="s">
        <v>113</v>
      </c>
      <c r="B82" s="71">
        <v>49</v>
      </c>
      <c r="C82" s="71">
        <v>7</v>
      </c>
      <c r="D82" s="71">
        <v>44</v>
      </c>
      <c r="E82" s="67"/>
      <c r="F82" s="13">
        <f t="shared" si="8"/>
        <v>3836.4398884000002</v>
      </c>
      <c r="G82" s="13">
        <f t="shared" si="8"/>
        <v>548.06284120000009</v>
      </c>
      <c r="H82" s="13">
        <f t="shared" si="8"/>
        <v>3444.9664303999998</v>
      </c>
      <c r="I82" s="14"/>
      <c r="J82" s="49" t="s">
        <v>114</v>
      </c>
      <c r="K82" s="76"/>
      <c r="L82" s="73"/>
      <c r="M82" s="75"/>
      <c r="N82" s="128"/>
      <c r="O82" s="73"/>
      <c r="P82" s="74"/>
      <c r="Q82" s="49" t="s">
        <v>115</v>
      </c>
      <c r="R82" s="69">
        <f>G82+L82+O82</f>
        <v>548.06284120000009</v>
      </c>
      <c r="S82" s="34">
        <f>H82+K82+M82+N82+P82</f>
        <v>3444.9664303999998</v>
      </c>
      <c r="U82" s="15"/>
      <c r="V82" s="70"/>
      <c r="W82" s="70"/>
      <c r="X82" s="70"/>
      <c r="Y82" s="70"/>
      <c r="Z82" s="70"/>
      <c r="AA82" s="70"/>
      <c r="AB82" s="70"/>
      <c r="AC82" s="70"/>
      <c r="AD82" s="70"/>
      <c r="AE82" s="15"/>
    </row>
    <row r="83" spans="1:34" ht="9.9499999999999993" customHeight="1" x14ac:dyDescent="0.15">
      <c r="A83" s="2" t="s">
        <v>116</v>
      </c>
      <c r="B83" s="71">
        <v>61</v>
      </c>
      <c r="C83" s="71">
        <v>20</v>
      </c>
      <c r="D83" s="71">
        <v>19</v>
      </c>
      <c r="E83" s="67"/>
      <c r="F83" s="13">
        <f t="shared" si="8"/>
        <v>24027.110123199996</v>
      </c>
      <c r="G83" s="13">
        <f t="shared" si="8"/>
        <v>7877.7410239999999</v>
      </c>
      <c r="H83" s="13">
        <f t="shared" si="8"/>
        <v>7483.8539727999996</v>
      </c>
      <c r="I83" s="14"/>
      <c r="J83" s="49" t="s">
        <v>117</v>
      </c>
      <c r="K83" s="76"/>
      <c r="L83" s="73"/>
      <c r="M83" s="75"/>
      <c r="N83" s="128"/>
      <c r="O83" s="73"/>
      <c r="P83" s="74"/>
      <c r="Q83" s="49" t="s">
        <v>118</v>
      </c>
      <c r="R83" s="69">
        <f>G83+L83+O83</f>
        <v>7877.7410239999999</v>
      </c>
      <c r="S83" s="34">
        <f>H83+K83+M83+N83+P83</f>
        <v>7483.8539727999996</v>
      </c>
      <c r="U83" s="15"/>
      <c r="V83" s="70"/>
      <c r="W83" s="70"/>
      <c r="X83" s="70"/>
      <c r="Y83" s="70"/>
      <c r="Z83" s="70"/>
      <c r="AA83" s="70"/>
      <c r="AB83" s="70"/>
      <c r="AC83" s="70"/>
      <c r="AD83" s="70"/>
      <c r="AE83" s="15"/>
    </row>
    <row r="84" spans="1:34" ht="9.9499999999999993" customHeight="1" x14ac:dyDescent="0.15">
      <c r="F84" s="13"/>
      <c r="G84" s="13"/>
      <c r="H84" s="13"/>
      <c r="K84" s="51"/>
      <c r="L84" s="69"/>
      <c r="M84" s="41"/>
      <c r="N84" s="68"/>
      <c r="O84" s="69"/>
      <c r="P84" s="34"/>
      <c r="Q84" s="49"/>
      <c r="R84" s="69"/>
      <c r="S84" s="34"/>
      <c r="T84" s="77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</row>
    <row r="85" spans="1:34" ht="9.9499999999999993" customHeight="1" x14ac:dyDescent="0.15">
      <c r="A85" s="2" t="s">
        <v>49</v>
      </c>
      <c r="F85" s="13">
        <f>SUM(F51:F83)</f>
        <v>43459491.163430527</v>
      </c>
      <c r="G85" s="13">
        <f>SUM(G51:G83)</f>
        <v>14085713.988105182</v>
      </c>
      <c r="H85" s="13">
        <f>SUM(H51:H83)</f>
        <v>8509098.1614342798</v>
      </c>
      <c r="I85" s="13"/>
      <c r="J85" s="2" t="s">
        <v>49</v>
      </c>
      <c r="K85" s="78">
        <f>SUM(K51:K83)</f>
        <v>-106725.42431535757</v>
      </c>
      <c r="L85" s="79">
        <f>SUM(L51:L81)</f>
        <v>-578548.62399999995</v>
      </c>
      <c r="M85" s="80">
        <f>SUM(M51:M81)</f>
        <v>0</v>
      </c>
      <c r="N85" s="78">
        <f>SUM(N51:N81)</f>
        <v>-138130.7280056742</v>
      </c>
      <c r="O85" s="79">
        <f>SUM(O51:O83)</f>
        <v>-33427</v>
      </c>
      <c r="P85" s="39">
        <f>SUM(P51:P83)</f>
        <v>-40977</v>
      </c>
      <c r="Q85" s="14" t="s">
        <v>119</v>
      </c>
      <c r="R85" s="79">
        <f>SUM(R51:R83)</f>
        <v>13473738.364105176</v>
      </c>
      <c r="S85" s="39">
        <f>SUM(S51:S83)</f>
        <v>8223265.0091132466</v>
      </c>
      <c r="T85" s="81"/>
      <c r="U85" s="15"/>
      <c r="V85" s="41"/>
      <c r="W85" s="41"/>
      <c r="X85" s="41"/>
      <c r="Y85" s="41"/>
      <c r="Z85" s="41"/>
      <c r="AA85" s="41"/>
      <c r="AB85" s="41"/>
      <c r="AC85" s="41"/>
      <c r="AD85" s="41"/>
      <c r="AE85" s="15"/>
    </row>
    <row r="86" spans="1:34" ht="9.9499999999999993" customHeight="1" x14ac:dyDescent="0.15">
      <c r="F86" s="13"/>
      <c r="G86" s="13"/>
      <c r="H86" s="13"/>
      <c r="K86" s="14"/>
      <c r="L86" s="14"/>
      <c r="M86" s="14"/>
      <c r="N86" s="14"/>
      <c r="O86" s="14"/>
      <c r="P86" s="14"/>
      <c r="Q86" s="14"/>
      <c r="R86" s="14"/>
      <c r="S86" s="14"/>
      <c r="U86" s="81"/>
      <c r="V86" s="81"/>
      <c r="W86" s="40"/>
      <c r="X86" s="15"/>
      <c r="Y86" s="63"/>
      <c r="Z86" s="41"/>
      <c r="AA86" s="15"/>
      <c r="AB86" s="15"/>
      <c r="AC86" s="52"/>
      <c r="AD86" s="41"/>
      <c r="AE86" s="15"/>
      <c r="AF86" s="41"/>
      <c r="AG86" s="52"/>
      <c r="AH86" s="14"/>
    </row>
    <row r="87" spans="1:34" ht="9.9499999999999993" customHeight="1" x14ac:dyDescent="0.15">
      <c r="F87" s="13"/>
      <c r="G87" s="13"/>
      <c r="H87" s="13"/>
      <c r="K87" s="14"/>
      <c r="L87" s="14"/>
      <c r="M87" s="14"/>
      <c r="N87" s="14"/>
      <c r="O87" s="14"/>
      <c r="P87" s="14"/>
      <c r="Q87" s="14"/>
      <c r="R87" s="57"/>
      <c r="S87" s="57"/>
      <c r="T87" s="8"/>
      <c r="U87" s="57"/>
      <c r="V87" s="57"/>
      <c r="W87" s="41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4" ht="9.9499999999999993" customHeight="1" x14ac:dyDescent="0.2">
      <c r="A88"/>
      <c r="B88"/>
      <c r="F88" s="13"/>
      <c r="G88" s="13"/>
      <c r="H88" s="13"/>
      <c r="K88" s="14"/>
      <c r="L88" s="14"/>
      <c r="M88" s="14"/>
      <c r="N88" s="14"/>
      <c r="O88" s="14"/>
      <c r="P88" s="14"/>
      <c r="Q88" s="14"/>
      <c r="R88" s="83"/>
      <c r="S88" s="8"/>
      <c r="T88" s="8"/>
      <c r="U88" s="14"/>
      <c r="V88" s="14"/>
      <c r="X88" s="84"/>
      <c r="Y88" s="84"/>
      <c r="AB88" s="84"/>
      <c r="AC88" s="84"/>
      <c r="AF88" s="84"/>
      <c r="AG88" s="84"/>
    </row>
    <row r="89" spans="1:34" ht="9.9499999999999993" customHeight="1" x14ac:dyDescent="0.2">
      <c r="A89"/>
      <c r="B89"/>
      <c r="F89" s="85"/>
      <c r="G89" s="14"/>
      <c r="H89" s="14"/>
      <c r="I89" s="14"/>
      <c r="P89" s="14"/>
      <c r="R89" s="86"/>
      <c r="S89" s="17"/>
    </row>
    <row r="90" spans="1:34" ht="9.9499999999999993" customHeight="1" x14ac:dyDescent="0.2">
      <c r="A90"/>
      <c r="B90"/>
      <c r="G90" s="14"/>
      <c r="H90" s="14"/>
      <c r="I90" s="14"/>
      <c r="Q90" s="14"/>
      <c r="R90" s="86"/>
      <c r="S90" s="13"/>
    </row>
    <row r="91" spans="1:34" ht="9.9499999999999993" customHeight="1" x14ac:dyDescent="0.15">
      <c r="H91" s="14"/>
      <c r="I91" s="14"/>
      <c r="J91" s="14"/>
      <c r="L91" s="1" t="s">
        <v>120</v>
      </c>
    </row>
    <row r="92" spans="1:34" ht="9.9499999999999993" customHeight="1" x14ac:dyDescent="0.15">
      <c r="H92" s="14"/>
      <c r="I92" s="14"/>
      <c r="J92" s="14"/>
    </row>
    <row r="93" spans="1:34" ht="9.9499999999999993" customHeight="1" x14ac:dyDescent="0.15">
      <c r="A93" s="1" t="s">
        <v>120</v>
      </c>
      <c r="H93" s="14"/>
      <c r="I93" s="14"/>
      <c r="J93" s="14"/>
      <c r="M93" s="20" t="s">
        <v>121</v>
      </c>
      <c r="N93" s="20" t="s">
        <v>122</v>
      </c>
      <c r="O93" s="20" t="s">
        <v>123</v>
      </c>
      <c r="P93" s="20" t="s">
        <v>124</v>
      </c>
      <c r="Q93" s="20" t="s">
        <v>125</v>
      </c>
      <c r="R93" s="20" t="s">
        <v>126</v>
      </c>
      <c r="S93" s="20" t="s">
        <v>127</v>
      </c>
      <c r="T93" s="20" t="s">
        <v>128</v>
      </c>
      <c r="U93" s="20" t="s">
        <v>129</v>
      </c>
      <c r="V93" s="57" t="s">
        <v>49</v>
      </c>
    </row>
    <row r="94" spans="1:34" ht="9.9499999999999993" customHeight="1" x14ac:dyDescent="0.15">
      <c r="E94" s="86" t="s">
        <v>130</v>
      </c>
      <c r="F94" s="87" t="s">
        <v>131</v>
      </c>
      <c r="G94" s="86"/>
      <c r="I94" s="86"/>
      <c r="J94" s="86"/>
      <c r="L94" s="88" t="s">
        <v>132</v>
      </c>
    </row>
    <row r="95" spans="1:34" ht="9.9499999999999993" customHeight="1" x14ac:dyDescent="0.2">
      <c r="A95" s="2" t="s">
        <v>132</v>
      </c>
      <c r="B95" s="130">
        <v>0.17235</v>
      </c>
      <c r="C95" s="89" t="s">
        <v>133</v>
      </c>
      <c r="D95" s="89"/>
      <c r="E95" s="14">
        <f>(S85-S57-S58-S60-S63-S67-S68-S69-S70-S82-S83)*B95</f>
        <v>1267468.0400768353</v>
      </c>
      <c r="F95" s="90">
        <f t="shared" ref="F95:F100" si="9">E95/$E$140</f>
        <v>0.15413197053386857</v>
      </c>
      <c r="G95"/>
      <c r="J95" s="91"/>
      <c r="L95" s="88" t="s">
        <v>133</v>
      </c>
      <c r="M95" s="14">
        <f>$E95/100*B227</f>
        <v>43020.523840835056</v>
      </c>
      <c r="N95" s="14">
        <f>$E95/100*C227</f>
        <v>84780.47293603266</v>
      </c>
      <c r="O95" s="14">
        <f>$E95/100*D227</f>
        <v>243678.0721201936</v>
      </c>
      <c r="P95" s="14">
        <f>$E95/100*E227</f>
        <v>213828.0987061811</v>
      </c>
      <c r="Q95" s="14">
        <f>$E95/100*F227</f>
        <v>80181.5579278683</v>
      </c>
      <c r="R95" s="14">
        <f>$E95/100*G227</f>
        <v>183024.96343543837</v>
      </c>
      <c r="S95" s="14">
        <f>$E95/100*H227</f>
        <v>106854.77990557441</v>
      </c>
      <c r="T95" s="14">
        <f>$E95/100*I227</f>
        <v>55795.287752402735</v>
      </c>
      <c r="U95" s="14">
        <f>$E95/100*J227</f>
        <v>256304.28345230909</v>
      </c>
      <c r="V95" s="14">
        <f t="shared" ref="V95:V100" si="10">SUM(M95:U95)</f>
        <v>1267468.0400768353</v>
      </c>
    </row>
    <row r="96" spans="1:34" ht="9.9499999999999993" customHeight="1" x14ac:dyDescent="0.2">
      <c r="B96" s="130">
        <v>0.58514999999999995</v>
      </c>
      <c r="C96" s="89" t="s">
        <v>134</v>
      </c>
      <c r="D96" s="92"/>
      <c r="E96" s="14">
        <f>(S85-S57-S58-S60-S63-S67-S68-S69-S70-S82-S83)*B96</f>
        <v>4303213.9463357124</v>
      </c>
      <c r="F96" s="90">
        <f t="shared" si="9"/>
        <v>0.52329749090741617</v>
      </c>
      <c r="G96" s="93"/>
      <c r="J96" s="91"/>
      <c r="L96" s="88" t="s">
        <v>134</v>
      </c>
      <c r="M96" s="14">
        <f>$E96/100*B228</f>
        <v>127565.98326162211</v>
      </c>
      <c r="N96" s="14">
        <f>$E96/100*C228</f>
        <v>282319.17241761851</v>
      </c>
      <c r="O96" s="14">
        <f>$E96/100*D228</f>
        <v>745212.09141562891</v>
      </c>
      <c r="P96" s="14">
        <f>$E96/100*E228</f>
        <v>686485.38466819364</v>
      </c>
      <c r="Q96" s="14">
        <f>$E96/100*F228</f>
        <v>266731.99871810898</v>
      </c>
      <c r="R96" s="14">
        <f>$E96/100*G228</f>
        <v>592586.9579078625</v>
      </c>
      <c r="S96" s="14">
        <f>$E96/100*H228</f>
        <v>337882.42484924215</v>
      </c>
      <c r="T96" s="14">
        <f>$E96/100*I228</f>
        <v>177876.33182719609</v>
      </c>
      <c r="U96" s="14">
        <f>$E96/100*J228</f>
        <v>1086553.6012702391</v>
      </c>
      <c r="V96" s="14">
        <f t="shared" si="10"/>
        <v>4303213.9463357124</v>
      </c>
    </row>
    <row r="97" spans="1:22" ht="9.9499999999999993" customHeight="1" x14ac:dyDescent="0.15">
      <c r="B97" s="130">
        <v>0.24249999999999999</v>
      </c>
      <c r="C97" s="89" t="s">
        <v>135</v>
      </c>
      <c r="D97" s="89"/>
      <c r="E97" s="14">
        <f>(S85-S57-S58-S60-S63-S67-S68-S69-S70-S82-S83)*B97-E98</f>
        <v>1377137.4172913493</v>
      </c>
      <c r="F97" s="90">
        <f t="shared" si="9"/>
        <v>0.16746844662857979</v>
      </c>
      <c r="G97" s="93"/>
      <c r="J97" s="91"/>
      <c r="L97" s="88" t="s">
        <v>135</v>
      </c>
      <c r="M97" s="14">
        <f>$E97/100*B238</f>
        <v>17351.931457871004</v>
      </c>
      <c r="N97" s="14">
        <f>$E97/100*C238</f>
        <v>72864.340748885283</v>
      </c>
      <c r="O97" s="14">
        <f>$E97/100*D238</f>
        <v>186588.34866880492</v>
      </c>
      <c r="P97" s="14">
        <f>$E97/100*E238</f>
        <v>227213.90247889975</v>
      </c>
      <c r="Q97" s="14">
        <f>$E97/100*F238</f>
        <v>113627.60830070922</v>
      </c>
      <c r="R97" s="14">
        <f>$E97/100*G238</f>
        <v>128597.09202666623</v>
      </c>
      <c r="S97" s="14">
        <f>$E97/100*H238</f>
        <v>123102.31373167374</v>
      </c>
      <c r="T97" s="14">
        <f>$E97/100*I238</f>
        <v>82366.588928195604</v>
      </c>
      <c r="U97" s="14">
        <f>$E97/100*J238</f>
        <v>425425.29094964365</v>
      </c>
      <c r="V97" s="14">
        <f t="shared" si="10"/>
        <v>1377137.4172913495</v>
      </c>
    </row>
    <row r="98" spans="1:22" ht="9.9499999999999993" customHeight="1" x14ac:dyDescent="0.15">
      <c r="B98" s="94">
        <v>1.8880000000000001E-2</v>
      </c>
      <c r="C98" s="2" t="s">
        <v>136</v>
      </c>
      <c r="D98" s="89"/>
      <c r="E98" s="14">
        <f>D16*B98</f>
        <v>406216.22192322882</v>
      </c>
      <c r="F98" s="90">
        <f t="shared" si="9"/>
        <v>4.9398410664504788E-2</v>
      </c>
      <c r="G98" s="93"/>
      <c r="J98" s="91"/>
      <c r="L98" s="88" t="s">
        <v>137</v>
      </c>
      <c r="M98" s="14">
        <f>$E98/100*B235</f>
        <v>10175.716359176882</v>
      </c>
      <c r="N98" s="14">
        <f>$E98/100*C235</f>
        <v>34512.130214597521</v>
      </c>
      <c r="O98" s="14">
        <f>$E98/100*D235</f>
        <v>61683.933299042299</v>
      </c>
      <c r="P98" s="14">
        <f>$E98/100*E235</f>
        <v>59254.760291941391</v>
      </c>
      <c r="Q98" s="14">
        <f>$E98/100*F235</f>
        <v>38289.941078483549</v>
      </c>
      <c r="R98" s="14">
        <f>$E98/100*G235</f>
        <v>53157.454800873733</v>
      </c>
      <c r="S98" s="14">
        <f>$E98/100*H235</f>
        <v>58950.098125498975</v>
      </c>
      <c r="T98" s="14">
        <f>$E98/100*I235</f>
        <v>19543.062436726541</v>
      </c>
      <c r="U98" s="14">
        <f>$E98/100*J235</f>
        <v>70649.125316887963</v>
      </c>
      <c r="V98" s="14">
        <f t="shared" si="10"/>
        <v>406216.22192322882</v>
      </c>
    </row>
    <row r="99" spans="1:22" ht="9.9499999999999993" customHeight="1" x14ac:dyDescent="0.15">
      <c r="B99" s="94"/>
      <c r="C99" s="2" t="s">
        <v>71</v>
      </c>
      <c r="D99" s="89"/>
      <c r="E99" s="14">
        <f>S57</f>
        <v>32345.738000000001</v>
      </c>
      <c r="F99" s="90">
        <f t="shared" si="9"/>
        <v>3.9334422475930881E-3</v>
      </c>
      <c r="G99" s="93"/>
      <c r="J99" s="91"/>
      <c r="L99" s="88" t="s">
        <v>72</v>
      </c>
      <c r="M99" s="14">
        <f>B222</f>
        <v>671.29899999999998</v>
      </c>
      <c r="N99" s="14">
        <f t="shared" ref="N99:U99" si="11">C222</f>
        <v>3004.4290000000001</v>
      </c>
      <c r="O99" s="14">
        <f t="shared" si="11"/>
        <v>6184.1880000000001</v>
      </c>
      <c r="P99" s="14">
        <f t="shared" si="11"/>
        <v>7013.6</v>
      </c>
      <c r="Q99" s="14">
        <f t="shared" si="11"/>
        <v>4155.6000000000004</v>
      </c>
      <c r="R99" s="14">
        <f t="shared" si="11"/>
        <v>5338.1880000000001</v>
      </c>
      <c r="S99" s="14">
        <f t="shared" si="11"/>
        <v>3010.0160000000001</v>
      </c>
      <c r="T99" s="14">
        <f t="shared" si="11"/>
        <v>2968.4180000000001</v>
      </c>
      <c r="U99" s="14">
        <f t="shared" si="11"/>
        <v>0</v>
      </c>
      <c r="V99" s="14">
        <f t="shared" si="10"/>
        <v>32345.738000000005</v>
      </c>
    </row>
    <row r="100" spans="1:22" ht="9.9499999999999993" customHeight="1" x14ac:dyDescent="0.15">
      <c r="B100" s="94"/>
      <c r="C100" s="2" t="s">
        <v>74</v>
      </c>
      <c r="D100" s="89"/>
      <c r="E100" s="14">
        <f>S58</f>
        <v>0</v>
      </c>
      <c r="F100" s="90">
        <f t="shared" si="9"/>
        <v>0</v>
      </c>
      <c r="G100" s="93"/>
      <c r="J100" s="91"/>
      <c r="L100" s="88" t="s">
        <v>138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>
        <v>0</v>
      </c>
      <c r="U100" s="14">
        <v>0</v>
      </c>
      <c r="V100" s="14">
        <f t="shared" si="10"/>
        <v>0</v>
      </c>
    </row>
    <row r="101" spans="1:22" ht="9.9499999999999993" customHeight="1" x14ac:dyDescent="0.15">
      <c r="B101" s="95"/>
      <c r="C101" s="89"/>
      <c r="D101" s="89"/>
      <c r="E101" s="14"/>
      <c r="F101" s="90"/>
      <c r="G101" s="93"/>
      <c r="J101" s="91"/>
      <c r="M101" s="14"/>
      <c r="N101" s="14"/>
      <c r="O101" s="14"/>
      <c r="P101" s="14"/>
      <c r="Q101" s="14"/>
      <c r="R101" s="14"/>
      <c r="S101" s="14"/>
      <c r="T101" s="14"/>
      <c r="U101" s="14"/>
      <c r="V101" s="14"/>
    </row>
    <row r="102" spans="1:22" ht="9.9499999999999993" customHeight="1" x14ac:dyDescent="0.15">
      <c r="A102" s="71"/>
      <c r="B102" s="95"/>
      <c r="C102" s="89"/>
      <c r="D102" s="89"/>
      <c r="E102" s="14"/>
      <c r="F102" s="90"/>
      <c r="G102" s="93"/>
      <c r="J102" s="91"/>
      <c r="L102" s="71" t="s">
        <v>49</v>
      </c>
      <c r="M102" s="14">
        <f>SUM(M95:M101)</f>
        <v>198785.45391950503</v>
      </c>
      <c r="N102" s="14">
        <f t="shared" ref="N102:U102" si="12">SUM(N95:N101)</f>
        <v>477480.54531713395</v>
      </c>
      <c r="O102" s="14">
        <f t="shared" si="12"/>
        <v>1243346.6335036699</v>
      </c>
      <c r="P102" s="14">
        <f t="shared" si="12"/>
        <v>1193795.746145216</v>
      </c>
      <c r="Q102" s="14">
        <f t="shared" si="12"/>
        <v>502986.70602517005</v>
      </c>
      <c r="R102" s="14">
        <f t="shared" si="12"/>
        <v>962704.65617084084</v>
      </c>
      <c r="S102" s="14">
        <f t="shared" si="12"/>
        <v>629799.63261198916</v>
      </c>
      <c r="T102" s="14">
        <f t="shared" si="12"/>
        <v>338549.68894452095</v>
      </c>
      <c r="U102" s="14">
        <f t="shared" si="12"/>
        <v>1838932.3009890795</v>
      </c>
      <c r="V102" s="14">
        <f>SUM(M102:U102)</f>
        <v>7386381.3636271255</v>
      </c>
    </row>
    <row r="103" spans="1:22" ht="9.9499999999999993" customHeight="1" x14ac:dyDescent="0.15">
      <c r="A103" s="71"/>
      <c r="B103" s="95"/>
      <c r="C103" s="89"/>
      <c r="D103" s="89"/>
      <c r="E103" s="14"/>
      <c r="F103" s="90"/>
      <c r="G103" s="93"/>
      <c r="I103" s="90"/>
      <c r="J103" s="91"/>
      <c r="L103" s="71"/>
      <c r="M103" s="14"/>
      <c r="N103" s="14"/>
      <c r="O103" s="14"/>
      <c r="P103" s="14"/>
      <c r="Q103" s="14"/>
      <c r="R103" s="14"/>
      <c r="S103" s="14"/>
      <c r="T103" s="14"/>
      <c r="U103" s="14"/>
      <c r="V103" s="82"/>
    </row>
    <row r="104" spans="1:22" ht="9.9499999999999993" customHeight="1" x14ac:dyDescent="0.15">
      <c r="A104" s="1" t="s">
        <v>139</v>
      </c>
      <c r="B104" s="95"/>
      <c r="C104" s="89"/>
      <c r="D104" s="89"/>
      <c r="E104" s="14"/>
      <c r="F104" s="90"/>
      <c r="G104" s="93"/>
      <c r="H104" s="15"/>
      <c r="I104" s="41"/>
      <c r="J104" s="96"/>
      <c r="L104" s="1" t="s">
        <v>139</v>
      </c>
      <c r="M104" s="20" t="s">
        <v>121</v>
      </c>
      <c r="N104" s="20" t="s">
        <v>122</v>
      </c>
      <c r="O104" s="20" t="s">
        <v>123</v>
      </c>
      <c r="P104" s="20" t="s">
        <v>124</v>
      </c>
      <c r="Q104" s="20" t="s">
        <v>125</v>
      </c>
      <c r="R104" s="20" t="s">
        <v>126</v>
      </c>
      <c r="S104" s="20" t="s">
        <v>127</v>
      </c>
      <c r="T104" s="20" t="s">
        <v>128</v>
      </c>
      <c r="U104" s="20" t="s">
        <v>129</v>
      </c>
      <c r="V104" s="57" t="s">
        <v>49</v>
      </c>
    </row>
    <row r="105" spans="1:22" ht="9.9499999999999993" customHeight="1" x14ac:dyDescent="0.15">
      <c r="B105" s="95"/>
      <c r="C105" s="89"/>
      <c r="D105" s="89"/>
      <c r="E105" s="14"/>
      <c r="F105" s="90"/>
      <c r="G105" s="93"/>
      <c r="H105" s="15"/>
      <c r="I105" s="41"/>
      <c r="J105" s="96"/>
      <c r="M105" s="14"/>
      <c r="N105" s="14"/>
      <c r="O105" s="14"/>
      <c r="P105" s="14"/>
      <c r="Q105" s="14"/>
      <c r="R105" s="14"/>
      <c r="S105" s="14"/>
      <c r="T105" s="14"/>
      <c r="U105" s="14"/>
      <c r="V105" s="14"/>
    </row>
    <row r="106" spans="1:22" ht="9.9499999999999993" customHeight="1" x14ac:dyDescent="0.15">
      <c r="A106" s="2" t="s">
        <v>10</v>
      </c>
      <c r="B106" s="95"/>
      <c r="C106" s="89"/>
      <c r="D106" s="89"/>
      <c r="E106" s="14">
        <f>S51</f>
        <v>285402.12270189525</v>
      </c>
      <c r="F106" s="90"/>
      <c r="G106" s="93"/>
      <c r="H106" s="89" t="s">
        <v>134</v>
      </c>
      <c r="I106" s="90">
        <f>F96</f>
        <v>0.52329749090741617</v>
      </c>
      <c r="J106" s="96"/>
      <c r="L106" s="2" t="s">
        <v>10</v>
      </c>
      <c r="M106" s="14">
        <f>$E106*$B$95*B$227/100+$E106*$B$96*B$228/100+$E106*$B$97*B$238/100</f>
        <v>7492.3229577175807</v>
      </c>
      <c r="N106" s="14">
        <f>$E106*$B$95*C$227/100+$E106*$B$96*C$228/100+$E106*$B$97*C$238/100</f>
        <v>17908.639775459218</v>
      </c>
      <c r="O106" s="14">
        <f>$E106*$B$95*D$227/100+$E106*$B$96*D$228/100+$E106*$B$97*D$238/100</f>
        <v>47755.016403219663</v>
      </c>
      <c r="P106" s="14">
        <f>$E106*$B$95*E$227/100+$E106*$B$96*E$228/100+$E106*$B$97*E$238/100</f>
        <v>46359.147237659432</v>
      </c>
      <c r="Q106" s="14">
        <f>$E106*$B$95*F$227/100+$E106*$B$96*F$228/100+$E106*$B$97*F$238/100</f>
        <v>19173.856068468864</v>
      </c>
      <c r="R106" s="14">
        <f>$E106*$B$95*G$227/100+$E106*$B$96*G$228/100+$E106*$B$97*G$238/100</f>
        <v>36563.486112511659</v>
      </c>
      <c r="S106" s="14">
        <f>$E106*$B$95*H$227/100+$E106*$B$96*H$228/100+$E106*$B$97*H$238/100</f>
        <v>23446.450337747683</v>
      </c>
      <c r="T106" s="14">
        <f>$E106*$B$95*I$227/100+$E106*$B$96*I$228/100+$E106*$B$97*I$238/100</f>
        <v>13207.992343772907</v>
      </c>
      <c r="U106" s="14">
        <f>$E106*$B$95*J$227/100+$E106*$B$96*J$228/100+$E106*$B$97*J$238/100</f>
        <v>73495.211465338216</v>
      </c>
      <c r="V106" s="14">
        <f>SUM(M106:U106)</f>
        <v>285402.12270189519</v>
      </c>
    </row>
    <row r="107" spans="1:22" ht="9.9499999999999993" customHeight="1" x14ac:dyDescent="0.15">
      <c r="A107" s="2" t="s">
        <v>12</v>
      </c>
      <c r="B107" s="95"/>
      <c r="C107" s="89"/>
      <c r="D107" s="89"/>
      <c r="E107" s="14">
        <f>S52</f>
        <v>2473378.0009201607</v>
      </c>
      <c r="F107" s="90"/>
      <c r="G107" s="93"/>
      <c r="H107" s="2" t="s">
        <v>133</v>
      </c>
      <c r="I107" s="90">
        <f>F95+F130+F131+F132</f>
        <v>0.15883906526855981</v>
      </c>
      <c r="J107" s="96"/>
      <c r="L107" s="2" t="s">
        <v>12</v>
      </c>
      <c r="M107" s="14">
        <f>$E107*$B$95*B$227/100+$E107*$B$96*B$228/100+$E107*$B$97*B$238/100</f>
        <v>64930.655048995097</v>
      </c>
      <c r="N107" s="14">
        <f>$E107*$B$95*C$227/100+$E107*$B$96*C$228/100+$E107*$B$97*C$238/100</f>
        <v>155201.49334450081</v>
      </c>
      <c r="O107" s="14">
        <f>$E107*$B$95*D$227/100+$E107*$B$96*D$228/100+$E107*$B$97*D$238/100</f>
        <v>413858.89455586928</v>
      </c>
      <c r="P107" s="14">
        <f>$E107*$B$95*E$227/100+$E107*$B$96*E$228/100+$E107*$B$97*E$238/100</f>
        <v>401761.88541811443</v>
      </c>
      <c r="Q107" s="14">
        <f>$E107*$B$95*F$227/100+$E107*$B$96*F$228/100+$E107*$B$97*F$238/100</f>
        <v>166166.2265984453</v>
      </c>
      <c r="R107" s="14">
        <f>$E107*$B$95*G$227/100+$E107*$B$96*G$228/100+$E107*$B$97*G$238/100</f>
        <v>316869.83029939316</v>
      </c>
      <c r="S107" s="14">
        <f>$E107*$B$95*H$227/100+$E107*$B$96*H$228/100+$E107*$B$97*H$238/100</f>
        <v>203193.77415992529</v>
      </c>
      <c r="T107" s="14">
        <f>$E107*$B$95*I$227/100+$E107*$B$96*I$228/100+$E107*$B$97*I$238/100</f>
        <v>114464.31228380238</v>
      </c>
      <c r="U107" s="14">
        <f>$E107*$B$95*J$227/100+$E107*$B$96*J$228/100+$E107*$B$97*J$238/100</f>
        <v>636930.92921111477</v>
      </c>
      <c r="V107" s="14">
        <f t="shared" ref="V107:V138" si="13">SUM(M107:U107)</f>
        <v>2473378.0009201607</v>
      </c>
    </row>
    <row r="108" spans="1:22" ht="9.9499999999999993" customHeight="1" x14ac:dyDescent="0.15">
      <c r="A108" s="2" t="s">
        <v>14</v>
      </c>
      <c r="B108" s="95"/>
      <c r="C108" s="89"/>
      <c r="D108" s="89"/>
      <c r="E108" s="14">
        <f>S53</f>
        <v>167889.05436386753</v>
      </c>
      <c r="F108" s="90"/>
      <c r="G108" s="93"/>
      <c r="H108" s="2" t="s">
        <v>2</v>
      </c>
      <c r="I108" s="90">
        <f>F135+F136+F137+F138</f>
        <v>9.0004090476346152E-2</v>
      </c>
      <c r="J108" s="96"/>
      <c r="L108" s="2" t="s">
        <v>14</v>
      </c>
      <c r="M108" s="14">
        <f>$E108*$B$95*B$227/100+$E108*$B$96*B$228/100+$E108*$B$97*B$238/100</f>
        <v>4407.3919438705925</v>
      </c>
      <c r="N108" s="14">
        <f>$E108*$B$95*C$227/100+$E108*$B$96*C$228/100+$E108*$B$97*C$238/100</f>
        <v>10534.836140603893</v>
      </c>
      <c r="O108" s="14">
        <f>$E108*$B$95*D$227/100+$E108*$B$96*D$228/100+$E108*$B$97*D$238/100</f>
        <v>28092.09850706653</v>
      </c>
      <c r="P108" s="14">
        <f>$E108*$B$95*E$227/100+$E108*$B$96*E$228/100+$E108*$B$97*E$238/100</f>
        <v>27270.972329016455</v>
      </c>
      <c r="Q108" s="14">
        <f>$E108*$B$95*F$227/100+$E108*$B$96*F$228/100+$E108*$B$97*F$238/100</f>
        <v>11279.105191542305</v>
      </c>
      <c r="R108" s="14">
        <f>$E108*$B$95*G$227/100+$E108*$B$96*G$228/100+$E108*$B$97*G$238/100</f>
        <v>21508.63157415199</v>
      </c>
      <c r="S108" s="14">
        <f>$E108*$B$95*H$227/100+$E108*$B$96*H$228/100+$E108*$B$97*H$238/100</f>
        <v>13792.477568589928</v>
      </c>
      <c r="T108" s="14">
        <f>$E108*$B$95*I$227/100+$E108*$B$96*I$228/100+$E108*$B$97*I$238/100</f>
        <v>7769.6596074634253</v>
      </c>
      <c r="U108" s="14">
        <f>$E108*$B$95*J$227/100+$E108*$B$96*J$228/100+$E108*$B$97*J$238/100</f>
        <v>43233.881501562384</v>
      </c>
      <c r="V108" s="14">
        <f t="shared" si="13"/>
        <v>167889.0543638675</v>
      </c>
    </row>
    <row r="109" spans="1:22" ht="9.9499999999999993" customHeight="1" x14ac:dyDescent="0.15">
      <c r="A109" s="2" t="s">
        <v>15</v>
      </c>
      <c r="B109" s="95"/>
      <c r="C109" s="89"/>
      <c r="D109" s="89"/>
      <c r="E109" s="14">
        <f>S54</f>
        <v>148037.42048612243</v>
      </c>
      <c r="F109" s="90"/>
      <c r="G109" s="93"/>
      <c r="H109" s="2" t="s">
        <v>140</v>
      </c>
      <c r="I109" s="90">
        <f>F97+F98+F133+F99+F100</f>
        <v>0.22785935334767776</v>
      </c>
      <c r="J109" s="96"/>
      <c r="L109" s="2" t="s">
        <v>15</v>
      </c>
      <c r="M109" s="14">
        <f>$E109*$B$95*B$227/100+$E109*$B$96*B$228/100+$E109*$B$97*B$238/100</f>
        <v>3886.2505772880172</v>
      </c>
      <c r="N109" s="14">
        <f>$E109*$B$95*C$227/100+$E109*$B$96*C$228/100+$E109*$B$97*C$238/100</f>
        <v>9289.1700022262939</v>
      </c>
      <c r="O109" s="14">
        <f>$E109*$B$95*D$227/100+$E109*$B$96*D$228/100+$E109*$B$97*D$238/100</f>
        <v>24770.416480010841</v>
      </c>
      <c r="P109" s="14">
        <f>$E109*$B$95*E$227/100+$E109*$B$96*E$228/100+$E109*$B$97*E$238/100</f>
        <v>24046.382374555047</v>
      </c>
      <c r="Q109" s="14">
        <f>$E109*$B$95*F$227/100+$E109*$B$96*F$228/100+$E109*$B$97*F$238/100</f>
        <v>9945.4347650844102</v>
      </c>
      <c r="R109" s="14">
        <f>$E109*$B$95*G$227/100+$E109*$B$96*G$228/100+$E109*$B$97*G$238/100</f>
        <v>18965.395620866002</v>
      </c>
      <c r="S109" s="14">
        <f>$E109*$B$95*H$227/100+$E109*$B$96*H$228/100+$E109*$B$97*H$238/100</f>
        <v>12161.619523697718</v>
      </c>
      <c r="T109" s="14">
        <f>$E109*$B$95*I$227/100+$E109*$B$96*I$228/100+$E109*$B$97*I$238/100</f>
        <v>6850.9550589954706</v>
      </c>
      <c r="U109" s="14">
        <f>$E109*$B$95*J$227/100+$E109*$B$96*J$228/100+$E109*$B$97*J$238/100</f>
        <v>38121.796083398614</v>
      </c>
      <c r="V109" s="14">
        <f t="shared" si="13"/>
        <v>148037.42048612243</v>
      </c>
    </row>
    <row r="110" spans="1:22" ht="9.9499999999999993" customHeight="1" x14ac:dyDescent="0.15">
      <c r="A110" s="2" t="s">
        <v>17</v>
      </c>
      <c r="B110" s="95"/>
      <c r="C110" s="89"/>
      <c r="D110" s="89"/>
      <c r="E110" s="14">
        <f>S55</f>
        <v>618317.25868775288</v>
      </c>
      <c r="F110" s="90"/>
      <c r="G110" s="93"/>
      <c r="H110" s="2" t="s">
        <v>49</v>
      </c>
      <c r="I110" s="90">
        <f>SUM(I106:I109)</f>
        <v>1</v>
      </c>
      <c r="J110" s="96"/>
      <c r="L110" s="2" t="s">
        <v>17</v>
      </c>
      <c r="M110" s="14">
        <f>$E110*$B$95*B$227/100+$E110*$B$96*B$228/100+$E110*$B$97*B$238/100</f>
        <v>16231.948622393646</v>
      </c>
      <c r="N110" s="14">
        <f>$E110*$B$95*C$227/100+$E110*$B$96*C$228/100+$E110*$B$97*C$238/100</f>
        <v>38798.663962126397</v>
      </c>
      <c r="O110" s="14">
        <f>$E110*$B$95*D$227/100+$E110*$B$96*D$228/100+$E110*$B$97*D$238/100</f>
        <v>103460.16543776523</v>
      </c>
      <c r="P110" s="14">
        <f>$E110*$B$95*E$227/100+$E110*$B$96*E$228/100+$E110*$B$97*E$238/100</f>
        <v>100436.04638859662</v>
      </c>
      <c r="Q110" s="14">
        <f>$E110*$B$95*F$227/100+$E110*$B$96*F$228/100+$E110*$B$97*F$238/100</f>
        <v>41539.726511117769</v>
      </c>
      <c r="R110" s="14">
        <f>$E110*$B$95*G$227/100+$E110*$B$96*G$228/100+$E110*$B$97*G$238/100</f>
        <v>79213.967601670534</v>
      </c>
      <c r="S110" s="14">
        <f>$E110*$B$95*H$227/100+$E110*$B$96*H$228/100+$E110*$B$97*H$238/100</f>
        <v>50796.205583716961</v>
      </c>
      <c r="T110" s="14">
        <f>$E110*$B$95*I$227/100+$E110*$B$96*I$228/100+$E110*$B$97*I$238/100</f>
        <v>28614.81737226147</v>
      </c>
      <c r="U110" s="14">
        <f>$E110*$B$95*J$227/100+$E110*$B$96*J$228/100+$E110*$B$97*J$238/100</f>
        <v>159225.71720810421</v>
      </c>
      <c r="V110" s="14">
        <f t="shared" si="13"/>
        <v>618317.25868775276</v>
      </c>
    </row>
    <row r="111" spans="1:22" ht="9.9499999999999993" customHeight="1" x14ac:dyDescent="0.15">
      <c r="A111" s="2" t="s">
        <v>19</v>
      </c>
      <c r="B111" s="95"/>
      <c r="C111" s="89"/>
      <c r="D111" s="89"/>
      <c r="E111" s="14">
        <f>S56</f>
        <v>2357731.1540464824</v>
      </c>
      <c r="F111" s="90"/>
      <c r="G111" s="93"/>
      <c r="I111" s="90"/>
      <c r="J111" s="96"/>
      <c r="L111" s="2" t="s">
        <v>19</v>
      </c>
      <c r="M111" s="14">
        <f>$E111*$B$95*B$227/100+$E111*$B$96*B$228/100+($E111*$B$97-$E$98)*B$238/100+M98</f>
        <v>66952.107693701153</v>
      </c>
      <c r="N111" s="14">
        <f>$E111*$B$95*C$227/100+$E111*$B$96*C$228/100+($E111*$B$97-$E$98)*C$238/100+N98</f>
        <v>160964.0227735505</v>
      </c>
      <c r="O111" s="14">
        <f>$E111*$B$95*D$227/100+$E111*$B$96*D$228/100+($E111*$B$97-$E$98)*D$238/100+O98</f>
        <v>401153.94025148032</v>
      </c>
      <c r="P111" s="14">
        <f>$E111*$B$95*E$227/100+$E111*$B$96*E$228/100+($E111*$B$97-$E$98)*E$238/100+P98</f>
        <v>375209.99507149454</v>
      </c>
      <c r="Q111" s="14">
        <f>$E111*$B$95*F$227/100+$E111*$B$96*F$228/100+($E111*$B$97-$E$98)*F$238/100+Q98</f>
        <v>163169.89262768996</v>
      </c>
      <c r="R111" s="14">
        <f>$E111*$B$95*G$227/100+$E111*$B$96*G$228/100+($E111*$B$97-$E$98)*G$238/100+R98</f>
        <v>317279.04544577631</v>
      </c>
      <c r="S111" s="14">
        <f>$E111*$B$95*H$227/100+$E111*$B$96*H$228/100+($E111*$B$97-$E$98)*H$238/100+S98</f>
        <v>216331.54588648962</v>
      </c>
      <c r="T111" s="14">
        <f>$E111*$B$95*I$227/100+$E111*$B$96*I$228/100+($E111*$B$97-$E$98)*I$238/100+T98</f>
        <v>104359.61574778034</v>
      </c>
      <c r="U111" s="14">
        <f>$E111*$B$95*J$227/100+$E111*$B$96*J$228/100+($E111*$B$97-$E$98)*J$238/100+U98</f>
        <v>552310.98854851944</v>
      </c>
      <c r="V111" s="14">
        <f t="shared" si="13"/>
        <v>2357731.1540464819</v>
      </c>
    </row>
    <row r="112" spans="1:22" ht="9.9499999999999993" customHeight="1" x14ac:dyDescent="0.15">
      <c r="A112" s="2" t="s">
        <v>71</v>
      </c>
      <c r="B112" s="95"/>
      <c r="C112" s="89"/>
      <c r="D112" s="89"/>
      <c r="E112" s="14">
        <f>S57</f>
        <v>32345.738000000001</v>
      </c>
      <c r="F112" s="90"/>
      <c r="G112" s="93"/>
      <c r="J112" s="96"/>
      <c r="L112" s="2" t="s">
        <v>71</v>
      </c>
      <c r="M112" s="14">
        <f>B222</f>
        <v>671.29899999999998</v>
      </c>
      <c r="N112" s="14">
        <f t="shared" ref="N112:U112" si="14">C222</f>
        <v>3004.4290000000001</v>
      </c>
      <c r="O112" s="14">
        <f t="shared" si="14"/>
        <v>6184.1880000000001</v>
      </c>
      <c r="P112" s="14">
        <f t="shared" si="14"/>
        <v>7013.6</v>
      </c>
      <c r="Q112" s="14">
        <f t="shared" si="14"/>
        <v>4155.6000000000004</v>
      </c>
      <c r="R112" s="14">
        <f t="shared" si="14"/>
        <v>5338.1880000000001</v>
      </c>
      <c r="S112" s="14">
        <f t="shared" si="14"/>
        <v>3010.0160000000001</v>
      </c>
      <c r="T112" s="14">
        <f t="shared" si="14"/>
        <v>2968.4180000000001</v>
      </c>
      <c r="U112" s="14">
        <f t="shared" si="14"/>
        <v>0</v>
      </c>
      <c r="V112" s="14">
        <f t="shared" si="13"/>
        <v>32345.738000000005</v>
      </c>
    </row>
    <row r="113" spans="1:22" ht="9.9499999999999993" customHeight="1" x14ac:dyDescent="0.15">
      <c r="A113" s="2" t="s">
        <v>20</v>
      </c>
      <c r="B113" s="95"/>
      <c r="C113" s="89"/>
      <c r="D113" s="89"/>
      <c r="E113" s="14">
        <f>S59</f>
        <v>22138.071539767705</v>
      </c>
      <c r="F113" s="90"/>
      <c r="G113" s="93"/>
      <c r="H113" s="15"/>
      <c r="I113" s="41"/>
      <c r="J113" s="96"/>
      <c r="L113" s="2" t="s">
        <v>20</v>
      </c>
      <c r="M113" s="14">
        <f>$E113*$B$95*B$227/100+$E113*$B$96*B$228/100+$E113*$B$97*B$238/100</f>
        <v>581.16449894187951</v>
      </c>
      <c r="N113" s="14">
        <f>$E113*$B$95*C$227/100+$E113*$B$96*C$228/100+$E113*$B$97*C$238/100</f>
        <v>1389.1373504013989</v>
      </c>
      <c r="O113" s="14">
        <f>$E113*$B$95*D$227/100+$E113*$B$96*D$228/100+$E113*$B$97*D$238/100</f>
        <v>3704.2610598293095</v>
      </c>
      <c r="P113" s="14">
        <f>$E113*$B$95*E$227/100+$E113*$B$96*E$228/100+$E113*$B$97*E$238/100</f>
        <v>3595.98628193074</v>
      </c>
      <c r="Q113" s="14">
        <f>$E113*$B$95*F$227/100+$E113*$B$96*F$228/100+$E113*$B$97*F$238/100</f>
        <v>1487.2776464256974</v>
      </c>
      <c r="R113" s="14">
        <f>$E113*$B$95*G$227/100+$E113*$B$96*G$228/100+$E113*$B$97*G$238/100</f>
        <v>2836.156450551553</v>
      </c>
      <c r="S113" s="14">
        <f>$E113*$B$95*H$227/100+$E113*$B$96*H$228/100+$E113*$B$97*H$238/100</f>
        <v>1818.6942340048054</v>
      </c>
      <c r="T113" s="14">
        <f>$E113*$B$95*I$227/100+$E113*$B$96*I$228/100+$E113*$B$97*I$238/100</f>
        <v>1024.5175355915705</v>
      </c>
      <c r="U113" s="14">
        <f>$E113*$B$95*J$227/100+$E113*$B$96*J$228/100+$E113*$B$97*J$238/100</f>
        <v>5700.87648209075</v>
      </c>
      <c r="V113" s="14">
        <f t="shared" si="13"/>
        <v>22138.071539767701</v>
      </c>
    </row>
    <row r="114" spans="1:22" ht="9.9499999999999993" customHeight="1" x14ac:dyDescent="0.15">
      <c r="A114" s="2" t="s">
        <v>24</v>
      </c>
      <c r="B114" s="95"/>
      <c r="C114" s="89"/>
      <c r="D114" s="89"/>
      <c r="E114" s="14">
        <f>S61</f>
        <v>139.30452142819999</v>
      </c>
      <c r="F114" s="90"/>
      <c r="G114" s="93"/>
      <c r="H114" s="15"/>
      <c r="I114" s="41"/>
      <c r="J114" s="96"/>
      <c r="L114" s="2" t="s">
        <v>24</v>
      </c>
      <c r="M114" s="14">
        <f>$E114*$B$95*B$227/100+$E114*$B$96*B$228/100+$E114*$B$97*B$238/100</f>
        <v>3.656996150307303</v>
      </c>
      <c r="N114" s="14">
        <f>$E114*$B$95*C$227/100+$E114*$B$96*C$228/100+$E114*$B$97*C$238/100</f>
        <v>8.7411910946302385</v>
      </c>
      <c r="O114" s="14">
        <f>$E114*$B$95*D$227/100+$E114*$B$96*D$228/100+$E114*$B$97*D$238/100</f>
        <v>23.309180894898013</v>
      </c>
      <c r="P114" s="14">
        <f>$E114*$B$95*E$227/100+$E114*$B$96*E$228/100+$E114*$B$97*E$238/100</f>
        <v>22.627858400713713</v>
      </c>
      <c r="Q114" s="14">
        <f>$E114*$B$95*F$227/100+$E114*$B$96*F$228/100+$E114*$B$97*F$238/100</f>
        <v>9.3587420383033688</v>
      </c>
      <c r="R114" s="14">
        <f>$E114*$B$95*G$227/100+$E114*$B$96*G$228/100+$E114*$B$97*G$238/100</f>
        <v>17.846604946138505</v>
      </c>
      <c r="S114" s="14">
        <f>$E114*$B$95*H$227/100+$E114*$B$96*H$228/100+$E114*$B$97*H$238/100</f>
        <v>11.444191488728228</v>
      </c>
      <c r="T114" s="14">
        <f>$E114*$B$95*I$227/100+$E114*$B$96*I$228/100+$E114*$B$97*I$238/100</f>
        <v>6.4468092775835411</v>
      </c>
      <c r="U114" s="14">
        <f>$E114*$B$95*J$227/100+$E114*$B$96*J$228/100+$E114*$B$97*J$238/100</f>
        <v>35.872947136897061</v>
      </c>
      <c r="V114" s="14">
        <f t="shared" si="13"/>
        <v>139.30452142819996</v>
      </c>
    </row>
    <row r="115" spans="1:22" ht="9.9499999999999993" customHeight="1" x14ac:dyDescent="0.15">
      <c r="A115" s="2" t="s">
        <v>26</v>
      </c>
      <c r="B115" s="95"/>
      <c r="C115" s="89"/>
      <c r="D115" s="89"/>
      <c r="E115" s="14">
        <f>S62</f>
        <v>15455.9041661643</v>
      </c>
      <c r="F115" s="90"/>
      <c r="G115" s="93"/>
      <c r="H115" s="15"/>
      <c r="I115" s="41"/>
      <c r="J115" s="96"/>
      <c r="L115" s="2" t="s">
        <v>26</v>
      </c>
      <c r="M115" s="14">
        <f>$E115*$B$95*B$227/100+$E115*$B$96*B$228/100+$E115*$B$97*B$238/100</f>
        <v>405.74549523372065</v>
      </c>
      <c r="N115" s="14">
        <f>$E115*$B$95*C$227/100+$E115*$B$96*C$228/100+$E115*$B$97*C$238/100</f>
        <v>969.8393883530066</v>
      </c>
      <c r="O115" s="14">
        <f>$E115*$B$95*D$227/100+$E115*$B$96*D$228/100+$E115*$B$97*D$238/100</f>
        <v>2586.1649170448368</v>
      </c>
      <c r="P115" s="14">
        <f>$E115*$B$95*E$227/100+$E115*$B$96*E$228/100+$E115*$B$97*E$238/100</f>
        <v>2510.5718561132708</v>
      </c>
      <c r="Q115" s="14">
        <f>$E115*$B$95*F$227/100+$E115*$B$96*F$228/100+$E115*$B$97*F$238/100</f>
        <v>1038.3569648485823</v>
      </c>
      <c r="R115" s="14">
        <f>$E115*$B$95*G$227/100+$E115*$B$96*G$228/100+$E115*$B$97*G$238/100</f>
        <v>1980.0894681015861</v>
      </c>
      <c r="S115" s="14">
        <f>$E115*$B$95*H$227/100+$E115*$B$96*H$228/100+$E115*$B$97*H$238/100</f>
        <v>1269.738592082841</v>
      </c>
      <c r="T115" s="14">
        <f>$E115*$B$95*I$227/100+$E115*$B$96*I$228/100+$E115*$B$97*I$238/100</f>
        <v>715.27661378332914</v>
      </c>
      <c r="U115" s="14">
        <f>$E115*$B$95*J$227/100+$E115*$B$96*J$228/100+$E115*$B$97*J$238/100</f>
        <v>3980.1208706031248</v>
      </c>
      <c r="V115" s="14">
        <f t="shared" si="13"/>
        <v>15455.9041661643</v>
      </c>
    </row>
    <row r="116" spans="1:22" ht="9.9499999999999993" customHeight="1" x14ac:dyDescent="0.15">
      <c r="A116" s="2" t="s">
        <v>29</v>
      </c>
      <c r="B116" s="95"/>
      <c r="C116" s="89"/>
      <c r="D116" s="89"/>
      <c r="E116" s="14">
        <f>S64</f>
        <v>493580.38489457167</v>
      </c>
      <c r="F116" s="90"/>
      <c r="G116" s="93"/>
      <c r="H116" s="15"/>
      <c r="I116" s="41"/>
      <c r="J116" s="96"/>
      <c r="L116" s="2" t="s">
        <v>29</v>
      </c>
      <c r="M116" s="14">
        <f>$E116*$B$95*B$227/100+$E116*$B$96*B$228/100+$E116*$B$97*B$238/100</f>
        <v>12957.379623582321</v>
      </c>
      <c r="N116" s="14">
        <f>$E116*$B$95*C$227/100+$E116*$B$96*C$228/100+$E116*$B$97*C$238/100</f>
        <v>30971.575227357964</v>
      </c>
      <c r="O116" s="14">
        <f>$E116*$B$95*D$227/100+$E116*$B$96*D$228/100+$E116*$B$97*D$238/100</f>
        <v>82588.521605243208</v>
      </c>
      <c r="P116" s="14">
        <f>$E116*$B$95*E$227/100+$E116*$B$96*E$228/100+$E116*$B$97*E$238/100</f>
        <v>80174.476350508616</v>
      </c>
      <c r="Q116" s="14">
        <f>$E116*$B$95*F$227/100+$E116*$B$96*F$228/100+$E116*$B$97*F$238/100</f>
        <v>33159.666678698937</v>
      </c>
      <c r="R116" s="14">
        <f>$E116*$B$95*G$227/100+$E116*$B$96*G$228/100+$E116*$B$97*G$238/100</f>
        <v>63233.655649264678</v>
      </c>
      <c r="S116" s="14">
        <f>$E116*$B$95*H$227/100+$E116*$B$96*H$228/100+$E116*$B$97*H$238/100</f>
        <v>40548.780340378704</v>
      </c>
      <c r="T116" s="14">
        <f>$E116*$B$95*I$227/100+$E116*$B$96*I$228/100+$E116*$B$97*I$238/100</f>
        <v>22842.177496813325</v>
      </c>
      <c r="U116" s="14">
        <f>$E116*$B$95*J$227/100+$E116*$B$96*J$228/100+$E116*$B$97*J$238/100</f>
        <v>127104.15192272386</v>
      </c>
      <c r="V116" s="14">
        <f t="shared" si="13"/>
        <v>493580.38489457162</v>
      </c>
    </row>
    <row r="117" spans="1:22" ht="9.9499999999999993" customHeight="1" x14ac:dyDescent="0.15">
      <c r="A117" s="2" t="s">
        <v>30</v>
      </c>
      <c r="B117" s="95"/>
      <c r="C117" s="89"/>
      <c r="D117" s="89"/>
      <c r="E117" s="14">
        <f>S65</f>
        <v>3865.4012074930997</v>
      </c>
      <c r="F117" s="90"/>
      <c r="G117" s="93"/>
      <c r="H117" s="15"/>
      <c r="I117" s="41"/>
      <c r="J117" s="96"/>
      <c r="L117" s="2" t="s">
        <v>30</v>
      </c>
      <c r="M117" s="14">
        <f>$E117*$B$95*B$227/100+$E117*$B$96*B$228/100+$E117*$B$97*B$238/100</f>
        <v>101.47378699751167</v>
      </c>
      <c r="N117" s="14">
        <f>$E117*$B$95*C$227/100+$E117*$B$96*C$228/100+$E117*$B$97*C$238/100</f>
        <v>242.54927453684047</v>
      </c>
      <c r="O117" s="14">
        <f>$E117*$B$95*D$227/100+$E117*$B$96*D$228/100+$E117*$B$97*D$238/100</f>
        <v>646.7796956845558</v>
      </c>
      <c r="P117" s="14">
        <f>$E117*$B$95*E$227/100+$E117*$B$96*E$228/100+$E117*$B$97*E$238/100</f>
        <v>627.87446012786506</v>
      </c>
      <c r="Q117" s="14">
        <f>$E117*$B$95*F$227/100+$E117*$B$96*F$228/100+$E117*$B$97*F$238/100</f>
        <v>259.68498656462964</v>
      </c>
      <c r="R117" s="14">
        <f>$E117*$B$95*G$227/100+$E117*$B$96*G$228/100+$E117*$B$97*G$238/100</f>
        <v>495.20494813236786</v>
      </c>
      <c r="S117" s="14">
        <f>$E117*$B$95*H$227/100+$E117*$B$96*H$228/100+$E117*$B$97*H$238/100</f>
        <v>317.55172872915375</v>
      </c>
      <c r="T117" s="14">
        <f>$E117*$B$95*I$227/100+$E117*$B$96*I$228/100+$E117*$B$97*I$238/100</f>
        <v>178.88510803931865</v>
      </c>
      <c r="U117" s="14">
        <f>$E117*$B$95*J$227/100+$E117*$B$96*J$228/100+$E117*$B$97*J$238/100</f>
        <v>995.39721868085644</v>
      </c>
      <c r="V117" s="14">
        <f t="shared" si="13"/>
        <v>3865.4012074930993</v>
      </c>
    </row>
    <row r="118" spans="1:22" ht="9.9499999999999993" customHeight="1" x14ac:dyDescent="0.15">
      <c r="A118" s="2" t="s">
        <v>31</v>
      </c>
      <c r="B118" s="95"/>
      <c r="C118" s="89"/>
      <c r="D118" s="89"/>
      <c r="E118" s="14">
        <f>S66</f>
        <v>2089.9188381373006</v>
      </c>
      <c r="F118" s="90"/>
      <c r="G118" s="93"/>
      <c r="H118" s="15"/>
      <c r="I118" s="41"/>
      <c r="J118" s="96"/>
      <c r="L118" s="2" t="s">
        <v>31</v>
      </c>
      <c r="M118" s="14">
        <f>$E118*$B$95*B$227/100+$E118*$B$96*B$228/100+$E118*$B$97*B$238/100</f>
        <v>54.864157079510633</v>
      </c>
      <c r="N118" s="14">
        <f>$E118*$B$95*C$227/100+$E118*$B$96*C$228/100+$E118*$B$97*C$238/100</f>
        <v>131.13989229589791</v>
      </c>
      <c r="O118" s="14">
        <f>$E118*$B$95*D$227/100+$E118*$B$96*D$228/100+$E118*$B$97*D$238/100</f>
        <v>349.69644742583336</v>
      </c>
      <c r="P118" s="14">
        <f>$E118*$B$95*E$227/100+$E118*$B$96*E$228/100+$E118*$B$97*E$238/100</f>
        <v>339.47489323043447</v>
      </c>
      <c r="Q118" s="14">
        <f>$E118*$B$95*F$227/100+$E118*$B$96*F$228/100+$E118*$B$97*F$238/100</f>
        <v>140.40471254336671</v>
      </c>
      <c r="R118" s="14">
        <f>$E118*$B$95*G$227/100+$E118*$B$96*G$228/100+$E118*$B$97*G$238/100</f>
        <v>267.74404370609903</v>
      </c>
      <c r="S118" s="14">
        <f>$E118*$B$95*H$227/100+$E118*$B$96*H$228/100+$E118*$B$97*H$238/100</f>
        <v>171.69170917306619</v>
      </c>
      <c r="T118" s="14">
        <f>$E118*$B$95*I$227/100+$E118*$B$96*I$228/100+$E118*$B$97*I$238/100</f>
        <v>96.718383703321109</v>
      </c>
      <c r="U118" s="14">
        <f>$E118*$B$95*J$227/100+$E118*$B$96*J$228/100+$E118*$B$97*J$238/100</f>
        <v>538.18459897977084</v>
      </c>
      <c r="V118" s="14">
        <f>SUM(M118:U118)</f>
        <v>2089.9188381373001</v>
      </c>
    </row>
    <row r="119" spans="1:22" ht="9.9499999999999993" customHeight="1" x14ac:dyDescent="0.15">
      <c r="A119" s="2" t="s">
        <v>36</v>
      </c>
      <c r="B119" s="95"/>
      <c r="C119" s="89"/>
      <c r="D119" s="89"/>
      <c r="E119" s="14">
        <f>S71</f>
        <v>5200.8176789527006</v>
      </c>
      <c r="F119" s="90"/>
      <c r="G119" s="93"/>
      <c r="H119" s="15"/>
      <c r="I119" s="41"/>
      <c r="J119" s="96"/>
      <c r="L119" s="2" t="s">
        <v>36</v>
      </c>
      <c r="M119" s="14">
        <f>$E119*$B$95*B$227/100+$E119*$B$96*B$228/100+$E119*$B$97*B$238/100</f>
        <v>136.53088956041609</v>
      </c>
      <c r="N119" s="14">
        <f>$E119*$B$95*C$227/100+$E119*$B$96*C$228/100+$E119*$B$97*C$238/100</f>
        <v>326.34505121564507</v>
      </c>
      <c r="O119" s="14">
        <f>$E119*$B$95*D$227/100+$E119*$B$96*D$228/100+$E119*$B$97*D$238/100</f>
        <v>870.22875379227776</v>
      </c>
      <c r="P119" s="14">
        <f>$E119*$B$95*E$227/100+$E119*$B$96*E$228/100+$E119*$B$97*E$238/100</f>
        <v>844.79214888890988</v>
      </c>
      <c r="Q119" s="14">
        <f>$E119*$B$95*F$227/100+$E119*$B$96*F$228/100+$E119*$B$97*F$238/100</f>
        <v>349.4007986715132</v>
      </c>
      <c r="R119" s="14">
        <f>$E119*$B$95*G$227/100+$E119*$B$96*G$228/100+$E119*$B$97*G$238/100</f>
        <v>666.28805412465624</v>
      </c>
      <c r="S119" s="14">
        <f>$E119*$B$95*H$227/100+$E119*$B$96*H$228/100+$E119*$B$97*H$238/100</f>
        <v>427.25930792257174</v>
      </c>
      <c r="T119" s="14">
        <f>$E119*$B$95*I$227/100+$E119*$B$96*I$228/100+$E119*$B$97*I$238/100</f>
        <v>240.68622697917269</v>
      </c>
      <c r="U119" s="14">
        <f>$E119*$B$95*J$227/100+$E119*$B$96*J$228/100+$E119*$B$97*J$238/100</f>
        <v>1339.2864477975374</v>
      </c>
      <c r="V119" s="14">
        <f t="shared" si="13"/>
        <v>5200.8176789527006</v>
      </c>
    </row>
    <row r="120" spans="1:22" ht="9.9499999999999993" customHeight="1" x14ac:dyDescent="0.15">
      <c r="A120" s="2" t="s">
        <v>37</v>
      </c>
      <c r="B120" s="95"/>
      <c r="C120" s="89"/>
      <c r="D120" s="89"/>
      <c r="E120" s="14">
        <f>S72</f>
        <v>194711.46335744733</v>
      </c>
      <c r="F120" s="90"/>
      <c r="G120" s="93"/>
      <c r="H120" s="15"/>
      <c r="I120" s="41"/>
      <c r="J120" s="96"/>
      <c r="L120" s="2" t="s">
        <v>37</v>
      </c>
      <c r="M120" s="14">
        <f>$E120*$B$95*B$227/100+$E120*$B$96*B$228/100+$E120*$B$97*B$238/100</f>
        <v>5111.5287904412653</v>
      </c>
      <c r="N120" s="14">
        <f>$E120*$B$95*C$227/100+$E120*$B$96*C$228/100+$E120*$B$97*C$238/100</f>
        <v>12217.910029573495</v>
      </c>
      <c r="O120" s="14">
        <f>$E120*$B$95*D$227/100+$E120*$B$96*D$228/100+$E120*$B$97*D$238/100</f>
        <v>32580.168074790752</v>
      </c>
      <c r="P120" s="14">
        <f>$E120*$B$95*E$227/100+$E120*$B$96*E$228/100+$E120*$B$97*E$238/100</f>
        <v>31627.856559695058</v>
      </c>
      <c r="Q120" s="14">
        <f>$E120*$B$95*F$227/100+$E120*$B$96*F$228/100+$E120*$B$97*F$238/100</f>
        <v>13081.085515247476</v>
      </c>
      <c r="R120" s="14">
        <f>$E120*$B$95*G$227/100+$E120*$B$96*G$228/100+$E120*$B$97*G$238/100</f>
        <v>24944.908674884115</v>
      </c>
      <c r="S120" s="14">
        <f>$E120*$B$95*H$227/100+$E120*$B$96*H$228/100+$E120*$B$97*H$238/100</f>
        <v>15996.00105486619</v>
      </c>
      <c r="T120" s="14">
        <f>$E120*$B$95*I$227/100+$E120*$B$96*I$228/100+$E120*$B$97*I$238/100</f>
        <v>9010.961421461443</v>
      </c>
      <c r="U120" s="14">
        <f>$E120*$B$95*J$227/100+$E120*$B$96*J$228/100+$E120*$B$97*J$238/100</f>
        <v>50141.043236487516</v>
      </c>
      <c r="V120" s="14">
        <f t="shared" si="13"/>
        <v>194711.46335744733</v>
      </c>
    </row>
    <row r="121" spans="1:22" ht="9.9499999999999993" customHeight="1" x14ac:dyDescent="0.15">
      <c r="A121" s="2" t="s">
        <v>38</v>
      </c>
      <c r="B121" s="95"/>
      <c r="C121" s="89"/>
      <c r="D121" s="89"/>
      <c r="E121" s="14">
        <f>S73</f>
        <v>182310.99919800038</v>
      </c>
      <c r="F121" s="90"/>
      <c r="G121" s="93"/>
      <c r="H121" s="15"/>
      <c r="I121" s="41"/>
      <c r="J121" s="96"/>
      <c r="L121" s="2" t="s">
        <v>38</v>
      </c>
      <c r="M121" s="14">
        <f>$E121*$B$95*B$227/100+$E121*$B$96*B$228/100+$E121*$B$97*B$238/100</f>
        <v>4785.994132784841</v>
      </c>
      <c r="N121" s="14">
        <f>$E121*$B$95*C$227/100+$E121*$B$96*C$228/100+$E121*$B$97*C$238/100</f>
        <v>11439.795825034143</v>
      </c>
      <c r="O121" s="14">
        <f>$E121*$B$95*D$227/100+$E121*$B$96*D$228/100+$E121*$B$97*D$238/100</f>
        <v>30505.255794056015</v>
      </c>
      <c r="P121" s="14">
        <f>$E121*$B$95*E$227/100+$E121*$B$96*E$228/100+$E121*$B$97*E$238/100</f>
        <v>29613.593532003488</v>
      </c>
      <c r="Q121" s="14">
        <f>$E121*$B$95*F$227/100+$E121*$B$96*F$228/100+$E121*$B$97*F$238/100</f>
        <v>12247.998806835745</v>
      </c>
      <c r="R121" s="14">
        <f>$E121*$B$95*G$227/100+$E121*$B$96*G$228/100+$E121*$B$97*G$238/100</f>
        <v>23356.258265453835</v>
      </c>
      <c r="S121" s="14">
        <f>$E121*$B$95*H$227/100+$E121*$B$96*H$228/100+$E121*$B$97*H$238/100</f>
        <v>14977.273988903966</v>
      </c>
      <c r="T121" s="14">
        <f>$E121*$B$95*I$227/100+$E121*$B$96*I$228/100+$E121*$B$97*I$238/100</f>
        <v>8437.0860973164963</v>
      </c>
      <c r="U121" s="14">
        <f>$E121*$B$95*J$227/100+$E121*$B$96*J$228/100+$E121*$B$97*J$238/100</f>
        <v>46947.742755611842</v>
      </c>
      <c r="V121" s="14">
        <f t="shared" si="13"/>
        <v>182310.99919800035</v>
      </c>
    </row>
    <row r="122" spans="1:22" ht="9.9499999999999993" customHeight="1" x14ac:dyDescent="0.15">
      <c r="A122" s="2" t="s">
        <v>39</v>
      </c>
      <c r="B122" s="95"/>
      <c r="C122" s="89"/>
      <c r="D122" s="89"/>
      <c r="E122" s="14">
        <f>S74</f>
        <v>9076.2677066916003</v>
      </c>
      <c r="F122" s="90"/>
      <c r="G122" s="93"/>
      <c r="H122" s="15"/>
      <c r="I122" s="41"/>
      <c r="J122" s="96"/>
      <c r="L122" s="2" t="s">
        <v>39</v>
      </c>
      <c r="M122" s="14">
        <f>$E122*$B$95*B$227/100+$E122*$B$96*B$228/100+$E122*$B$97*B$238/100</f>
        <v>238.26847630094591</v>
      </c>
      <c r="N122" s="14">
        <f>$E122*$B$95*C$227/100+$E122*$B$96*C$228/100+$E122*$B$97*C$238/100</f>
        <v>569.52487713117432</v>
      </c>
      <c r="O122" s="14">
        <f>$E122*$B$95*D$227/100+$E122*$B$96*D$228/100+$E122*$B$97*D$238/100</f>
        <v>1518.6898720644729</v>
      </c>
      <c r="P122" s="14">
        <f>$E122*$B$95*E$227/100+$E122*$B$96*E$228/100+$E122*$B$97*E$238/100</f>
        <v>1474.2988839730003</v>
      </c>
      <c r="Q122" s="14">
        <f>$E122*$B$95*F$227/100+$E122*$B$96*F$228/100+$E122*$B$97*F$238/100</f>
        <v>609.76088404489315</v>
      </c>
      <c r="R122" s="14">
        <f>$E122*$B$95*G$227/100+$E122*$B$96*G$228/100+$E122*$B$97*G$238/100</f>
        <v>1162.7803784546015</v>
      </c>
      <c r="S122" s="14">
        <f>$E122*$B$95*H$227/100+$E122*$B$96*H$228/100+$E122*$B$97*H$238/100</f>
        <v>745.6365706828517</v>
      </c>
      <c r="T122" s="14">
        <f>$E122*$B$95*I$227/100+$E122*$B$96*I$228/100+$E122*$B$97*I$238/100</f>
        <v>420.03637970566456</v>
      </c>
      <c r="U122" s="14">
        <f>$E122*$B$95*J$227/100+$E122*$B$96*J$228/100+$E122*$B$97*J$238/100</f>
        <v>2337.2713843339952</v>
      </c>
      <c r="V122" s="14">
        <f t="shared" si="13"/>
        <v>9076.2677066916003</v>
      </c>
    </row>
    <row r="123" spans="1:22" ht="9.9499999999999993" customHeight="1" x14ac:dyDescent="0.15">
      <c r="A123" s="2" t="s">
        <v>40</v>
      </c>
      <c r="B123" s="95"/>
      <c r="C123" s="89"/>
      <c r="D123" s="89"/>
      <c r="E123" s="14">
        <f>S75</f>
        <v>59742.003952750005</v>
      </c>
      <c r="F123" s="90"/>
      <c r="G123" s="93"/>
      <c r="H123" s="15"/>
      <c r="I123" s="41"/>
      <c r="J123" s="96"/>
      <c r="L123" s="2" t="s">
        <v>40</v>
      </c>
      <c r="M123" s="14">
        <f>$E123*$B$95*B$227/100+$E123*$B$96*B$228/100+$E123*$B$97*B$238/100</f>
        <v>1568.3358747221782</v>
      </c>
      <c r="N123" s="14">
        <f>$E123*$B$95*C$227/100+$E123*$B$96*C$228/100+$E123*$B$97*C$238/100</f>
        <v>3748.7388605423148</v>
      </c>
      <c r="O123" s="14">
        <f>$E123*$B$95*D$227/100+$E123*$B$96*D$228/100+$E123*$B$97*D$238/100</f>
        <v>9996.3530464163741</v>
      </c>
      <c r="P123" s="14">
        <f>$E123*$B$95*E$227/100+$E123*$B$96*E$228/100+$E123*$B$97*E$238/100</f>
        <v>9704.1617325713669</v>
      </c>
      <c r="Q123" s="14">
        <f>$E123*$B$95*F$227/100+$E123*$B$96*F$228/100+$E123*$B$97*F$238/100</f>
        <v>4013.5811681694963</v>
      </c>
      <c r="R123" s="14">
        <f>$E123*$B$95*G$227/100+$E123*$B$96*G$228/100+$E123*$B$97*G$238/100</f>
        <v>7653.6779445806333</v>
      </c>
      <c r="S123" s="14">
        <f>$E123*$B$95*H$227/100+$E123*$B$96*H$228/100+$E123*$B$97*H$238/100</f>
        <v>4907.9450268096307</v>
      </c>
      <c r="T123" s="14">
        <f>$E123*$B$95*I$227/100+$E123*$B$96*I$228/100+$E123*$B$97*I$238/100</f>
        <v>2764.7724667898306</v>
      </c>
      <c r="U123" s="14">
        <f>$E123*$B$95*J$227/100+$E123*$B$96*J$228/100+$E123*$B$97*J$238/100</f>
        <v>15384.437832148176</v>
      </c>
      <c r="V123" s="14">
        <f>SUM(M123:U123)</f>
        <v>59742.003952750005</v>
      </c>
    </row>
    <row r="124" spans="1:22" ht="9.9499999999999993" customHeight="1" x14ac:dyDescent="0.15">
      <c r="A124" s="2" t="s">
        <v>41</v>
      </c>
      <c r="B124" s="95"/>
      <c r="C124" s="89"/>
      <c r="D124" s="89"/>
      <c r="E124" s="14">
        <f>S76</f>
        <v>6947.3131065778998</v>
      </c>
      <c r="F124" s="90"/>
      <c r="G124" s="93"/>
      <c r="H124" s="15"/>
      <c r="I124" s="41"/>
      <c r="J124" s="96"/>
      <c r="L124" s="2" t="s">
        <v>41</v>
      </c>
      <c r="M124" s="14">
        <f>$E124*$B$95*B$227/100+$E124*$B$96*B$228/100+$E124*$B$97*B$238/100</f>
        <v>182.3795597246978</v>
      </c>
      <c r="N124" s="14">
        <f>$E124*$B$95*C$227/100+$E124*$B$96*C$228/100+$E124*$B$97*C$238/100</f>
        <v>435.93553774295003</v>
      </c>
      <c r="O124" s="14">
        <f>$E124*$B$95*D$227/100+$E124*$B$96*D$228/100+$E124*$B$97*D$238/100</f>
        <v>1162.4617512374493</v>
      </c>
      <c r="P124" s="14">
        <f>$E124*$B$95*E$227/100+$E124*$B$96*E$228/100+$E124*$B$97*E$238/100</f>
        <v>1128.4832367920831</v>
      </c>
      <c r="Q124" s="14">
        <f>$E124*$B$95*F$227/100+$E124*$B$96*F$228/100+$E124*$B$97*F$238/100</f>
        <v>466.73367495324294</v>
      </c>
      <c r="R124" s="14">
        <f>$E124*$B$95*G$227/100+$E124*$B$96*G$228/100+$E124*$B$97*G$238/100</f>
        <v>890.03537845776657</v>
      </c>
      <c r="S124" s="14">
        <f>$E124*$B$95*H$227/100+$E124*$B$96*H$228/100+$E124*$B$97*H$238/100</f>
        <v>570.73798257731255</v>
      </c>
      <c r="T124" s="14">
        <f>$E124*$B$95*I$227/100+$E124*$B$96*I$228/100+$E124*$B$97*I$238/100</f>
        <v>321.51147809548058</v>
      </c>
      <c r="U124" s="14">
        <f>$E124*$B$95*J$227/100+$E124*$B$96*J$228/100+$E124*$B$97*J$238/100</f>
        <v>1789.0345069969162</v>
      </c>
      <c r="V124" s="14">
        <f>SUM(M124:U124)</f>
        <v>6947.3131065778989</v>
      </c>
    </row>
    <row r="125" spans="1:22" ht="9.9499999999999993" customHeight="1" x14ac:dyDescent="0.15">
      <c r="A125" s="2" t="s">
        <v>42</v>
      </c>
      <c r="B125" s="95"/>
      <c r="C125" s="89"/>
      <c r="D125" s="89"/>
      <c r="E125" s="14">
        <f>S77</f>
        <v>92769.871084690312</v>
      </c>
      <c r="F125" s="90"/>
      <c r="G125" s="93"/>
      <c r="H125" s="15"/>
      <c r="I125" s="41"/>
      <c r="J125" s="96"/>
      <c r="L125" s="2" t="s">
        <v>42</v>
      </c>
      <c r="M125" s="14">
        <f>$E125*$B$95*B$227/100+$E125*$B$96*B$228/100+$E125*$B$97*B$238/100</f>
        <v>2435.3772436315166</v>
      </c>
      <c r="N125" s="14">
        <f>$E125*$B$95*C$227/100+$E125*$B$96*C$228/100+$E125*$B$97*C$238/100</f>
        <v>5821.1977806725554</v>
      </c>
      <c r="O125" s="14">
        <f>$E125*$B$95*D$227/100+$E125*$B$96*D$228/100+$E125*$B$97*D$238/100</f>
        <v>15522.753206714464</v>
      </c>
      <c r="P125" s="14">
        <f>$E125*$B$95*E$227/100+$E125*$B$96*E$228/100+$E125*$B$97*E$238/100</f>
        <v>15069.026369246703</v>
      </c>
      <c r="Q125" s="14">
        <f>$E125*$B$95*F$227/100+$E125*$B$96*F$228/100+$E125*$B$97*F$238/100</f>
        <v>6232.4559426146543</v>
      </c>
      <c r="R125" s="14">
        <f>$E125*$B$95*G$227/100+$E125*$B$96*G$228/100+$E125*$B$97*G$238/100</f>
        <v>11884.949771756008</v>
      </c>
      <c r="S125" s="14">
        <f>$E125*$B$95*H$227/100+$E125*$B$96*H$228/100+$E125*$B$97*H$238/100</f>
        <v>7621.26137897853</v>
      </c>
      <c r="T125" s="14">
        <f>$E125*$B$95*I$227/100+$E125*$B$96*I$228/100+$E125*$B$97*I$238/100</f>
        <v>4293.2537972018818</v>
      </c>
      <c r="U125" s="14">
        <f>$E125*$B$95*J$227/100+$E125*$B$96*J$228/100+$E125*$B$97*J$238/100</f>
        <v>23889.595593873986</v>
      </c>
      <c r="V125" s="14">
        <f t="shared" si="13"/>
        <v>92769.871084690298</v>
      </c>
    </row>
    <row r="126" spans="1:22" ht="9.9499999999999993" customHeight="1" x14ac:dyDescent="0.15">
      <c r="A126" s="2" t="s">
        <v>43</v>
      </c>
      <c r="B126" s="95"/>
      <c r="C126" s="89"/>
      <c r="D126" s="89"/>
      <c r="E126" s="14">
        <f>S78</f>
        <v>56367.545741246708</v>
      </c>
      <c r="F126" s="90"/>
      <c r="G126" s="93"/>
      <c r="H126" s="15"/>
      <c r="I126" s="41"/>
      <c r="J126" s="96"/>
      <c r="L126" s="2" t="s">
        <v>43</v>
      </c>
      <c r="M126" s="14">
        <f>$E126*$B$95*B$227/100+$E126*$B$96*B$228/100+$E126*$B$97*B$238/100</f>
        <v>1479.7502311097353</v>
      </c>
      <c r="N126" s="14">
        <f>$E126*$B$95*C$227/100+$E126*$B$96*C$228/100+$E126*$B$97*C$238/100</f>
        <v>3536.9956682526254</v>
      </c>
      <c r="O126" s="14">
        <f>$E126*$B$95*D$227/100+$E126*$B$96*D$228/100+$E126*$B$97*D$238/100</f>
        <v>9431.7205702569772</v>
      </c>
      <c r="P126" s="14">
        <f>$E126*$B$95*E$227/100+$E126*$B$96*E$228/100+$E126*$B$97*E$238/100</f>
        <v>9156.0333458816494</v>
      </c>
      <c r="Q126" s="14">
        <f>$E126*$B$95*F$227/100+$E126*$B$96*F$228/100+$E126*$B$97*F$238/100</f>
        <v>3786.8786634932849</v>
      </c>
      <c r="R126" s="14">
        <f>$E126*$B$95*G$227/100+$E126*$B$96*G$228/100+$E126*$B$97*G$238/100</f>
        <v>7221.368770473945</v>
      </c>
      <c r="S126" s="14">
        <f>$E126*$B$95*H$227/100+$E126*$B$96*H$228/100+$E126*$B$97*H$238/100</f>
        <v>4630.7254107682411</v>
      </c>
      <c r="T126" s="14">
        <f>$E126*$B$95*I$227/100+$E126*$B$96*I$228/100+$E126*$B$97*I$238/100</f>
        <v>2608.6074817505614</v>
      </c>
      <c r="U126" s="14">
        <f>$E126*$B$95*J$227/100+$E126*$B$96*J$228/100+$E126*$B$97*J$238/100</f>
        <v>14515.465599259682</v>
      </c>
      <c r="V126" s="14">
        <f t="shared" si="13"/>
        <v>56367.545741246693</v>
      </c>
    </row>
    <row r="127" spans="1:22" ht="9.9499999999999993" customHeight="1" x14ac:dyDescent="0.15">
      <c r="A127" s="2" t="s">
        <v>44</v>
      </c>
      <c r="B127" s="95"/>
      <c r="C127" s="89"/>
      <c r="D127" s="89"/>
      <c r="E127" s="14">
        <f>S79</f>
        <v>125544.54065069251</v>
      </c>
      <c r="F127" s="90"/>
      <c r="G127" s="93"/>
      <c r="H127" s="15"/>
      <c r="I127" s="41"/>
      <c r="J127" s="96"/>
      <c r="L127" s="2" t="s">
        <v>44</v>
      </c>
      <c r="M127" s="14">
        <f>$E127*$B$95*B$227/100+$E127*$B$96*B$228/100+$E127*$B$97*B$238/100</f>
        <v>3295.7717175627899</v>
      </c>
      <c r="N127" s="14">
        <f>$E127*$B$95*C$227/100+$E127*$B$96*C$228/100+$E127*$B$97*C$238/100</f>
        <v>7877.7688582125547</v>
      </c>
      <c r="O127" s="14">
        <f>$E127*$B$95*D$227/100+$E127*$B$96*D$228/100+$E127*$B$97*D$238/100</f>
        <v>21006.786990055858</v>
      </c>
      <c r="P127" s="14">
        <f>$E127*$B$95*E$227/100+$E127*$B$96*E$228/100+$E127*$B$97*E$238/100</f>
        <v>20392.762989324201</v>
      </c>
      <c r="Q127" s="14">
        <f>$E127*$B$95*F$227/100+$E127*$B$96*F$228/100+$E127*$B$97*F$238/100</f>
        <v>8434.3204242132688</v>
      </c>
      <c r="R127" s="14">
        <f>$E127*$B$95*G$227/100+$E127*$B$96*G$228/100+$E127*$B$97*G$238/100</f>
        <v>16083.783908565749</v>
      </c>
      <c r="S127" s="14">
        <f>$E127*$B$95*H$227/100+$E127*$B$96*H$228/100+$E127*$B$97*H$238/100</f>
        <v>10313.776960293993</v>
      </c>
      <c r="T127" s="14">
        <f>$E127*$B$95*I$227/100+$E127*$B$96*I$228/100+$E127*$B$97*I$238/100</f>
        <v>5810.0175150022515</v>
      </c>
      <c r="U127" s="14">
        <f>$E127*$B$95*J$227/100+$E127*$B$96*J$228/100+$E127*$B$97*J$238/100</f>
        <v>32329.551287461829</v>
      </c>
      <c r="V127" s="14">
        <f t="shared" si="13"/>
        <v>125544.54065069251</v>
      </c>
    </row>
    <row r="128" spans="1:22" ht="9.9499999999999993" customHeight="1" x14ac:dyDescent="0.15">
      <c r="A128" s="2" t="s">
        <v>45</v>
      </c>
      <c r="B128" s="95"/>
      <c r="C128" s="89"/>
      <c r="D128" s="89"/>
      <c r="E128" s="14">
        <f>S80</f>
        <v>31381.304939270001</v>
      </c>
      <c r="F128" s="90"/>
      <c r="G128" s="93"/>
      <c r="H128" s="15"/>
      <c r="I128" s="41"/>
      <c r="J128" s="96"/>
      <c r="L128" s="2" t="s">
        <v>45</v>
      </c>
      <c r="M128" s="14">
        <f>$E128*$B$95*B$227/100+$E128*$B$96*B$228/100+$E128*$B$97*B$238/100</f>
        <v>823.81612727250888</v>
      </c>
      <c r="N128" s="14">
        <f>$E128*$B$95*C$227/100+$E128*$B$96*C$228/100+$E128*$B$97*C$238/100</f>
        <v>1969.139123846795</v>
      </c>
      <c r="O128" s="14">
        <f>$E128*$B$95*D$227/100+$E128*$B$96*D$228/100+$E128*$B$97*D$238/100</f>
        <v>5250.8885285853039</v>
      </c>
      <c r="P128" s="14">
        <f>$E128*$B$95*E$227/100+$E128*$B$96*E$228/100+$E128*$B$97*E$238/100</f>
        <v>5097.4061524730432</v>
      </c>
      <c r="Q128" s="14">
        <f>$E128*$B$95*F$227/100+$E128*$B$96*F$228/100+$E128*$B$97*F$238/100</f>
        <v>2108.2556024811879</v>
      </c>
      <c r="R128" s="14">
        <f>$E128*$B$95*G$227/100+$E128*$B$96*G$228/100+$E128*$B$97*G$238/100</f>
        <v>4020.327166725283</v>
      </c>
      <c r="S128" s="14">
        <f>$E128*$B$95*H$227/100+$E128*$B$96*H$228/100+$E128*$B$97*H$238/100</f>
        <v>2578.0474259500807</v>
      </c>
      <c r="T128" s="14">
        <f>$E128*$B$95*I$227/100+$E128*$B$96*I$228/100+$E128*$B$97*I$238/100</f>
        <v>1452.2808430840332</v>
      </c>
      <c r="U128" s="14">
        <f>$E128*$B$95*J$227/100+$E128*$B$96*J$228/100+$E128*$B$97*J$238/100</f>
        <v>8081.1439688517621</v>
      </c>
      <c r="V128" s="14">
        <f t="shared" si="13"/>
        <v>31381.304939269998</v>
      </c>
    </row>
    <row r="129" spans="1:31" ht="9.9499999999999993" customHeight="1" x14ac:dyDescent="0.15">
      <c r="A129" s="2" t="s">
        <v>46</v>
      </c>
      <c r="B129" s="95"/>
      <c r="C129" s="89"/>
      <c r="D129" s="89"/>
      <c r="E129" s="14">
        <f>S81</f>
        <v>1959.5018369641002</v>
      </c>
      <c r="F129" s="90"/>
      <c r="G129" s="93"/>
      <c r="H129" s="15"/>
      <c r="I129" s="41"/>
      <c r="J129" s="96"/>
      <c r="L129" s="2" t="s">
        <v>46</v>
      </c>
      <c r="M129" s="14">
        <f>$E129*$B$95*B$227/100+$E129*$B$96*B$228/100+$E129*$B$97*B$238/100</f>
        <v>51.44047444282868</v>
      </c>
      <c r="N129" s="14">
        <f>$E129*$B$95*C$227/100+$E129*$B$96*C$228/100+$E129*$B$97*C$238/100</f>
        <v>122.95638240292479</v>
      </c>
      <c r="O129" s="14">
        <f>$E129*$B$95*D$227/100+$E129*$B$96*D$228/100+$E129*$B$97*D$238/100</f>
        <v>327.87437416539672</v>
      </c>
      <c r="P129" s="14">
        <f>$E129*$B$95*E$227/100+$E129*$B$96*E$228/100+$E129*$B$97*E$238/100</f>
        <v>318.29067461830624</v>
      </c>
      <c r="Q129" s="14">
        <f>$E129*$B$95*F$227/100+$E129*$B$96*F$228/100+$E129*$B$97*F$238/100</f>
        <v>131.64305097721163</v>
      </c>
      <c r="R129" s="14">
        <f>$E129*$B$95*G$227/100+$E129*$B$96*G$228/100+$E129*$B$97*G$238/100</f>
        <v>251.03603829223437</v>
      </c>
      <c r="S129" s="14">
        <f>$E129*$B$95*H$227/100+$E129*$B$96*H$228/100+$E129*$B$97*H$238/100</f>
        <v>160.97764821144071</v>
      </c>
      <c r="T129" s="14">
        <f>$E129*$B$95*I$227/100+$E129*$B$96*I$228/100+$E129*$B$97*I$238/100</f>
        <v>90.682875849748939</v>
      </c>
      <c r="U129" s="14">
        <f>$E129*$B$95*J$227/100+$E129*$B$96*J$228/100+$E129*$B$97*J$238/100</f>
        <v>504.60031800400793</v>
      </c>
      <c r="V129" s="14">
        <f t="shared" si="13"/>
        <v>1959.5018369641002</v>
      </c>
      <c r="W129" s="14"/>
    </row>
    <row r="130" spans="1:31" ht="9.9499999999999993" customHeight="1" x14ac:dyDescent="0.15">
      <c r="A130" s="2" t="s">
        <v>22</v>
      </c>
      <c r="B130" s="97" t="s">
        <v>141</v>
      </c>
      <c r="C130" s="89" t="s">
        <v>142</v>
      </c>
      <c r="D130" s="89"/>
      <c r="E130" s="14">
        <f>S60</f>
        <v>0</v>
      </c>
      <c r="F130" s="90">
        <f t="shared" ref="F130:F138" si="15">E130/$E$140</f>
        <v>0</v>
      </c>
      <c r="G130" s="93"/>
      <c r="H130" s="15"/>
      <c r="I130" s="41"/>
      <c r="J130" s="91"/>
      <c r="L130" s="2" t="s">
        <v>22</v>
      </c>
      <c r="M130" s="14">
        <f>$E130/100*B227</f>
        <v>0</v>
      </c>
      <c r="N130" s="14">
        <f>$E130/100*C227</f>
        <v>0</v>
      </c>
      <c r="O130" s="14">
        <f>$E130/100*D227</f>
        <v>0</v>
      </c>
      <c r="P130" s="14">
        <f>$E130/100*E227</f>
        <v>0</v>
      </c>
      <c r="Q130" s="14">
        <f>$E130/100*F227</f>
        <v>0</v>
      </c>
      <c r="R130" s="14">
        <f>$E130/100*G227</f>
        <v>0</v>
      </c>
      <c r="S130" s="14">
        <f>$E130/100*H227</f>
        <v>0</v>
      </c>
      <c r="T130" s="14">
        <f>$E130/100*I227</f>
        <v>0</v>
      </c>
      <c r="U130" s="14">
        <f>$E130/100*J227</f>
        <v>0</v>
      </c>
      <c r="V130" s="14">
        <f t="shared" si="13"/>
        <v>0</v>
      </c>
    </row>
    <row r="131" spans="1:31" ht="9.9499999999999993" customHeight="1" x14ac:dyDescent="0.15">
      <c r="A131" s="2" t="s">
        <v>143</v>
      </c>
      <c r="B131" s="97" t="s">
        <v>141</v>
      </c>
      <c r="C131" s="89" t="s">
        <v>142</v>
      </c>
      <c r="D131" s="89"/>
      <c r="E131" s="14">
        <f>S63</f>
        <v>8.7073140000000002</v>
      </c>
      <c r="F131" s="90">
        <f t="shared" si="15"/>
        <v>1.0588633578451283E-6</v>
      </c>
      <c r="G131" s="93"/>
      <c r="H131" s="15"/>
      <c r="I131" s="41"/>
      <c r="J131" s="87"/>
      <c r="L131" s="2" t="s">
        <v>143</v>
      </c>
      <c r="M131" s="14">
        <f>$E131/100*B227</f>
        <v>0.29554450106996671</v>
      </c>
      <c r="N131" s="14">
        <f>$E131/100*C227</f>
        <v>0.58242904403158535</v>
      </c>
      <c r="O131" s="14">
        <f>$E131/100*D227</f>
        <v>1.6740315509151196</v>
      </c>
      <c r="P131" s="14">
        <f>$E131/100*E227</f>
        <v>1.4689667420291279</v>
      </c>
      <c r="Q131" s="14">
        <f>$E131/100*F227</f>
        <v>0.55083519253457081</v>
      </c>
      <c r="R131" s="14">
        <f>$E131/100*G227</f>
        <v>1.2573538551506762</v>
      </c>
      <c r="S131" s="14">
        <f>$E131/100*H227</f>
        <v>0.73407619886204301</v>
      </c>
      <c r="T131" s="14">
        <f>$E131/100*I227</f>
        <v>0.38330519967278504</v>
      </c>
      <c r="U131" s="14">
        <f>$E131/100*J227</f>
        <v>1.7607717157341261</v>
      </c>
      <c r="V131" s="14">
        <f t="shared" si="13"/>
        <v>8.7073140000000002</v>
      </c>
    </row>
    <row r="132" spans="1:31" ht="9.9499999999999993" customHeight="1" x14ac:dyDescent="0.15">
      <c r="A132" s="2" t="s">
        <v>32</v>
      </c>
      <c r="B132" s="95">
        <v>0.4</v>
      </c>
      <c r="C132" s="89" t="s">
        <v>133</v>
      </c>
      <c r="D132" s="89"/>
      <c r="E132" s="14">
        <f>$S$67*B132</f>
        <v>38698.980112367717</v>
      </c>
      <c r="F132" s="90">
        <f t="shared" si="15"/>
        <v>4.7060358713334003E-3</v>
      </c>
      <c r="G132" s="93"/>
      <c r="H132" s="15"/>
      <c r="I132" s="98"/>
      <c r="J132" s="99"/>
      <c r="L132" s="2" t="s">
        <v>32</v>
      </c>
      <c r="M132" s="14">
        <f>$E132/100*B227</f>
        <v>1313.5245575416577</v>
      </c>
      <c r="N132" s="14">
        <f>$E132/100*C227</f>
        <v>2588.5606045496538</v>
      </c>
      <c r="O132" s="14">
        <f>$E132/100*D227</f>
        <v>7440.103078439608</v>
      </c>
      <c r="P132" s="14">
        <f>$E132/100*E227</f>
        <v>6528.7084783567943</v>
      </c>
      <c r="Q132" s="14">
        <f>$E132/100*F227</f>
        <v>2448.1441878732749</v>
      </c>
      <c r="R132" s="14">
        <f>$E132/100*G227</f>
        <v>5588.2114547247174</v>
      </c>
      <c r="S132" s="14">
        <f>$E132/100*H227</f>
        <v>3262.5445942026081</v>
      </c>
      <c r="T132" s="14">
        <f>$E132/100*I227</f>
        <v>1703.5701594204877</v>
      </c>
      <c r="U132" s="14">
        <f>$E132/100*J227</f>
        <v>7825.6129972589169</v>
      </c>
      <c r="V132" s="14">
        <f t="shared" si="13"/>
        <v>38698.980112367717</v>
      </c>
    </row>
    <row r="133" spans="1:31" ht="9.9499999999999993" customHeight="1" x14ac:dyDescent="0.15">
      <c r="B133" s="95">
        <v>0.6</v>
      </c>
      <c r="C133" s="89" t="s">
        <v>144</v>
      </c>
      <c r="D133" s="89"/>
      <c r="E133" s="14">
        <f>$S$67*B133</f>
        <v>58048.470168551576</v>
      </c>
      <c r="F133" s="90">
        <f t="shared" si="15"/>
        <v>7.0590538070001005E-3</v>
      </c>
      <c r="G133" s="93"/>
      <c r="H133" s="15"/>
      <c r="I133" s="98"/>
      <c r="J133" s="99"/>
      <c r="M133" s="14">
        <f>$E133/100*B236</f>
        <v>68.49719479889086</v>
      </c>
      <c r="N133" s="14">
        <f>$E133/100*C236</f>
        <v>591.51391101754052</v>
      </c>
      <c r="O133" s="14">
        <f>$E133/100*D236</f>
        <v>8400.1941180910981</v>
      </c>
      <c r="P133" s="14">
        <f>$E133/100*E236</f>
        <v>4207.3531178166195</v>
      </c>
      <c r="Q133" s="14">
        <f>$E133/100*F236</f>
        <v>2865.8529722213916</v>
      </c>
      <c r="R133" s="14">
        <f>$E133/100*G236</f>
        <v>1439.6020601800792</v>
      </c>
      <c r="S133" s="14">
        <f>$E133/100*H236</f>
        <v>625.18202371530049</v>
      </c>
      <c r="T133" s="14">
        <f>$E133/100*I236</f>
        <v>462.64630724335609</v>
      </c>
      <c r="U133" s="14">
        <f>$E133/100*J236</f>
        <v>39387.628463467299</v>
      </c>
      <c r="V133" s="14">
        <f t="shared" si="13"/>
        <v>58048.470168551576</v>
      </c>
    </row>
    <row r="134" spans="1:31" ht="9.9499999999999993" customHeight="1" x14ac:dyDescent="0.15">
      <c r="A134" s="2" t="s">
        <v>92</v>
      </c>
      <c r="B134" s="95"/>
      <c r="C134" s="89"/>
      <c r="D134" s="89"/>
      <c r="E134" s="14">
        <f>S68</f>
        <v>0</v>
      </c>
      <c r="F134" s="90">
        <f t="shared" si="15"/>
        <v>0</v>
      </c>
      <c r="G134" s="93"/>
      <c r="H134" s="15"/>
      <c r="I134" s="98"/>
      <c r="J134" s="99"/>
      <c r="L134" s="2" t="s">
        <v>92</v>
      </c>
      <c r="M134" s="14">
        <f>$E$134*B227/100</f>
        <v>0</v>
      </c>
      <c r="N134" s="14">
        <f>$E$134*C227/100</f>
        <v>0</v>
      </c>
      <c r="O134" s="14">
        <f>$E$134*D227/100</f>
        <v>0</v>
      </c>
      <c r="P134" s="14">
        <f>$E$134*E227/100</f>
        <v>0</v>
      </c>
      <c r="Q134" s="14">
        <f>$E$134*F227/100</f>
        <v>0</v>
      </c>
      <c r="R134" s="14">
        <f>$E$134*G227/100</f>
        <v>0</v>
      </c>
      <c r="S134" s="14">
        <f>$E$134*H227/100</f>
        <v>0</v>
      </c>
      <c r="T134" s="14">
        <f>$E$134*I227/100</f>
        <v>0</v>
      </c>
      <c r="U134" s="14">
        <f>$E$134*J227/100</f>
        <v>0</v>
      </c>
      <c r="V134" s="14">
        <f t="shared" si="13"/>
        <v>0</v>
      </c>
    </row>
    <row r="135" spans="1:31" ht="9.9499999999999993" customHeight="1" x14ac:dyDescent="0.15">
      <c r="A135" s="2" t="s">
        <v>34</v>
      </c>
      <c r="B135" s="97" t="s">
        <v>141</v>
      </c>
      <c r="C135" s="89" t="s">
        <v>145</v>
      </c>
      <c r="D135" s="89"/>
      <c r="E135" s="14">
        <f>S69</f>
        <v>723835.27129920002</v>
      </c>
      <c r="F135" s="90">
        <f t="shared" si="15"/>
        <v>8.8022855945543058E-2</v>
      </c>
      <c r="G135" s="93"/>
      <c r="H135" s="15"/>
      <c r="I135" s="98"/>
      <c r="J135" s="99"/>
      <c r="L135" s="2" t="s">
        <v>34</v>
      </c>
      <c r="M135" s="14">
        <f>$E135/100*B229</f>
        <v>14646.178108800001</v>
      </c>
      <c r="N135" s="14">
        <f>$E135/100*C229</f>
        <v>38655.594883199999</v>
      </c>
      <c r="O135" s="14">
        <f>$E135/100*D229</f>
        <v>100560.53450879999</v>
      </c>
      <c r="P135" s="14">
        <f>$E135/100*E229</f>
        <v>91190.838163200009</v>
      </c>
      <c r="Q135" s="14">
        <f>$E135/100*F229</f>
        <v>62190.512304000003</v>
      </c>
      <c r="R135" s="14">
        <f>$E135/100*G229</f>
        <v>84538.617561599996</v>
      </c>
      <c r="S135" s="14">
        <f>$E135/100*H229</f>
        <v>80263.944604799995</v>
      </c>
      <c r="T135" s="14">
        <f>$E135/100*I229</f>
        <v>41917.160543999991</v>
      </c>
      <c r="U135" s="14">
        <f>$E135/100*J229</f>
        <v>209871.89062080003</v>
      </c>
      <c r="V135" s="14">
        <f t="shared" si="13"/>
        <v>723835.27129920013</v>
      </c>
      <c r="X135" s="15"/>
      <c r="Y135" s="15"/>
      <c r="Z135" s="15"/>
      <c r="AA135" s="15"/>
      <c r="AB135" s="15"/>
      <c r="AC135" s="15"/>
      <c r="AD135" s="15"/>
      <c r="AE135" s="15"/>
    </row>
    <row r="136" spans="1:31" ht="9.9499999999999993" customHeight="1" x14ac:dyDescent="0.15">
      <c r="A136" s="2" t="s">
        <v>35</v>
      </c>
      <c r="B136" s="97" t="s">
        <v>141</v>
      </c>
      <c r="C136" s="89" t="s">
        <v>146</v>
      </c>
      <c r="D136" s="89"/>
      <c r="E136" s="14">
        <f>S70</f>
        <v>5363.3961887999994</v>
      </c>
      <c r="F136" s="90">
        <f t="shared" si="15"/>
        <v>6.5222222351537227E-4</v>
      </c>
      <c r="G136" s="93"/>
      <c r="H136" s="15"/>
      <c r="I136" s="15"/>
      <c r="J136" s="99"/>
      <c r="L136" s="2" t="s">
        <v>35</v>
      </c>
      <c r="M136" s="14">
        <f>$E136/100*B230</f>
        <v>135.90143999999998</v>
      </c>
      <c r="N136" s="14">
        <f>$E136/100*C230</f>
        <v>494.14132799999982</v>
      </c>
      <c r="O136" s="14">
        <f>$E136/100*D230</f>
        <v>865.11959039999977</v>
      </c>
      <c r="P136" s="14">
        <f>$E136/100*E230</f>
        <v>1105.4767872000002</v>
      </c>
      <c r="Q136" s="14">
        <f>$E136/100*F230</f>
        <v>463.54919999999993</v>
      </c>
      <c r="R136" s="14">
        <f>$E136/100*G230</f>
        <v>737.08156800000017</v>
      </c>
      <c r="S136" s="14">
        <f>$E136/100*H230</f>
        <v>611.9095967999998</v>
      </c>
      <c r="T136" s="14">
        <f>$E136/100*I230</f>
        <v>114.2234016</v>
      </c>
      <c r="U136" s="14">
        <f>$E136/100*J230</f>
        <v>835.99327679999999</v>
      </c>
      <c r="V136" s="14">
        <f t="shared" si="13"/>
        <v>5363.3961887999994</v>
      </c>
      <c r="X136" s="15"/>
      <c r="Y136" s="15"/>
      <c r="Z136" s="15"/>
      <c r="AA136" s="15"/>
      <c r="AB136" s="15"/>
      <c r="AC136" s="15"/>
      <c r="AD136" s="15"/>
      <c r="AE136" s="15"/>
    </row>
    <row r="137" spans="1:31" ht="9.9499999999999993" customHeight="1" x14ac:dyDescent="0.15">
      <c r="A137" s="2" t="s">
        <v>113</v>
      </c>
      <c r="B137" s="97" t="s">
        <v>141</v>
      </c>
      <c r="C137" s="89" t="s">
        <v>147</v>
      </c>
      <c r="D137" s="89"/>
      <c r="E137" s="14">
        <f>S82</f>
        <v>3444.9664303999998</v>
      </c>
      <c r="F137" s="90">
        <f t="shared" si="15"/>
        <v>4.1892927281100568E-4</v>
      </c>
      <c r="G137" s="100"/>
      <c r="J137" s="99"/>
      <c r="L137" s="2" t="s">
        <v>113</v>
      </c>
      <c r="M137" s="14">
        <f>$E137/100*B232</f>
        <v>0</v>
      </c>
      <c r="N137" s="14">
        <f>$E137/100*C232</f>
        <v>318.99999999999989</v>
      </c>
      <c r="O137" s="14">
        <f>$E137/100*D232</f>
        <v>318.99999999999989</v>
      </c>
      <c r="P137" s="14">
        <f>$E137/100*E232</f>
        <v>318.99999999999989</v>
      </c>
      <c r="Q137" s="14">
        <f>$E137/100*F232</f>
        <v>380.65380759999994</v>
      </c>
      <c r="R137" s="14">
        <f>$E137/100*G232</f>
        <v>318.99999999999989</v>
      </c>
      <c r="S137" s="14">
        <f>$E137/100*H232</f>
        <v>956.99999999999989</v>
      </c>
      <c r="T137" s="14">
        <f>$E137/100*I232</f>
        <v>512.31262279999987</v>
      </c>
      <c r="U137" s="14">
        <f>$E137/100*J232</f>
        <v>318.99999999999989</v>
      </c>
      <c r="V137" s="14">
        <f t="shared" si="13"/>
        <v>3444.9664303999998</v>
      </c>
      <c r="X137" s="41"/>
      <c r="Y137" s="101"/>
      <c r="Z137" s="42"/>
      <c r="AA137" s="42"/>
      <c r="AB137" s="42"/>
      <c r="AC137" s="42"/>
      <c r="AD137" s="42"/>
      <c r="AE137" s="15"/>
    </row>
    <row r="138" spans="1:31" ht="9.9499999999999993" customHeight="1" x14ac:dyDescent="0.15">
      <c r="A138" s="2" t="s">
        <v>116</v>
      </c>
      <c r="B138" s="97" t="s">
        <v>141</v>
      </c>
      <c r="C138" s="89" t="s">
        <v>148</v>
      </c>
      <c r="D138" s="89"/>
      <c r="E138" s="14">
        <f>S83</f>
        <v>7483.8539727999996</v>
      </c>
      <c r="F138" s="90">
        <f t="shared" si="15"/>
        <v>9.1008303447671815E-4</v>
      </c>
      <c r="G138" s="100"/>
      <c r="J138" s="99"/>
      <c r="L138" s="2" t="s">
        <v>116</v>
      </c>
      <c r="M138" s="14">
        <f>$E138/100*B233</f>
        <v>0</v>
      </c>
      <c r="N138" s="14">
        <f>$E138/100*C233</f>
        <v>767.15432080000005</v>
      </c>
      <c r="O138" s="14">
        <f>$E138/100*D233</f>
        <v>498.80994499999997</v>
      </c>
      <c r="P138" s="14">
        <f>$E138/100*E233</f>
        <v>552.98349360000009</v>
      </c>
      <c r="Q138" s="14">
        <f>$E138/100*F233</f>
        <v>451.4740233</v>
      </c>
      <c r="R138" s="14">
        <f>$E138/100*G233</f>
        <v>248.62265130000003</v>
      </c>
      <c r="S138" s="14">
        <f>$E138/100*H233</f>
        <v>1275.2915444000002</v>
      </c>
      <c r="T138" s="14">
        <f>$E138/100*I233</f>
        <v>1940.1346519000003</v>
      </c>
      <c r="U138" s="14">
        <f>$E138/100*J233</f>
        <v>1749.3833425</v>
      </c>
      <c r="V138" s="14">
        <f t="shared" si="13"/>
        <v>7483.8539728000005</v>
      </c>
      <c r="X138" s="15"/>
      <c r="Y138" s="102"/>
      <c r="Z138" s="41"/>
      <c r="AA138" s="41"/>
      <c r="AB138" s="41"/>
      <c r="AC138" s="102"/>
      <c r="AD138" s="102"/>
      <c r="AE138" s="15"/>
    </row>
    <row r="139" spans="1:31" ht="9.9499999999999993" customHeight="1" x14ac:dyDescent="0.15">
      <c r="E139" s="14"/>
      <c r="F139" s="87"/>
      <c r="J139" s="99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X139" s="15"/>
      <c r="Y139" s="102"/>
      <c r="Z139" s="41"/>
      <c r="AA139" s="41"/>
      <c r="AB139" s="41"/>
      <c r="AC139" s="102"/>
      <c r="AD139" s="102"/>
      <c r="AE139" s="15"/>
    </row>
    <row r="140" spans="1:31" ht="9.9499999999999993" customHeight="1" x14ac:dyDescent="0.15">
      <c r="A140" s="2" t="s">
        <v>149</v>
      </c>
      <c r="E140" s="14">
        <f>SUM(E106:E138)</f>
        <v>8223265.0091132456</v>
      </c>
      <c r="F140" s="90">
        <f>SUM(F95:F138)</f>
        <v>1</v>
      </c>
      <c r="J140" s="99"/>
      <c r="L140" s="2" t="s">
        <v>150</v>
      </c>
      <c r="M140" s="82">
        <f t="shared" ref="M140:U140" si="16">SUM(M106:M138)</f>
        <v>214949.85076514661</v>
      </c>
      <c r="N140" s="82">
        <f t="shared" si="16"/>
        <v>520897.09279374522</v>
      </c>
      <c r="O140" s="82">
        <f t="shared" si="16"/>
        <v>1361432.0687759514</v>
      </c>
      <c r="P140" s="82">
        <f t="shared" si="16"/>
        <v>1297701.575152131</v>
      </c>
      <c r="Q140" s="82">
        <f t="shared" si="16"/>
        <v>571787.44335535727</v>
      </c>
      <c r="R140" s="82">
        <f t="shared" si="16"/>
        <v>1055577.0488205007</v>
      </c>
      <c r="S140" s="82">
        <f t="shared" si="16"/>
        <v>716796.23905210616</v>
      </c>
      <c r="T140" s="82">
        <f t="shared" si="16"/>
        <v>385200.11993668444</v>
      </c>
      <c r="U140" s="82">
        <f t="shared" si="16"/>
        <v>2098923.5704616215</v>
      </c>
      <c r="V140" s="82">
        <f>SUM(M140:U140)</f>
        <v>8223265.0091132428</v>
      </c>
      <c r="X140" s="15"/>
      <c r="Y140" s="102"/>
      <c r="Z140" s="41"/>
      <c r="AA140" s="41"/>
      <c r="AB140" s="41"/>
      <c r="AC140" s="102"/>
      <c r="AD140" s="102"/>
      <c r="AE140" s="15"/>
    </row>
    <row r="141" spans="1:31" ht="9.9499999999999993" customHeight="1" x14ac:dyDescent="0.15">
      <c r="E141" s="14"/>
      <c r="F141" s="87"/>
      <c r="J141" s="99"/>
      <c r="L141" s="103"/>
      <c r="M141" s="103"/>
      <c r="N141" s="103"/>
      <c r="O141" s="103"/>
      <c r="P141" s="103"/>
      <c r="Q141" s="103"/>
      <c r="R141" s="103"/>
      <c r="S141" s="103"/>
      <c r="T141" s="103"/>
      <c r="U141" s="14"/>
      <c r="V141" s="14"/>
      <c r="X141" s="15"/>
      <c r="Y141" s="102"/>
      <c r="Z141" s="41"/>
      <c r="AA141" s="41"/>
      <c r="AB141" s="41"/>
      <c r="AC141" s="102"/>
      <c r="AD141" s="102"/>
      <c r="AE141" s="15"/>
    </row>
    <row r="142" spans="1:31" ht="9.9499999999999993" customHeight="1" x14ac:dyDescent="0.15">
      <c r="E142" s="14"/>
      <c r="F142" s="90"/>
      <c r="J142" s="99"/>
      <c r="L142" s="2" t="s">
        <v>151</v>
      </c>
      <c r="M142" s="14">
        <f>M140-M112-M132-M133-M137-M138</f>
        <v>212896.53001280606</v>
      </c>
      <c r="N142" s="14">
        <f t="shared" ref="N142:U142" si="17">N140-N112-N132-N133-N137-N138</f>
        <v>513626.43495737802</v>
      </c>
      <c r="O142" s="14">
        <f t="shared" si="17"/>
        <v>1338589.7736344205</v>
      </c>
      <c r="P142" s="14">
        <f t="shared" si="17"/>
        <v>1279079.9300623576</v>
      </c>
      <c r="Q142" s="14">
        <f t="shared" si="17"/>
        <v>561485.7183643626</v>
      </c>
      <c r="R142" s="14">
        <f t="shared" si="17"/>
        <v>1042643.4246542959</v>
      </c>
      <c r="S142" s="14">
        <f t="shared" si="17"/>
        <v>707666.20488978818</v>
      </c>
      <c r="T142" s="14">
        <f t="shared" si="17"/>
        <v>377613.03819532058</v>
      </c>
      <c r="U142" s="14">
        <f t="shared" si="17"/>
        <v>2049641.9456583951</v>
      </c>
      <c r="V142" s="14">
        <f>SUM(M142:U142)</f>
        <v>8083243.0004291246</v>
      </c>
      <c r="X142" s="70"/>
      <c r="Y142" s="102"/>
      <c r="Z142" s="41"/>
      <c r="AA142" s="41"/>
      <c r="AB142" s="41"/>
      <c r="AC142" s="102"/>
      <c r="AD142" s="102"/>
      <c r="AE142" s="15"/>
    </row>
    <row r="143" spans="1:31" ht="9.9499999999999993" customHeight="1" x14ac:dyDescent="0.15">
      <c r="F143" s="99"/>
      <c r="I143" s="99"/>
      <c r="L143" s="104">
        <v>7.5999999999999998E-2</v>
      </c>
      <c r="M143" s="14">
        <f>M$142*$L143</f>
        <v>16180.13628097326</v>
      </c>
      <c r="N143" s="14">
        <f t="shared" ref="N143:U144" si="18">N$142*$L143</f>
        <v>39035.609056760732</v>
      </c>
      <c r="O143" s="14">
        <f t="shared" si="18"/>
        <v>101732.82279621596</v>
      </c>
      <c r="P143" s="14">
        <f t="shared" si="18"/>
        <v>97210.074684739171</v>
      </c>
      <c r="Q143" s="14">
        <f t="shared" si="18"/>
        <v>42672.91459569156</v>
      </c>
      <c r="R143" s="14">
        <f t="shared" si="18"/>
        <v>79240.900273726482</v>
      </c>
      <c r="S143" s="14">
        <f t="shared" si="18"/>
        <v>53782.631571623897</v>
      </c>
      <c r="T143" s="14">
        <f t="shared" si="18"/>
        <v>28698.590902844364</v>
      </c>
      <c r="U143" s="14">
        <f t="shared" si="18"/>
        <v>155772.78787003801</v>
      </c>
      <c r="V143" s="14">
        <f>SUM(M143:U143)</f>
        <v>614326.4680326134</v>
      </c>
      <c r="X143" s="70"/>
      <c r="Y143" s="102"/>
      <c r="Z143" s="41"/>
      <c r="AA143" s="41"/>
      <c r="AB143" s="41"/>
      <c r="AC143" s="102"/>
      <c r="AD143" s="102"/>
      <c r="AE143" s="15"/>
    </row>
    <row r="144" spans="1:31" ht="9.9499999999999993" customHeight="1" x14ac:dyDescent="0.15">
      <c r="F144" s="99"/>
      <c r="I144" s="99"/>
      <c r="L144" s="104">
        <v>0.127</v>
      </c>
      <c r="M144" s="14">
        <f>M$142*$L144</f>
        <v>27037.859311626369</v>
      </c>
      <c r="N144" s="14">
        <f t="shared" si="18"/>
        <v>65230.557239587011</v>
      </c>
      <c r="O144" s="14">
        <f t="shared" si="18"/>
        <v>170000.9012515714</v>
      </c>
      <c r="P144" s="14">
        <f t="shared" si="18"/>
        <v>162443.15111791942</v>
      </c>
      <c r="Q144" s="14">
        <f t="shared" si="18"/>
        <v>71308.686232274049</v>
      </c>
      <c r="R144" s="14">
        <f t="shared" si="18"/>
        <v>132415.71493109557</v>
      </c>
      <c r="S144" s="14">
        <f t="shared" si="18"/>
        <v>89873.608021003107</v>
      </c>
      <c r="T144" s="14">
        <f t="shared" si="18"/>
        <v>47956.855850805718</v>
      </c>
      <c r="U144" s="14">
        <f t="shared" si="18"/>
        <v>260304.52709861618</v>
      </c>
      <c r="V144" s="14">
        <f>SUM(M144:U144)</f>
        <v>1026571.8610544989</v>
      </c>
      <c r="X144" s="70"/>
      <c r="Y144" s="102"/>
      <c r="Z144" s="41"/>
      <c r="AA144" s="41"/>
      <c r="AB144" s="41"/>
      <c r="AC144" s="102"/>
      <c r="AD144" s="102"/>
      <c r="AE144" s="15"/>
    </row>
    <row r="145" spans="1:31" ht="9.9499999999999993" customHeight="1" x14ac:dyDescent="0.15">
      <c r="F145" s="99"/>
      <c r="I145" s="99"/>
      <c r="L145" s="104" t="s">
        <v>152</v>
      </c>
      <c r="M145" s="14">
        <v>-70.131087159392763</v>
      </c>
      <c r="N145" s="14">
        <v>-172.08492569535667</v>
      </c>
      <c r="O145" s="14">
        <v>-441.75474611698644</v>
      </c>
      <c r="P145" s="14">
        <v>-425.33674016767975</v>
      </c>
      <c r="Q145" s="14">
        <v>-187.18754583778417</v>
      </c>
      <c r="R145" s="14">
        <v>-344.36922068862572</v>
      </c>
      <c r="S145" s="14">
        <v>-234.33222374601837</v>
      </c>
      <c r="T145" s="14">
        <v>-124.80351058815637</v>
      </c>
      <c r="U145" s="82">
        <v>0</v>
      </c>
      <c r="V145" s="14">
        <v>-2000</v>
      </c>
      <c r="W145" s="14"/>
      <c r="X145" s="70"/>
      <c r="Y145" s="102"/>
      <c r="Z145" s="41"/>
      <c r="AA145" s="41"/>
      <c r="AB145" s="41"/>
      <c r="AC145" s="102"/>
      <c r="AD145" s="102"/>
      <c r="AE145" s="15"/>
    </row>
    <row r="146" spans="1:31" ht="9.9499999999999993" customHeight="1" x14ac:dyDescent="0.15">
      <c r="F146" s="99"/>
      <c r="J146" s="99"/>
      <c r="L146" s="88" t="s">
        <v>138</v>
      </c>
      <c r="M146" s="14">
        <v>0</v>
      </c>
      <c r="N146" s="14">
        <v>0</v>
      </c>
      <c r="O146" s="14">
        <v>0</v>
      </c>
      <c r="P146" s="14">
        <v>0</v>
      </c>
      <c r="Q146" s="14">
        <v>0</v>
      </c>
      <c r="R146" s="14">
        <v>0</v>
      </c>
      <c r="S146" s="14">
        <v>0</v>
      </c>
      <c r="T146" s="14">
        <v>0</v>
      </c>
      <c r="U146" s="14">
        <v>0</v>
      </c>
      <c r="V146" s="14">
        <f>SUM(M146:U146)</f>
        <v>0</v>
      </c>
      <c r="X146" s="70"/>
      <c r="Y146" s="102"/>
      <c r="Z146" s="41"/>
      <c r="AA146" s="41"/>
      <c r="AB146" s="41"/>
      <c r="AC146" s="102"/>
      <c r="AD146" s="102"/>
      <c r="AE146" s="15"/>
    </row>
    <row r="147" spans="1:31" ht="9.9499999999999993" customHeight="1" x14ac:dyDescent="0.15">
      <c r="F147" s="99"/>
      <c r="J147" s="99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X147" s="15"/>
      <c r="Y147" s="15"/>
      <c r="Z147" s="15"/>
      <c r="AA147" s="15"/>
      <c r="AB147" s="15"/>
      <c r="AC147" s="15"/>
      <c r="AD147" s="15"/>
      <c r="AE147" s="15"/>
    </row>
    <row r="148" spans="1:31" ht="9.9499999999999993" customHeight="1" x14ac:dyDescent="0.15">
      <c r="F148" s="99"/>
      <c r="J148" s="99"/>
      <c r="K148" s="82"/>
      <c r="L148" s="2" t="s">
        <v>153</v>
      </c>
      <c r="M148" s="105">
        <f t="shared" ref="M148:U148" si="19">M140+M145+M146</f>
        <v>214879.71967798722</v>
      </c>
      <c r="N148" s="105">
        <f t="shared" si="19"/>
        <v>520725.00786804984</v>
      </c>
      <c r="O148" s="105">
        <f t="shared" si="19"/>
        <v>1360990.3140298345</v>
      </c>
      <c r="P148" s="105">
        <f t="shared" si="19"/>
        <v>1297276.2384119635</v>
      </c>
      <c r="Q148" s="105">
        <f t="shared" si="19"/>
        <v>571600.25580951944</v>
      </c>
      <c r="R148" s="105">
        <f t="shared" si="19"/>
        <v>1055232.679599812</v>
      </c>
      <c r="S148" s="105">
        <f t="shared" si="19"/>
        <v>716561.90682836017</v>
      </c>
      <c r="T148" s="105">
        <f t="shared" si="19"/>
        <v>385075.31642609631</v>
      </c>
      <c r="U148" s="105">
        <f t="shared" si="19"/>
        <v>2098923.5704616215</v>
      </c>
      <c r="V148" s="82">
        <f>SUM(M148:U148)</f>
        <v>8221265.0091132447</v>
      </c>
      <c r="X148" s="70"/>
      <c r="Y148" s="70"/>
      <c r="Z148" s="70"/>
      <c r="AA148" s="70"/>
      <c r="AB148" s="70"/>
      <c r="AC148" s="41"/>
      <c r="AD148" s="41"/>
      <c r="AE148" s="15"/>
    </row>
    <row r="149" spans="1:31" ht="9.9499999999999993" customHeight="1" x14ac:dyDescent="0.15">
      <c r="F149" s="99"/>
      <c r="J149" s="99"/>
      <c r="K149" s="82"/>
      <c r="X149" s="70"/>
      <c r="Y149" s="70"/>
      <c r="Z149" s="15"/>
      <c r="AA149" s="15"/>
      <c r="AB149" s="15"/>
      <c r="AC149" s="106"/>
      <c r="AD149" s="106"/>
      <c r="AE149" s="15"/>
    </row>
    <row r="150" spans="1:31" ht="9.9499999999999993" customHeight="1" x14ac:dyDescent="0.15">
      <c r="F150" s="99"/>
      <c r="J150" s="99"/>
      <c r="L150" s="82"/>
      <c r="M150" s="82"/>
      <c r="N150" s="82"/>
      <c r="O150" s="82"/>
      <c r="P150" s="82"/>
      <c r="Q150" s="82"/>
      <c r="R150" s="82"/>
      <c r="S150" s="82"/>
      <c r="T150" s="82"/>
      <c r="X150" s="70"/>
      <c r="Y150" s="70"/>
      <c r="Z150" s="15"/>
      <c r="AA150" s="15"/>
      <c r="AB150" s="15"/>
      <c r="AC150" s="15"/>
      <c r="AD150" s="15"/>
      <c r="AE150" s="15"/>
    </row>
    <row r="151" spans="1:31" ht="9.9499999999999993" customHeight="1" x14ac:dyDescent="0.15">
      <c r="E151" s="99"/>
      <c r="J151" s="99"/>
      <c r="L151" s="82"/>
      <c r="M151" s="82"/>
      <c r="N151" s="82"/>
      <c r="O151" s="82"/>
      <c r="P151" s="82"/>
      <c r="Q151" s="82"/>
      <c r="R151" s="82"/>
      <c r="S151" s="82"/>
      <c r="T151" s="82"/>
      <c r="X151" s="41"/>
      <c r="Y151" s="70"/>
      <c r="Z151" s="15"/>
      <c r="AA151" s="15"/>
      <c r="AB151" s="15"/>
      <c r="AC151" s="15"/>
      <c r="AD151" s="15"/>
      <c r="AE151" s="15"/>
    </row>
    <row r="152" spans="1:31" ht="9.9499999999999993" customHeight="1" x14ac:dyDescent="0.15">
      <c r="F152" s="99"/>
      <c r="J152" s="99"/>
      <c r="L152" s="1" t="s">
        <v>154</v>
      </c>
      <c r="M152" s="14"/>
      <c r="N152" s="14"/>
      <c r="O152" s="14"/>
      <c r="P152" s="14"/>
      <c r="Q152" s="14"/>
      <c r="R152" s="14"/>
      <c r="S152" s="14"/>
      <c r="T152" s="14"/>
      <c r="U152" s="14"/>
      <c r="X152" s="15"/>
      <c r="Y152" s="15"/>
      <c r="Z152" s="15"/>
      <c r="AA152" s="15"/>
      <c r="AB152" s="15"/>
      <c r="AC152" s="15"/>
      <c r="AD152" s="15"/>
      <c r="AE152" s="15"/>
    </row>
    <row r="153" spans="1:31" ht="9.9499999999999993" customHeight="1" x14ac:dyDescent="0.2">
      <c r="F153" s="99"/>
      <c r="G153" s="86"/>
      <c r="H153" s="107"/>
      <c r="I153" s="107"/>
      <c r="J153" s="84"/>
      <c r="L153" s="14"/>
      <c r="M153" s="14"/>
      <c r="N153" s="14"/>
      <c r="O153" s="14"/>
      <c r="P153" s="14"/>
      <c r="Q153" s="14"/>
      <c r="R153" s="14"/>
      <c r="S153" s="14"/>
      <c r="T153" s="14"/>
      <c r="U153" s="14"/>
    </row>
    <row r="154" spans="1:31" ht="9.9499999999999993" customHeight="1" x14ac:dyDescent="0.15">
      <c r="A154" s="1" t="s">
        <v>154</v>
      </c>
      <c r="F154" s="99"/>
      <c r="G154" s="16"/>
      <c r="H154" s="86"/>
      <c r="I154" s="86"/>
      <c r="J154" s="87"/>
      <c r="M154" s="20" t="s">
        <v>121</v>
      </c>
      <c r="N154" s="20" t="s">
        <v>122</v>
      </c>
      <c r="O154" s="20" t="s">
        <v>123</v>
      </c>
      <c r="P154" s="20" t="s">
        <v>124</v>
      </c>
      <c r="Q154" s="20" t="s">
        <v>125</v>
      </c>
      <c r="R154" s="20" t="s">
        <v>126</v>
      </c>
      <c r="S154" s="20" t="s">
        <v>127</v>
      </c>
      <c r="T154" s="20" t="s">
        <v>128</v>
      </c>
      <c r="U154" s="20" t="s">
        <v>129</v>
      </c>
      <c r="V154" s="57" t="s">
        <v>49</v>
      </c>
    </row>
    <row r="155" spans="1:31" ht="9.9499999999999993" customHeight="1" x14ac:dyDescent="0.15">
      <c r="D155" s="88" t="s">
        <v>155</v>
      </c>
      <c r="E155" s="131" t="s">
        <v>130</v>
      </c>
      <c r="F155" s="87" t="s">
        <v>131</v>
      </c>
      <c r="G155" s="16"/>
      <c r="I155" s="14"/>
      <c r="J155" s="91"/>
      <c r="L155" s="88" t="s">
        <v>156</v>
      </c>
    </row>
    <row r="156" spans="1:31" ht="9.9499999999999993" customHeight="1" x14ac:dyDescent="0.15">
      <c r="A156" s="2" t="s">
        <v>132</v>
      </c>
      <c r="B156" s="95">
        <v>0.77017000000000002</v>
      </c>
      <c r="C156" s="89" t="s">
        <v>133</v>
      </c>
      <c r="D156" s="132">
        <v>-1780500</v>
      </c>
      <c r="E156" s="132">
        <f>(R85-R57-R58-R60-R63-R65-R67-R68-R69-R70-R82-R83)*B156+D156</f>
        <v>8014925.7060266342</v>
      </c>
      <c r="F156" s="90">
        <f>E156/$E$200</f>
        <v>0.59485537639493302</v>
      </c>
      <c r="G156" s="16"/>
      <c r="J156" s="91"/>
      <c r="L156" s="88" t="s">
        <v>133</v>
      </c>
      <c r="M156" s="14">
        <f>$E156/100*B227</f>
        <v>272043.39006270963</v>
      </c>
      <c r="N156" s="14">
        <f>$E156/100*C227</f>
        <v>536115.44466471195</v>
      </c>
      <c r="O156" s="14">
        <f>$E156/100*D227</f>
        <v>1540915.8909543434</v>
      </c>
      <c r="P156" s="14">
        <f>$E156/100*E227</f>
        <v>1352157.4278804522</v>
      </c>
      <c r="Q156" s="14">
        <f>$E156/100*F227</f>
        <v>507033.8734114173</v>
      </c>
      <c r="R156" s="14">
        <f>$E156/100*G227</f>
        <v>1157371.5769545976</v>
      </c>
      <c r="S156" s="14">
        <f>$E156/100*H227</f>
        <v>675703.91930757381</v>
      </c>
      <c r="T156" s="14">
        <f>$E156/100*I227</f>
        <v>352825.53243297263</v>
      </c>
      <c r="U156" s="14">
        <f>$E156/100*J227</f>
        <v>1620758.6503578564</v>
      </c>
      <c r="V156" s="14">
        <f>SUM(M156:U156)</f>
        <v>8014925.7060266342</v>
      </c>
    </row>
    <row r="157" spans="1:31" ht="9.9499999999999993" customHeight="1" x14ac:dyDescent="0.15">
      <c r="A157" s="103" t="s">
        <v>157</v>
      </c>
      <c r="B157" s="95">
        <v>0.22983000000000001</v>
      </c>
      <c r="C157" s="89" t="s">
        <v>135</v>
      </c>
      <c r="D157" s="132">
        <v>1780500</v>
      </c>
      <c r="E157" s="132">
        <f>(R85-R57-R58-R60-R63-R65-R67-R68-R69-R70-R82-R83)*B157-E158+D157</f>
        <v>4499414.498434362</v>
      </c>
      <c r="F157" s="90">
        <f>E157/$E$200</f>
        <v>0.3339395776320746</v>
      </c>
      <c r="G157" s="16"/>
      <c r="J157" s="91"/>
      <c r="L157" s="108" t="s">
        <v>135</v>
      </c>
      <c r="M157" s="14">
        <f>$E157/100*B239</f>
        <v>146230.97119911676</v>
      </c>
      <c r="N157" s="14">
        <f>$E157/100*C239</f>
        <v>309604.71163726842</v>
      </c>
      <c r="O157" s="14">
        <f>$E157/100*D239</f>
        <v>805305.20692978206</v>
      </c>
      <c r="P157" s="14">
        <f>$E157/100*E239</f>
        <v>712212.32095717511</v>
      </c>
      <c r="Q157" s="14">
        <f>$E157/100*F239</f>
        <v>313879.1554107811</v>
      </c>
      <c r="R157" s="14">
        <f>$E157/100*G239</f>
        <v>618399.52866481873</v>
      </c>
      <c r="S157" s="14">
        <f>$E157/100*H239</f>
        <v>396533.39974702033</v>
      </c>
      <c r="T157" s="14">
        <f>$E157/100*I239</f>
        <v>221506.17575792366</v>
      </c>
      <c r="U157" s="14">
        <f>$E157/100*J239</f>
        <v>975743.02813047578</v>
      </c>
      <c r="V157" s="14">
        <f>SUM(M157:U157)</f>
        <v>4499414.498434362</v>
      </c>
    </row>
    <row r="158" spans="1:31" ht="9.9499999999999993" customHeight="1" x14ac:dyDescent="0.15">
      <c r="A158" s="2" t="s">
        <v>158</v>
      </c>
      <c r="B158" s="94">
        <v>9.4900000000000002E-3</v>
      </c>
      <c r="C158" s="2" t="s">
        <v>136</v>
      </c>
      <c r="E158" s="14">
        <f>D16*B158</f>
        <v>204183.89544763989</v>
      </c>
      <c r="F158" s="90">
        <f>E158/$E$200</f>
        <v>1.5154212582277662E-2</v>
      </c>
      <c r="G158" s="16"/>
      <c r="J158" s="91"/>
      <c r="L158" s="88" t="s">
        <v>159</v>
      </c>
      <c r="M158" s="14">
        <f>$E158/100*B234</f>
        <v>5251.6097909132968</v>
      </c>
      <c r="N158" s="14">
        <f>$E158/100*C234</f>
        <v>14082.563269023722</v>
      </c>
      <c r="O158" s="14">
        <f>$E158/100*D234</f>
        <v>29506.614731138437</v>
      </c>
      <c r="P158" s="14">
        <f>$E158/100*E234</f>
        <v>27956.858964690851</v>
      </c>
      <c r="Q158" s="14">
        <f>$E158/100*F234</f>
        <v>13126.982638328765</v>
      </c>
      <c r="R158" s="14">
        <f>$E158/100*G234</f>
        <v>26307.05308947392</v>
      </c>
      <c r="S158" s="14">
        <f>$E158/100*H234</f>
        <v>16297.958534630614</v>
      </c>
      <c r="T158" s="14">
        <f>$E158/100*I234</f>
        <v>7589.5153937887726</v>
      </c>
      <c r="U158" s="14">
        <f>$E158/100*J234</f>
        <v>64064.739035651481</v>
      </c>
      <c r="V158" s="14">
        <f>SUM(M158:U158)</f>
        <v>204183.89544763986</v>
      </c>
    </row>
    <row r="159" spans="1:31" ht="9.9499999999999993" customHeight="1" x14ac:dyDescent="0.15">
      <c r="B159" s="94"/>
      <c r="C159" s="2" t="s">
        <v>71</v>
      </c>
      <c r="E159" s="14">
        <f>R57</f>
        <v>79005</v>
      </c>
      <c r="F159" s="90">
        <f>E159/$E$200</f>
        <v>5.8636287765891255E-3</v>
      </c>
      <c r="G159" s="16"/>
      <c r="J159" s="91"/>
      <c r="L159" s="88" t="s">
        <v>71</v>
      </c>
      <c r="M159" s="14">
        <f>B223</f>
        <v>841</v>
      </c>
      <c r="N159" s="14">
        <f t="shared" ref="N159:U159" si="20">C223</f>
        <v>2231</v>
      </c>
      <c r="O159" s="14">
        <f t="shared" si="20"/>
        <v>26585</v>
      </c>
      <c r="P159" s="14">
        <f t="shared" si="20"/>
        <v>2045</v>
      </c>
      <c r="Q159" s="14">
        <f t="shared" si="20"/>
        <v>1832</v>
      </c>
      <c r="R159" s="14">
        <f t="shared" si="20"/>
        <v>3085</v>
      </c>
      <c r="S159" s="14">
        <f t="shared" si="20"/>
        <v>1825</v>
      </c>
      <c r="T159" s="14">
        <f t="shared" si="20"/>
        <v>1449</v>
      </c>
      <c r="U159" s="14">
        <f t="shared" si="20"/>
        <v>39112</v>
      </c>
      <c r="V159" s="14">
        <f>SUM(M159:U159)</f>
        <v>79005</v>
      </c>
    </row>
    <row r="160" spans="1:31" ht="9.9499999999999993" customHeight="1" x14ac:dyDescent="0.15">
      <c r="B160" s="94"/>
      <c r="C160" s="2" t="s">
        <v>74</v>
      </c>
      <c r="E160" s="14">
        <f>R58</f>
        <v>0</v>
      </c>
      <c r="F160" s="90">
        <f>E160/$E$200</f>
        <v>0</v>
      </c>
      <c r="G160" s="16"/>
      <c r="J160" s="91"/>
      <c r="L160" s="88" t="s">
        <v>138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0</v>
      </c>
      <c r="V160" s="14">
        <f>SUM(M160:U160)</f>
        <v>0</v>
      </c>
    </row>
    <row r="161" spans="1:22" ht="9.9499999999999993" customHeight="1" x14ac:dyDescent="0.15">
      <c r="B161" s="95"/>
      <c r="D161" s="14"/>
      <c r="E161" s="14"/>
      <c r="F161" s="90"/>
      <c r="G161" s="16"/>
      <c r="J161" s="91"/>
      <c r="M161" s="14"/>
      <c r="N161" s="14"/>
      <c r="O161" s="14"/>
      <c r="P161" s="14"/>
      <c r="Q161" s="14"/>
      <c r="R161" s="14"/>
      <c r="S161" s="14"/>
      <c r="T161" s="14"/>
      <c r="U161" s="14"/>
      <c r="V161" s="14"/>
    </row>
    <row r="162" spans="1:22" ht="9.9499999999999993" customHeight="1" x14ac:dyDescent="0.15">
      <c r="B162" s="109"/>
      <c r="E162" s="14"/>
      <c r="F162" s="90"/>
      <c r="G162" s="16"/>
      <c r="J162" s="91"/>
      <c r="L162" s="2" t="s">
        <v>49</v>
      </c>
      <c r="M162" s="14">
        <f>SUM(M156:M161)</f>
        <v>424366.97105273965</v>
      </c>
      <c r="N162" s="14">
        <f t="shared" ref="N162:U162" si="21">SUM(N156:N161)</f>
        <v>862033.71957100404</v>
      </c>
      <c r="O162" s="14">
        <f t="shared" si="21"/>
        <v>2402312.7126152641</v>
      </c>
      <c r="P162" s="14">
        <f t="shared" si="21"/>
        <v>2094371.6078023184</v>
      </c>
      <c r="Q162" s="14">
        <f t="shared" si="21"/>
        <v>835872.0114605272</v>
      </c>
      <c r="R162" s="14">
        <f t="shared" si="21"/>
        <v>1805163.1587088902</v>
      </c>
      <c r="S162" s="14">
        <f t="shared" si="21"/>
        <v>1090360.277589225</v>
      </c>
      <c r="T162" s="14">
        <f t="shared" si="21"/>
        <v>583370.22358468513</v>
      </c>
      <c r="U162" s="14">
        <f t="shared" si="21"/>
        <v>2699678.4175239839</v>
      </c>
      <c r="V162" s="14">
        <f>SUM(M162:U162)</f>
        <v>12797529.099908637</v>
      </c>
    </row>
    <row r="163" spans="1:22" ht="9.9499999999999993" customHeight="1" x14ac:dyDescent="0.2">
      <c r="A163" s="92"/>
      <c r="B163" s="110"/>
      <c r="E163" s="14"/>
      <c r="F163" s="90"/>
      <c r="G163" s="16"/>
      <c r="J163" s="91"/>
      <c r="L163" s="92"/>
      <c r="M163" s="14"/>
      <c r="N163" s="14"/>
      <c r="O163" s="14"/>
      <c r="P163" s="14"/>
      <c r="Q163" s="14"/>
      <c r="R163" s="14"/>
      <c r="S163" s="14"/>
      <c r="T163" s="14"/>
      <c r="U163" s="14"/>
      <c r="V163" s="14"/>
    </row>
    <row r="164" spans="1:22" ht="9.9499999999999993" customHeight="1" x14ac:dyDescent="0.15">
      <c r="A164" s="1" t="s">
        <v>139</v>
      </c>
      <c r="B164" s="95"/>
      <c r="E164" s="14"/>
      <c r="F164" s="90"/>
      <c r="G164" s="16"/>
      <c r="I164" s="14"/>
      <c r="J164" s="91"/>
      <c r="L164" s="1" t="s">
        <v>139</v>
      </c>
      <c r="M164" s="20" t="s">
        <v>121</v>
      </c>
      <c r="N164" s="20" t="s">
        <v>122</v>
      </c>
      <c r="O164" s="20" t="s">
        <v>123</v>
      </c>
      <c r="P164" s="20" t="s">
        <v>124</v>
      </c>
      <c r="Q164" s="20" t="s">
        <v>125</v>
      </c>
      <c r="R164" s="20" t="s">
        <v>126</v>
      </c>
      <c r="S164" s="20" t="s">
        <v>127</v>
      </c>
      <c r="T164" s="20" t="s">
        <v>128</v>
      </c>
      <c r="U164" s="20" t="s">
        <v>129</v>
      </c>
      <c r="V164" s="57" t="s">
        <v>49</v>
      </c>
    </row>
    <row r="165" spans="1:22" ht="9.9499999999999993" customHeight="1" x14ac:dyDescent="0.15">
      <c r="B165" s="95"/>
      <c r="E165" s="14"/>
      <c r="F165" s="90"/>
      <c r="G165" s="16"/>
      <c r="I165" s="14"/>
      <c r="J165" s="91"/>
      <c r="M165" s="14"/>
      <c r="N165" s="14"/>
      <c r="O165" s="14"/>
      <c r="P165" s="14"/>
      <c r="Q165" s="14"/>
      <c r="R165" s="14"/>
      <c r="S165" s="14"/>
      <c r="T165" s="14"/>
      <c r="U165" s="14"/>
      <c r="V165" s="14"/>
    </row>
    <row r="166" spans="1:22" ht="9.9499999999999993" customHeight="1" x14ac:dyDescent="0.15">
      <c r="A166" s="2" t="s">
        <v>10</v>
      </c>
      <c r="B166" s="95"/>
      <c r="E166" s="14">
        <f>R51</f>
        <v>487591.37235083943</v>
      </c>
      <c r="F166" s="90"/>
      <c r="G166" s="16"/>
      <c r="H166" s="2" t="s">
        <v>133</v>
      </c>
      <c r="I166" s="90">
        <f>F156+F191+F192+F194</f>
        <v>0.64321200504410525</v>
      </c>
      <c r="J166" s="91"/>
      <c r="L166" s="2" t="s">
        <v>10</v>
      </c>
      <c r="M166" s="14">
        <f>$E166*$B$156*B$227/100+$E166*$B$157*B$239/100</f>
        <v>16388.267961682843</v>
      </c>
      <c r="N166" s="14">
        <f>$E166*$B$156*C$227/100+$E166*$B$157*C$239/100</f>
        <v>32830.010543374898</v>
      </c>
      <c r="O166" s="14">
        <f>$E166*$B$156*D$227/100+$E166*$B$157*D$239/100</f>
        <v>92254.538795147717</v>
      </c>
      <c r="P166" s="14">
        <f>$E166*$B$156*E$227/100+$E166*$B$157*E$239/100</f>
        <v>81091.936286566255</v>
      </c>
      <c r="Q166" s="14">
        <f>$E166*$B$156*F$227/100+$E166*$B$157*F$239/100</f>
        <v>31573.893754762612</v>
      </c>
      <c r="R166" s="14">
        <f>$E166*$B$156*G$227/100+$E166*$B$157*G$239/100</f>
        <v>69628.998765118275</v>
      </c>
      <c r="S166" s="14">
        <f>$E166*$B$156*H$227/100+$E166*$B$157*H$239/100</f>
        <v>41535.294838765534</v>
      </c>
      <c r="T166" s="14">
        <f>$E166*$B$156*I$227/100+$E166*$B$157*I$239/100</f>
        <v>22048.019482130407</v>
      </c>
      <c r="U166" s="14">
        <f>$E166*$B$156*J$227/100+$E166*$B$157*J$239/100</f>
        <v>100240.4119232909</v>
      </c>
      <c r="V166" s="14">
        <f t="shared" ref="V166:V198" si="22">SUM(M166:U166)</f>
        <v>487591.37235083943</v>
      </c>
    </row>
    <row r="167" spans="1:22" ht="9.9499999999999993" customHeight="1" x14ac:dyDescent="0.15">
      <c r="A167" s="2" t="s">
        <v>12</v>
      </c>
      <c r="B167" s="95"/>
      <c r="E167" s="14">
        <f>R52</f>
        <v>4196668.7770013465</v>
      </c>
      <c r="F167" s="90"/>
      <c r="G167" s="16"/>
      <c r="H167" s="2" t="s">
        <v>2</v>
      </c>
      <c r="I167" s="90">
        <f>F178+F197+F198</f>
        <v>1.1112255079047612E-3</v>
      </c>
      <c r="J167" s="91"/>
      <c r="L167" s="2" t="s">
        <v>12</v>
      </c>
      <c r="M167" s="14">
        <f>$E167*$B$156*B$227/100+$E167*$B$157*B$239/100</f>
        <v>141052.80848660917</v>
      </c>
      <c r="N167" s="14">
        <f>$E167*$B$156*C$227/100+$E167*$B$157*C$239/100</f>
        <v>282565.8697194322</v>
      </c>
      <c r="O167" s="14">
        <f>$E167*$B$156*D$227/100+$E167*$B$157*D$239/100</f>
        <v>794029.10808618483</v>
      </c>
      <c r="P167" s="14">
        <f>$E167*$B$156*E$227/100+$E167*$B$157*E$239/100</f>
        <v>697953.27886881796</v>
      </c>
      <c r="Q167" s="14">
        <f>$E167*$B$156*F$227/100+$E167*$B$157*F$239/100</f>
        <v>271754.55022946518</v>
      </c>
      <c r="R167" s="14">
        <f>$E167*$B$156*G$227/100+$E167*$B$157*G$239/100</f>
        <v>599292.48477592366</v>
      </c>
      <c r="S167" s="14">
        <f>$E167*$B$156*H$227/100+$E167*$B$157*H$239/100</f>
        <v>357491.71309776651</v>
      </c>
      <c r="T167" s="14">
        <f>$E167*$B$156*I$227/100+$E167*$B$157*I$239/100</f>
        <v>189765.93968278152</v>
      </c>
      <c r="U167" s="14">
        <f>$E167*$B$156*J$227/100+$E167*$B$157*J$239/100</f>
        <v>862763.0240543657</v>
      </c>
      <c r="V167" s="14">
        <f t="shared" si="22"/>
        <v>4196668.7770013474</v>
      </c>
    </row>
    <row r="168" spans="1:22" ht="9.9499999999999993" customHeight="1" x14ac:dyDescent="0.15">
      <c r="A168" s="2" t="s">
        <v>14</v>
      </c>
      <c r="B168" s="95"/>
      <c r="E168" s="14">
        <f>R53</f>
        <v>287125.79716328951</v>
      </c>
      <c r="F168" s="90"/>
      <c r="G168" s="16"/>
      <c r="H168" s="2" t="s">
        <v>140</v>
      </c>
      <c r="I168" s="90">
        <f>F157+F158+F193+F159+F160</f>
        <v>0.35567676944799009</v>
      </c>
      <c r="J168" s="91"/>
      <c r="L168" s="2" t="s">
        <v>14</v>
      </c>
      <c r="M168" s="14">
        <f>$E168*$B$156*B$227/100+$E168*$B$157*B$239/100</f>
        <v>9650.4876202731757</v>
      </c>
      <c r="N168" s="14">
        <f>$E168*$B$156*C$227/100+$E168*$B$157*C$239/100</f>
        <v>19332.464605963381</v>
      </c>
      <c r="O168" s="14">
        <f>$E168*$B$156*D$227/100+$E168*$B$157*D$239/100</f>
        <v>54325.526446002965</v>
      </c>
      <c r="P168" s="14">
        <f>$E168*$B$156*E$227/100+$E168*$B$157*E$239/100</f>
        <v>47752.253567443448</v>
      </c>
      <c r="Q168" s="14">
        <f>$E168*$B$156*F$227/100+$E168*$B$157*F$239/100</f>
        <v>18592.780610896745</v>
      </c>
      <c r="R168" s="14">
        <f>$E168*$B$156*G$227/100+$E168*$B$157*G$239/100</f>
        <v>41002.123724476245</v>
      </c>
      <c r="S168" s="14">
        <f>$E168*$B$156*H$227/100+$E168*$B$157*H$239/100</f>
        <v>24458.707264434001</v>
      </c>
      <c r="T168" s="14">
        <f>$E168*$B$156*I$227/100+$E168*$B$157*I$239/100</f>
        <v>12983.320724394132</v>
      </c>
      <c r="U168" s="14">
        <f>$E168*$B$156*J$227/100+$E168*$B$157*J$239/100</f>
        <v>59028.13259940542</v>
      </c>
      <c r="V168" s="14">
        <f t="shared" si="22"/>
        <v>287125.79716328951</v>
      </c>
    </row>
    <row r="169" spans="1:22" ht="9.9499999999999993" customHeight="1" x14ac:dyDescent="0.15">
      <c r="A169" s="2" t="s">
        <v>15</v>
      </c>
      <c r="B169" s="95"/>
      <c r="E169" s="14">
        <f>R54</f>
        <v>250720.55689606172</v>
      </c>
      <c r="F169" s="90"/>
      <c r="G169" s="16"/>
      <c r="H169" s="2" t="s">
        <v>49</v>
      </c>
      <c r="I169" s="90">
        <f>SUM(I166:I168)</f>
        <v>1</v>
      </c>
      <c r="J169" s="91"/>
      <c r="L169" s="2" t="s">
        <v>15</v>
      </c>
      <c r="M169" s="14">
        <f>$E169*$B$156*B$227/100+$E169*$B$157*B$239/100</f>
        <v>8426.883457975804</v>
      </c>
      <c r="N169" s="14">
        <f>$E169*$B$156*C$227/100+$E169*$B$157*C$239/100</f>
        <v>16881.263683262874</v>
      </c>
      <c r="O169" s="14">
        <f>$E169*$B$156*D$227/100+$E169*$B$157*D$239/100</f>
        <v>47437.486909152751</v>
      </c>
      <c r="P169" s="14">
        <f>$E169*$B$156*E$227/100+$E169*$B$157*E$239/100</f>
        <v>41697.652129329857</v>
      </c>
      <c r="Q169" s="14">
        <f>$E169*$B$156*F$227/100+$E169*$B$157*F$239/100</f>
        <v>16235.365665730362</v>
      </c>
      <c r="R169" s="14">
        <f>$E169*$B$156*G$227/100+$E169*$B$157*G$239/100</f>
        <v>35803.384424826138</v>
      </c>
      <c r="S169" s="14">
        <f>$E169*$B$156*H$227/100+$E169*$B$157*H$239/100</f>
        <v>21357.540029080636</v>
      </c>
      <c r="T169" s="14">
        <f>$E169*$B$156*I$227/100+$E169*$B$157*I$239/100</f>
        <v>11337.140147421309</v>
      </c>
      <c r="U169" s="14">
        <f>$E169*$B$156*J$227/100+$E169*$B$157*J$239/100</f>
        <v>51543.840449282012</v>
      </c>
      <c r="V169" s="14">
        <f t="shared" si="22"/>
        <v>250720.55689606175</v>
      </c>
    </row>
    <row r="170" spans="1:22" ht="9.9499999999999993" customHeight="1" x14ac:dyDescent="0.15">
      <c r="A170" s="2" t="s">
        <v>17</v>
      </c>
      <c r="B170" s="95"/>
      <c r="E170" s="14">
        <f>R55</f>
        <v>1047200.410055593</v>
      </c>
      <c r="F170" s="90"/>
      <c r="G170" s="16"/>
      <c r="I170" s="90"/>
      <c r="J170" s="91"/>
      <c r="L170" s="2" t="s">
        <v>17</v>
      </c>
      <c r="M170" s="14">
        <f>$E170*$B$156*B$227/100+$E170*$B$157*B$239/100</f>
        <v>35197.097206278464</v>
      </c>
      <c r="N170" s="14">
        <f>$E170*$B$156*C$227/100+$E170*$B$157*C$239/100</f>
        <v>70509.041899974982</v>
      </c>
      <c r="O170" s="14">
        <f>$E170*$B$156*D$227/100+$E170*$B$157*D$239/100</f>
        <v>198135.1523715122</v>
      </c>
      <c r="P170" s="14">
        <f>$E170*$B$156*E$227/100+$E170*$B$157*E$239/100</f>
        <v>174161.22135645908</v>
      </c>
      <c r="Q170" s="14">
        <f>$E170*$B$156*F$227/100+$E170*$B$157*F$239/100</f>
        <v>67811.278791964069</v>
      </c>
      <c r="R170" s="14">
        <f>$E170*$B$156*G$227/100+$E170*$B$157*G$239/100</f>
        <v>149542.26057578169</v>
      </c>
      <c r="S170" s="14">
        <f>$E170*$B$156*H$227/100+$E170*$B$157*H$239/100</f>
        <v>89205.388473605854</v>
      </c>
      <c r="T170" s="14">
        <f>$E170*$B$156*I$227/100+$E170*$B$157*I$239/100</f>
        <v>47352.550417950224</v>
      </c>
      <c r="U170" s="14">
        <f>$E170*$B$156*J$227/100+$E170*$B$157*J$239/100</f>
        <v>215286.41896206653</v>
      </c>
      <c r="V170" s="14">
        <f t="shared" si="22"/>
        <v>1047200.4100555931</v>
      </c>
    </row>
    <row r="171" spans="1:22" ht="9.9499999999999993" customHeight="1" x14ac:dyDescent="0.15">
      <c r="A171" s="2" t="s">
        <v>19</v>
      </c>
      <c r="B171" s="95"/>
      <c r="E171" s="14">
        <f>R56</f>
        <v>4248346.0110014901</v>
      </c>
      <c r="F171" s="90"/>
      <c r="G171" s="16"/>
      <c r="J171" s="91"/>
      <c r="L171" s="2" t="s">
        <v>19</v>
      </c>
      <c r="M171" s="14">
        <f>($E171*$B$156+$D$156)*B$227/100+($E171*$B$157+$D$157-$E$158)*B$239/100+M158</f>
        <v>138837.69296666817</v>
      </c>
      <c r="N171" s="14">
        <f>($E171*$B$156+$D$156)*C$227/100+($E171*$B$157+$D$157-$E$158)*C$239/100+N158</f>
        <v>289497.23073023977</v>
      </c>
      <c r="O171" s="14">
        <f>($E171*$B$156+$D$156)*D$227/100+($E171*$B$157+$D$157-$E$158)*D$239/100+O158</f>
        <v>773130.91247614997</v>
      </c>
      <c r="P171" s="14">
        <f>($E171*$B$156+$D$156)*E$227/100+($E171*$B$157+$D$157-$E$158)*E$239/100+P158</f>
        <v>683640.60376181756</v>
      </c>
      <c r="Q171" s="14">
        <f>($E171*$B$156+$D$156)*F$227/100+($E171*$B$157+$D$157-$E$158)*F$239/100+Q158</f>
        <v>285555.11564772285</v>
      </c>
      <c r="R171" s="14">
        <f>($E171*$B$156+$D$156)*G$227/100+($E171*$B$157+$D$157-$E$158)*G$239/100+R158</f>
        <v>592520.21093518171</v>
      </c>
      <c r="S171" s="14">
        <f>($E171*$B$156+$D$156)*H$227/100+($E171*$B$157+$D$157-$E$158)*H$239/100+S158</f>
        <v>367006.21819793369</v>
      </c>
      <c r="T171" s="14">
        <f>($E171*$B$156+$D$156)*I$227/100+($E171*$B$157+$D$157-$E$158)*I$239/100+T158</f>
        <v>198914.75113429668</v>
      </c>
      <c r="U171" s="14">
        <f>($E171*$B$156+$D$156)*J$227/100+($E171*$B$157+$D$157-$E$158)*J$239/100+U158</f>
        <v>919243.27515147976</v>
      </c>
      <c r="V171" s="14">
        <f t="shared" si="22"/>
        <v>4248346.0110014901</v>
      </c>
    </row>
    <row r="172" spans="1:22" ht="9.9499999999999993" customHeight="1" x14ac:dyDescent="0.15">
      <c r="A172" s="2" t="s">
        <v>71</v>
      </c>
      <c r="B172" s="95"/>
      <c r="E172" s="14">
        <f>R57</f>
        <v>79005</v>
      </c>
      <c r="F172" s="90"/>
      <c r="G172" s="16"/>
      <c r="J172" s="91"/>
      <c r="L172" s="2" t="s">
        <v>71</v>
      </c>
      <c r="M172" s="14">
        <f>B223</f>
        <v>841</v>
      </c>
      <c r="N172" s="14">
        <f t="shared" ref="N172:U172" si="23">C223</f>
        <v>2231</v>
      </c>
      <c r="O172" s="14">
        <f t="shared" si="23"/>
        <v>26585</v>
      </c>
      <c r="P172" s="14">
        <f t="shared" si="23"/>
        <v>2045</v>
      </c>
      <c r="Q172" s="14">
        <f t="shared" si="23"/>
        <v>1832</v>
      </c>
      <c r="R172" s="14">
        <f t="shared" si="23"/>
        <v>3085</v>
      </c>
      <c r="S172" s="14">
        <f t="shared" si="23"/>
        <v>1825</v>
      </c>
      <c r="T172" s="14">
        <f t="shared" si="23"/>
        <v>1449</v>
      </c>
      <c r="U172" s="14">
        <f t="shared" si="23"/>
        <v>39112</v>
      </c>
      <c r="V172" s="14">
        <f t="shared" si="22"/>
        <v>79005</v>
      </c>
    </row>
    <row r="173" spans="1:22" ht="9.9499999999999993" customHeight="1" x14ac:dyDescent="0.15">
      <c r="B173" s="95"/>
      <c r="E173" s="14">
        <f>R58</f>
        <v>0</v>
      </c>
      <c r="F173" s="90"/>
      <c r="G173" s="16"/>
      <c r="J173" s="91"/>
      <c r="L173" s="88" t="s">
        <v>138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f t="shared" si="22"/>
        <v>0</v>
      </c>
    </row>
    <row r="174" spans="1:22" ht="9.9499999999999993" customHeight="1" x14ac:dyDescent="0.15">
      <c r="A174" s="2" t="s">
        <v>20</v>
      </c>
      <c r="B174" s="95"/>
      <c r="E174" s="14">
        <f>R59</f>
        <v>37493.693194794185</v>
      </c>
      <c r="F174" s="90"/>
      <c r="G174" s="16"/>
      <c r="I174" s="14"/>
      <c r="J174" s="91"/>
      <c r="L174" s="2" t="s">
        <v>20</v>
      </c>
      <c r="M174" s="14">
        <f>$E174*$B$156*B$227/100+$E174*$B$157*B$239/100</f>
        <v>1260.1877838545677</v>
      </c>
      <c r="N174" s="14">
        <f>$E174*$B$156*C$227/100+$E174*$B$157*C$239/100</f>
        <v>2524.4875375060305</v>
      </c>
      <c r="O174" s="14">
        <f>$E174*$B$156*D$227/100+$E174*$B$157*D$239/100</f>
        <v>7093.979855992322</v>
      </c>
      <c r="P174" s="14">
        <f>$E174*$B$156*E$227/100+$E174*$B$157*E$239/100</f>
        <v>6235.6234177019242</v>
      </c>
      <c r="Q174" s="14">
        <f>$E174*$B$156*F$227/100+$E174*$B$157*F$239/100</f>
        <v>2427.8975234908285</v>
      </c>
      <c r="R174" s="14">
        <f>$E174*$B$156*G$227/100+$E174*$B$157*G$239/100</f>
        <v>5354.1725001680152</v>
      </c>
      <c r="S174" s="14">
        <f>$E174*$B$156*H$227/100+$E174*$B$157*H$239/100</f>
        <v>3193.8867046225178</v>
      </c>
      <c r="T174" s="14">
        <f>$E174*$B$156*I$227/100+$E174*$B$157*I$239/100</f>
        <v>1695.3984932715948</v>
      </c>
      <c r="U174" s="14">
        <f>$E174*$B$156*J$227/100+$E174*$B$157*J$239/100</f>
        <v>7708.0593781863863</v>
      </c>
      <c r="V174" s="14">
        <f t="shared" si="22"/>
        <v>37493.693194794185</v>
      </c>
    </row>
    <row r="175" spans="1:22" ht="9.9499999999999993" customHeight="1" x14ac:dyDescent="0.15">
      <c r="A175" s="2" t="s">
        <v>24</v>
      </c>
      <c r="B175" s="95"/>
      <c r="E175" s="14">
        <f>R61</f>
        <v>235.93026057821513</v>
      </c>
      <c r="F175" s="90"/>
      <c r="G175" s="16"/>
      <c r="I175" s="14"/>
      <c r="J175" s="91"/>
      <c r="L175" s="2" t="s">
        <v>24</v>
      </c>
      <c r="M175" s="14">
        <f>$E175*$B$156*B$227/100+$E175*$B$157*B$239/100</f>
        <v>7.9297718332952192</v>
      </c>
      <c r="N175" s="14">
        <f>$E175*$B$156*C$227/100+$E175*$B$157*C$239/100</f>
        <v>15.885418367720334</v>
      </c>
      <c r="O175" s="14">
        <f>$E175*$B$156*D$227/100+$E175*$B$157*D$239/100</f>
        <v>44.639094560928996</v>
      </c>
      <c r="P175" s="14">
        <f>$E175*$B$156*E$227/100+$E175*$B$157*E$239/100</f>
        <v>39.237859289100399</v>
      </c>
      <c r="Q175" s="14">
        <f>$E175*$B$156*F$227/100+$E175*$B$157*F$239/100</f>
        <v>15.277622623047623</v>
      </c>
      <c r="R175" s="14">
        <f>$E175*$B$156*G$227/100+$E175*$B$157*G$239/100</f>
        <v>33.691301269855806</v>
      </c>
      <c r="S175" s="14">
        <f>$E175*$B$156*H$227/100+$E175*$B$157*H$239/100</f>
        <v>20.097633982440332</v>
      </c>
      <c r="T175" s="14">
        <f>$E175*$B$156*I$227/100+$E175*$B$157*I$239/100</f>
        <v>10.668349106697715</v>
      </c>
      <c r="U175" s="14">
        <f>$E175*$B$156*J$227/100+$E175*$B$157*J$239/100</f>
        <v>48.503209545128719</v>
      </c>
      <c r="V175" s="14">
        <f t="shared" si="22"/>
        <v>235.93026057821515</v>
      </c>
    </row>
    <row r="176" spans="1:22" ht="9.9499999999999993" customHeight="1" x14ac:dyDescent="0.15">
      <c r="A176" s="2" t="s">
        <v>26</v>
      </c>
      <c r="B176" s="95"/>
      <c r="E176" s="14">
        <f>R62</f>
        <v>26176.576754362872</v>
      </c>
      <c r="F176" s="90"/>
      <c r="G176" s="16"/>
      <c r="I176" s="14"/>
      <c r="J176" s="91"/>
      <c r="L176" s="2" t="s">
        <v>26</v>
      </c>
      <c r="M176" s="14">
        <f>$E176*$B$156*B$227/100+$E176*$B$157*B$239/100</f>
        <v>879.81202805488567</v>
      </c>
      <c r="N176" s="14">
        <f>$E176*$B$156*C$227/100+$E176*$B$157*C$239/100</f>
        <v>1762.4948667402643</v>
      </c>
      <c r="O176" s="14">
        <f>$E176*$B$156*D$227/100+$E176*$B$157*D$239/100</f>
        <v>4952.729175798293</v>
      </c>
      <c r="P176" s="14">
        <f>$E176*$B$156*E$227/100+$E176*$B$157*E$239/100</f>
        <v>4353.4595046891845</v>
      </c>
      <c r="Q176" s="14">
        <f>$E176*$B$156*F$227/100+$E176*$B$157*F$239/100</f>
        <v>1695.0596343016264</v>
      </c>
      <c r="R176" s="14">
        <f>$E176*$B$156*G$227/100+$E176*$B$157*G$239/100</f>
        <v>3738.0662043238431</v>
      </c>
      <c r="S176" s="14">
        <f>$E176*$B$156*H$227/100+$E176*$B$157*H$239/100</f>
        <v>2229.8422306367665</v>
      </c>
      <c r="T176" s="14">
        <f>$E176*$B$156*I$227/100+$E176*$B$157*I$239/100</f>
        <v>1183.6585037858308</v>
      </c>
      <c r="U176" s="14">
        <f>$E176*$B$156*J$227/100+$E176*$B$157*J$239/100</f>
        <v>5381.4546060321782</v>
      </c>
      <c r="V176" s="14">
        <f t="shared" si="22"/>
        <v>26176.576754362872</v>
      </c>
    </row>
    <row r="177" spans="1:22" ht="9.9499999999999993" customHeight="1" x14ac:dyDescent="0.15">
      <c r="A177" s="2" t="s">
        <v>29</v>
      </c>
      <c r="B177" s="95"/>
      <c r="E177" s="14">
        <f>R64</f>
        <v>835942.34868028096</v>
      </c>
      <c r="F177" s="90"/>
      <c r="G177" s="16"/>
      <c r="I177" s="14"/>
      <c r="J177" s="91"/>
      <c r="L177" s="2" t="s">
        <v>29</v>
      </c>
      <c r="M177" s="14">
        <f>$E177*$B$156*B$227/100+$E177*$B$157*B$239/100</f>
        <v>28096.574278253582</v>
      </c>
      <c r="N177" s="14">
        <f>$E177*$B$156*C$227/100+$E177*$B$157*C$239/100</f>
        <v>56284.827166876654</v>
      </c>
      <c r="O177" s="14">
        <f>$E177*$B$156*D$227/100+$E177*$B$157*D$239/100</f>
        <v>158164.15180812852</v>
      </c>
      <c r="P177" s="14">
        <f>$E177*$B$156*E$227/100+$E177*$B$157*E$239/100</f>
        <v>139026.62664352451</v>
      </c>
      <c r="Q177" s="14">
        <f>$E177*$B$156*F$227/100+$E177*$B$157*F$239/100</f>
        <v>54131.300098859247</v>
      </c>
      <c r="R177" s="14">
        <f>$E177*$B$156*G$227/100+$E177*$B$157*G$239/100</f>
        <v>119374.19746239517</v>
      </c>
      <c r="S177" s="14">
        <f>$E177*$B$156*H$227/100+$E177*$B$157*H$239/100</f>
        <v>71209.446863761434</v>
      </c>
      <c r="T177" s="14">
        <f>$E177*$B$156*I$227/100+$E177*$B$157*I$239/100</f>
        <v>37799.834522869714</v>
      </c>
      <c r="U177" s="14">
        <f>$E177*$B$156*J$227/100+$E177*$B$157*J$239/100</f>
        <v>171855.38983561218</v>
      </c>
      <c r="V177" s="14">
        <f t="shared" si="22"/>
        <v>835942.34868028085</v>
      </c>
    </row>
    <row r="178" spans="1:22" ht="9.9499999999999993" customHeight="1" x14ac:dyDescent="0.15">
      <c r="A178" s="2" t="s">
        <v>30</v>
      </c>
      <c r="B178" s="97" t="s">
        <v>141</v>
      </c>
      <c r="C178" s="2" t="s">
        <v>160</v>
      </c>
      <c r="E178" s="14">
        <f>R65</f>
        <v>6546.5578918286392</v>
      </c>
      <c r="F178" s="90">
        <f>E178/$E$200</f>
        <v>4.858753906984754E-4</v>
      </c>
      <c r="G178" s="16"/>
      <c r="I178" s="14"/>
      <c r="J178" s="91"/>
      <c r="L178" s="2" t="s">
        <v>30</v>
      </c>
      <c r="M178" s="14">
        <f>$E178/100*B231</f>
        <v>35.197827877529562</v>
      </c>
      <c r="N178" s="14">
        <f>$E178/100*C231</f>
        <v>101.90710115502858</v>
      </c>
      <c r="O178" s="14">
        <f>$E178/100*D231</f>
        <v>405.13321540169056</v>
      </c>
      <c r="P178" s="14">
        <f>$E178/100*E231</f>
        <v>865.41723939736266</v>
      </c>
      <c r="Q178" s="14">
        <f>$E178/100*F231</f>
        <v>448.29443486949339</v>
      </c>
      <c r="R178" s="14">
        <f>$E178/100*G231</f>
        <v>400.43294215690867</v>
      </c>
      <c r="S178" s="14">
        <f>$E178/100*H231</f>
        <v>2707.4669054854003</v>
      </c>
      <c r="T178" s="14">
        <f>$E178/100*I231</f>
        <v>570.10136389593231</v>
      </c>
      <c r="U178" s="14">
        <f>$E178/100*J231</f>
        <v>1012.6068615892942</v>
      </c>
      <c r="V178" s="14">
        <f t="shared" si="22"/>
        <v>6546.5578918286401</v>
      </c>
    </row>
    <row r="179" spans="1:22" ht="9.9499999999999993" customHeight="1" x14ac:dyDescent="0.15">
      <c r="A179" s="2" t="s">
        <v>31</v>
      </c>
      <c r="B179" s="97"/>
      <c r="E179" s="14">
        <f>R66</f>
        <v>3539.5484009698375</v>
      </c>
      <c r="F179" s="90"/>
      <c r="G179" s="16"/>
      <c r="I179" s="14"/>
      <c r="J179" s="91"/>
      <c r="L179" s="2" t="s">
        <v>31</v>
      </c>
      <c r="M179" s="14">
        <f>$E179*$B$156*B$227/100+$E179*$B$157*B$239/100</f>
        <v>118.96655877803673</v>
      </c>
      <c r="N179" s="14">
        <f>$E179*$B$156*C$227/100+$E179*$B$157*C$239/100</f>
        <v>238.3213032715702</v>
      </c>
      <c r="O179" s="14">
        <f>$E179*$B$156*D$227/100+$E179*$B$157*D$239/100</f>
        <v>669.69889910114773</v>
      </c>
      <c r="P179" s="14">
        <f>$E179*$B$156*E$227/100+$E179*$B$157*E$239/100</f>
        <v>588.66676010037361</v>
      </c>
      <c r="Q179" s="14">
        <f>$E179*$B$156*F$227/100+$E179*$B$157*F$239/100</f>
        <v>229.20283559006074</v>
      </c>
      <c r="R179" s="14">
        <f>$E179*$B$156*G$227/100+$E179*$B$157*G$239/100</f>
        <v>505.45441370704123</v>
      </c>
      <c r="S179" s="14">
        <f>$E179*$B$156*H$227/100+$E179*$B$157*H$239/100</f>
        <v>301.51515134804288</v>
      </c>
      <c r="T179" s="14">
        <f>$E179*$B$156*I$227/100+$E179*$B$157*I$239/100</f>
        <v>160.05211849067317</v>
      </c>
      <c r="U179" s="14">
        <f>$E179*$B$156*J$227/100+$E179*$B$157*J$239/100</f>
        <v>727.67036058289136</v>
      </c>
      <c r="V179" s="14">
        <f>SUM(M179:U179)</f>
        <v>3539.5484009698375</v>
      </c>
    </row>
    <row r="180" spans="1:22" ht="9.9499999999999993" customHeight="1" x14ac:dyDescent="0.15">
      <c r="A180" s="2" t="s">
        <v>36</v>
      </c>
      <c r="B180" s="95"/>
      <c r="E180" s="14">
        <f>R71</f>
        <v>8808.2587530910241</v>
      </c>
      <c r="F180" s="90"/>
      <c r="G180" s="16"/>
      <c r="I180" s="14"/>
      <c r="J180" s="91"/>
      <c r="L180" s="2" t="s">
        <v>36</v>
      </c>
      <c r="M180" s="14">
        <f>$E180*$B$156*B$227/100+$E180*$B$157*B$239/100</f>
        <v>296.0513924303558</v>
      </c>
      <c r="N180" s="14">
        <f>$E180*$B$156*C$227/100+$E180*$B$157*C$239/100</f>
        <v>593.06879516457207</v>
      </c>
      <c r="O180" s="14">
        <f>$E180*$B$156*D$227/100+$E180*$B$157*D$239/100</f>
        <v>1666.5632226774501</v>
      </c>
      <c r="P180" s="14">
        <f>$E180*$B$156*E$227/100+$E180*$B$157*E$239/100</f>
        <v>1464.9126258273859</v>
      </c>
      <c r="Q180" s="14">
        <f>$E180*$B$156*F$227/100+$E180*$B$157*F$239/100</f>
        <v>570.37724989613423</v>
      </c>
      <c r="R180" s="14">
        <f>$E180*$B$156*G$227/100+$E180*$B$157*G$239/100</f>
        <v>1257.8365258696961</v>
      </c>
      <c r="S180" s="14">
        <f>$E180*$B$156*H$227/100+$E180*$B$157*H$239/100</f>
        <v>750.32833858784568</v>
      </c>
      <c r="T180" s="14">
        <f>$E180*$B$156*I$227/100+$E180*$B$157*I$239/100</f>
        <v>398.29388214043172</v>
      </c>
      <c r="U180" s="14">
        <f>$E180*$B$156*J$227/100+$E180*$B$157*J$239/100</f>
        <v>1810.8267204971535</v>
      </c>
      <c r="V180" s="14">
        <f t="shared" si="22"/>
        <v>8808.2587530910241</v>
      </c>
    </row>
    <row r="181" spans="1:22" ht="9.9499999999999993" customHeight="1" x14ac:dyDescent="0.15">
      <c r="A181" s="2" t="s">
        <v>37</v>
      </c>
      <c r="B181" s="95"/>
      <c r="E181" s="14">
        <f>R72</f>
        <v>329769.09734523983</v>
      </c>
      <c r="F181" s="90"/>
      <c r="G181" s="16"/>
      <c r="I181" s="14"/>
      <c r="J181" s="91"/>
      <c r="L181" s="2" t="s">
        <v>37</v>
      </c>
      <c r="M181" s="14">
        <f>$E181*$B$156*B$227/100+$E181*$B$157*B$239/100</f>
        <v>11083.757095044426</v>
      </c>
      <c r="N181" s="14">
        <f>$E181*$B$156*C$227/100+$E181*$B$157*C$239/100</f>
        <v>22203.680287709274</v>
      </c>
      <c r="O181" s="14">
        <f>$E181*$B$156*D$227/100+$E181*$B$157*D$239/100</f>
        <v>62393.835719035349</v>
      </c>
      <c r="P181" s="14">
        <f>$E181*$B$156*E$227/100+$E181*$B$157*E$239/100</f>
        <v>54844.314619982862</v>
      </c>
      <c r="Q181" s="14">
        <f>$E181*$B$156*F$227/100+$E181*$B$157*F$239/100</f>
        <v>21354.140031195417</v>
      </c>
      <c r="R181" s="14">
        <f>$E181*$B$156*G$227/100+$E181*$B$157*G$239/100</f>
        <v>47091.670144040727</v>
      </c>
      <c r="S181" s="14">
        <f>$E181*$B$156*H$227/100+$E181*$B$157*H$239/100</f>
        <v>28091.261379195585</v>
      </c>
      <c r="T181" s="14">
        <f>$E181*$B$156*I$227/100+$E181*$B$157*I$239/100</f>
        <v>14911.575337803224</v>
      </c>
      <c r="U181" s="14">
        <f>$E181*$B$156*J$227/100+$E181*$B$157*J$239/100</f>
        <v>67794.862731232963</v>
      </c>
      <c r="V181" s="14">
        <f t="shared" si="22"/>
        <v>329769.09734523983</v>
      </c>
    </row>
    <row r="182" spans="1:22" ht="9.9499999999999993" customHeight="1" x14ac:dyDescent="0.15">
      <c r="A182" s="2" t="s">
        <v>38</v>
      </c>
      <c r="B182" s="95"/>
      <c r="E182" s="14">
        <f>R73</f>
        <v>308767.30422011821</v>
      </c>
      <c r="F182" s="90"/>
      <c r="G182" s="16"/>
      <c r="I182" s="14"/>
      <c r="J182" s="91"/>
      <c r="L182" s="2" t="s">
        <v>38</v>
      </c>
      <c r="M182" s="14">
        <f>$E182*$B$156*B$227/100+$E182*$B$157*B$239/100</f>
        <v>10377.872961469828</v>
      </c>
      <c r="N182" s="14">
        <f>$E182*$B$156*C$227/100+$E182*$B$157*C$239/100</f>
        <v>20789.608733482903</v>
      </c>
      <c r="O182" s="14">
        <f>$E182*$B$156*D$227/100+$E182*$B$157*D$239/100</f>
        <v>58420.19949719694</v>
      </c>
      <c r="P182" s="14">
        <f>$E182*$B$156*E$227/100+$E182*$B$157*E$239/100</f>
        <v>51351.479909239497</v>
      </c>
      <c r="Q182" s="14">
        <f>$E182*$B$156*F$227/100+$E182*$B$157*F$239/100</f>
        <v>19994.172602741899</v>
      </c>
      <c r="R182" s="14">
        <f>$E182*$B$156*G$227/100+$E182*$B$157*G$239/100</f>
        <v>44092.573132697056</v>
      </c>
      <c r="S182" s="14">
        <f>$E182*$B$156*H$227/100+$E182*$B$157*H$239/100</f>
        <v>26302.231221855101</v>
      </c>
      <c r="T182" s="14">
        <f>$E182*$B$156*I$227/100+$E182*$B$157*I$239/100</f>
        <v>13961.91139738146</v>
      </c>
      <c r="U182" s="14">
        <f>$E182*$B$156*J$227/100+$E182*$B$157*J$239/100</f>
        <v>63477.254764053549</v>
      </c>
      <c r="V182" s="14">
        <f t="shared" si="22"/>
        <v>308767.30422011821</v>
      </c>
    </row>
    <row r="183" spans="1:22" ht="9.9499999999999993" customHeight="1" x14ac:dyDescent="0.15">
      <c r="A183" s="2" t="s">
        <v>39</v>
      </c>
      <c r="B183" s="95"/>
      <c r="E183" s="14">
        <f>R74</f>
        <v>15371.83562430948</v>
      </c>
      <c r="F183" s="90"/>
      <c r="G183" s="16"/>
      <c r="I183" s="14"/>
      <c r="J183" s="91"/>
      <c r="L183" s="2" t="s">
        <v>39</v>
      </c>
      <c r="M183" s="14">
        <f>$E183*$B$156*B$227/100+$E183*$B$157*B$239/100</f>
        <v>516.65754473781431</v>
      </c>
      <c r="N183" s="14">
        <f>$E183*$B$156*C$227/100+$E183*$B$157*C$239/100</f>
        <v>1035.000933638315</v>
      </c>
      <c r="O183" s="14">
        <f>$E183*$B$156*D$227/100+$E183*$B$157*D$239/100</f>
        <v>2908.4222698983763</v>
      </c>
      <c r="P183" s="14">
        <f>$E183*$B$156*E$227/100+$E183*$B$157*E$239/100</f>
        <v>2556.5093759639981</v>
      </c>
      <c r="Q183" s="14">
        <f>$E183*$B$156*F$227/100+$E183*$B$157*F$239/100</f>
        <v>995.40051842508137</v>
      </c>
      <c r="R183" s="14">
        <f>$E183*$B$156*G$227/100+$E183*$B$157*G$239/100</f>
        <v>2195.1281019232401</v>
      </c>
      <c r="S183" s="14">
        <f>$E183*$B$156*H$227/100+$E183*$B$157*H$239/100</f>
        <v>1309.4442622937329</v>
      </c>
      <c r="T183" s="14">
        <f>$E183*$B$156*I$227/100+$E183*$B$157*I$239/100</f>
        <v>695.08721962581751</v>
      </c>
      <c r="U183" s="14">
        <f>$E183*$B$156*J$227/100+$E183*$B$157*J$239/100</f>
        <v>3160.1853978031063</v>
      </c>
      <c r="V183" s="14">
        <f t="shared" si="22"/>
        <v>15371.835624309484</v>
      </c>
    </row>
    <row r="184" spans="1:22" ht="9.9499999999999993" customHeight="1" x14ac:dyDescent="0.15">
      <c r="A184" s="2" t="s">
        <v>40</v>
      </c>
      <c r="B184" s="95"/>
      <c r="E184" s="14">
        <f>R75</f>
        <v>101180.82611770683</v>
      </c>
      <c r="F184" s="90"/>
      <c r="G184" s="16"/>
      <c r="I184" s="14"/>
      <c r="J184" s="91"/>
      <c r="L184" s="2" t="s">
        <v>40</v>
      </c>
      <c r="M184" s="14">
        <f>$E184*$B$156*B$227/100+$E184*$B$157*B$239/100</f>
        <v>3400.7543714458898</v>
      </c>
      <c r="N184" s="14">
        <f>$E184*$B$156*C$227/100+$E184*$B$157*C$239/100</f>
        <v>6812.605342494795</v>
      </c>
      <c r="O184" s="14">
        <f>$E184*$B$156*D$227/100+$E184*$B$157*D$239/100</f>
        <v>19143.879440271667</v>
      </c>
      <c r="P184" s="14">
        <f>$E184*$B$156*E$227/100+$E184*$B$157*E$239/100</f>
        <v>16827.510842532847</v>
      </c>
      <c r="Q184" s="14">
        <f>$E184*$B$156*F$227/100+$E184*$B$157*F$239/100</f>
        <v>6551.9466401897371</v>
      </c>
      <c r="R184" s="14">
        <f>$E184*$B$156*G$227/100+$E184*$B$157*G$239/100</f>
        <v>14448.819270194635</v>
      </c>
      <c r="S184" s="14">
        <f>$E184*$B$156*H$227/100+$E184*$B$157*H$239/100</f>
        <v>8619.0521062069147</v>
      </c>
      <c r="T184" s="14">
        <f>$E184*$B$156*I$227/100+$E184*$B$157*I$239/100</f>
        <v>4575.218004177651</v>
      </c>
      <c r="U184" s="14">
        <f>$E184*$B$156*J$227/100+$E184*$B$157*J$239/100</f>
        <v>20801.040100192709</v>
      </c>
      <c r="V184" s="14">
        <f>SUM(M184:U184)</f>
        <v>101180.82611770685</v>
      </c>
    </row>
    <row r="185" spans="1:22" ht="9.9499999999999993" customHeight="1" x14ac:dyDescent="0.15">
      <c r="A185" s="2" t="s">
        <v>41</v>
      </c>
      <c r="B185" s="95"/>
      <c r="E185" s="14">
        <f>R76</f>
        <v>11766.175101489327</v>
      </c>
      <c r="F185" s="90"/>
      <c r="G185" s="16"/>
      <c r="I185" s="14"/>
      <c r="J185" s="91"/>
      <c r="L185" s="2" t="s">
        <v>41</v>
      </c>
      <c r="M185" s="14">
        <f>$E185*$B$156*B$227/100+$E185*$B$157*B$239/100</f>
        <v>395.46891389321354</v>
      </c>
      <c r="N185" s="14">
        <f>$E185*$B$156*C$227/100+$E185*$B$157*C$239/100</f>
        <v>792.22823565291651</v>
      </c>
      <c r="O185" s="14">
        <f>$E185*$B$156*D$227/100+$E185*$B$157*D$239/100</f>
        <v>2226.2146521120239</v>
      </c>
      <c r="P185" s="14">
        <f>$E185*$B$156*E$227/100+$E185*$B$157*E$239/100</f>
        <v>1956.8474254708829</v>
      </c>
      <c r="Q185" s="14">
        <f>$E185*$B$156*F$227/100+$E185*$B$157*F$239/100</f>
        <v>761.91660398586134</v>
      </c>
      <c r="R185" s="14">
        <f>$E185*$B$156*G$227/100+$E185*$B$157*G$239/100</f>
        <v>1680.2327482986591</v>
      </c>
      <c r="S185" s="14">
        <f>$E185*$B$156*H$227/100+$E185*$B$157*H$239/100</f>
        <v>1002.297373738713</v>
      </c>
      <c r="T185" s="14">
        <f>$E185*$B$156*I$227/100+$E185*$B$157*I$239/100</f>
        <v>532.04562791388321</v>
      </c>
      <c r="U185" s="14">
        <f>$E185*$B$156*J$227/100+$E185*$B$157*J$239/100</f>
        <v>2418.9235204231745</v>
      </c>
      <c r="V185" s="14">
        <f>SUM(M185:U185)</f>
        <v>11766.175101489327</v>
      </c>
    </row>
    <row r="186" spans="1:22" ht="9.9499999999999993" customHeight="1" x14ac:dyDescent="0.15">
      <c r="A186" s="2" t="s">
        <v>42</v>
      </c>
      <c r="B186" s="95"/>
      <c r="E186" s="14">
        <f>R77</f>
        <v>157117.79943983705</v>
      </c>
      <c r="F186" s="90"/>
      <c r="G186" s="16"/>
      <c r="I186" s="14"/>
      <c r="J186" s="91"/>
      <c r="L186" s="2" t="s">
        <v>42</v>
      </c>
      <c r="M186" s="14">
        <f>$E186*$B$156*B$227/100+$E186*$B$157*B$239/100</f>
        <v>5280.8329777362578</v>
      </c>
      <c r="N186" s="14">
        <f>$E186*$B$156*C$227/100+$E186*$B$157*C$239/100</f>
        <v>10578.897217340873</v>
      </c>
      <c r="O186" s="14">
        <f>$E186*$B$156*D$227/100+$E186*$B$157*D$239/100</f>
        <v>29727.413046597423</v>
      </c>
      <c r="P186" s="14">
        <f>$E186*$B$156*E$227/100+$E186*$B$157*E$239/100</f>
        <v>26130.459446466921</v>
      </c>
      <c r="Q186" s="14">
        <f>$E186*$B$156*F$227/100+$E186*$B$157*F$239/100</f>
        <v>10174.135531926571</v>
      </c>
      <c r="R186" s="14">
        <f>$E186*$B$156*G$227/100+$E186*$B$157*G$239/100</f>
        <v>22436.728136573394</v>
      </c>
      <c r="S186" s="14">
        <f>$E186*$B$156*H$227/100+$E186*$B$157*H$239/100</f>
        <v>13384.022963097099</v>
      </c>
      <c r="T186" s="14">
        <f>$E186*$B$156*I$227/100+$E186*$B$157*I$239/100</f>
        <v>7104.5890052099094</v>
      </c>
      <c r="U186" s="14">
        <f>$E186*$B$156*J$227/100+$E186*$B$157*J$239/100</f>
        <v>32300.721114888605</v>
      </c>
      <c r="V186" s="14">
        <f t="shared" si="22"/>
        <v>157117.79943983705</v>
      </c>
    </row>
    <row r="187" spans="1:22" ht="9.9499999999999993" customHeight="1" x14ac:dyDescent="0.15">
      <c r="A187" s="2" t="s">
        <v>43</v>
      </c>
      <c r="B187" s="95"/>
      <c r="E187" s="14">
        <f>R78</f>
        <v>95465.743814648798</v>
      </c>
      <c r="F187" s="90"/>
      <c r="G187" s="16"/>
      <c r="I187" s="14"/>
      <c r="J187" s="91"/>
      <c r="L187" s="2" t="s">
        <v>43</v>
      </c>
      <c r="M187" s="14">
        <f>$E187*$B$156*B$227/100+$E187*$B$157*B$239/100</f>
        <v>3208.6666818011381</v>
      </c>
      <c r="N187" s="14">
        <f>$E187*$B$156*C$227/100+$E187*$B$157*C$239/100</f>
        <v>6427.8031845709529</v>
      </c>
      <c r="O187" s="14">
        <f>$E187*$B$156*D$227/100+$E187*$B$157*D$239/100</f>
        <v>18062.559482736488</v>
      </c>
      <c r="P187" s="14">
        <f>$E187*$B$156*E$227/100+$E187*$B$157*E$239/100</f>
        <v>15877.02829449753</v>
      </c>
      <c r="Q187" s="14">
        <f>$E187*$B$156*F$227/100+$E187*$B$157*F$239/100</f>
        <v>6181.8674885294404</v>
      </c>
      <c r="R187" s="14">
        <f>$E187*$B$156*G$227/100+$E187*$B$157*G$239/100</f>
        <v>13632.694373021828</v>
      </c>
      <c r="S187" s="14">
        <f>$E187*$B$156*H$227/100+$E187*$B$157*H$239/100</f>
        <v>8132.2148856448457</v>
      </c>
      <c r="T187" s="14">
        <f>$E187*$B$156*I$227/100+$E187*$B$157*I$239/100</f>
        <v>4316.7920903796185</v>
      </c>
      <c r="U187" s="14">
        <f>$E187*$B$156*J$227/100+$E187*$B$157*J$239/100</f>
        <v>19626.117333466969</v>
      </c>
      <c r="V187" s="14">
        <f t="shared" si="22"/>
        <v>95465.743814648813</v>
      </c>
    </row>
    <row r="188" spans="1:22" ht="9.9499999999999993" customHeight="1" x14ac:dyDescent="0.15">
      <c r="A188" s="2" t="s">
        <v>44</v>
      </c>
      <c r="B188" s="95"/>
      <c r="E188" s="14">
        <f>R79</f>
        <v>212625.94987023986</v>
      </c>
      <c r="F188" s="90"/>
      <c r="G188" s="16"/>
      <c r="I188" s="14"/>
      <c r="J188" s="91"/>
      <c r="L188" s="2" t="s">
        <v>44</v>
      </c>
      <c r="M188" s="14">
        <f>$E188*$B$156*B$227/100+$E188*$B$157*B$239/100</f>
        <v>7146.4985635011626</v>
      </c>
      <c r="N188" s="14">
        <f>$E188*$B$156*C$227/100+$E188*$B$157*C$239/100</f>
        <v>14316.316021712439</v>
      </c>
      <c r="O188" s="14">
        <f>$E188*$B$156*D$227/100+$E188*$B$157*D$239/100</f>
        <v>40229.811381988475</v>
      </c>
      <c r="P188" s="14">
        <f>$E188*$B$156*E$227/100+$E188*$B$157*E$239/100</f>
        <v>35362.089974269904</v>
      </c>
      <c r="Q188" s="14">
        <f>$E188*$B$156*F$227/100+$E188*$B$157*F$239/100</f>
        <v>13768.556072558811</v>
      </c>
      <c r="R188" s="14">
        <f>$E188*$B$156*G$227/100+$E188*$B$157*G$239/100</f>
        <v>30363.400257817426</v>
      </c>
      <c r="S188" s="14">
        <f>$E188*$B$156*H$227/100+$E188*$B$157*H$239/100</f>
        <v>18112.464696931569</v>
      </c>
      <c r="T188" s="14">
        <f>$E188*$B$156*I$227/100+$E188*$B$157*I$239/100</f>
        <v>9614.5693935133077</v>
      </c>
      <c r="U188" s="14">
        <f>$E188*$B$156*J$227/100+$E188*$B$157*J$239/100</f>
        <v>43712.243507946798</v>
      </c>
      <c r="V188" s="14">
        <f t="shared" si="22"/>
        <v>212625.94987023989</v>
      </c>
    </row>
    <row r="189" spans="1:22" ht="9.9499999999999993" customHeight="1" x14ac:dyDescent="0.15">
      <c r="A189" s="2" t="s">
        <v>45</v>
      </c>
      <c r="B189" s="95"/>
      <c r="E189" s="14">
        <f>R80</f>
        <v>53148.306858241136</v>
      </c>
      <c r="F189" s="90"/>
      <c r="G189" s="16"/>
      <c r="I189" s="14"/>
      <c r="J189" s="91"/>
      <c r="L189" s="2" t="s">
        <v>45</v>
      </c>
      <c r="M189" s="14">
        <f>$E189*$B$156*B$227/100+$E189*$B$157*B$239/100</f>
        <v>1786.3496851947575</v>
      </c>
      <c r="N189" s="14">
        <f>$E189*$B$156*C$227/100+$E189*$B$157*C$239/100</f>
        <v>3578.5281968916624</v>
      </c>
      <c r="O189" s="14">
        <f>$E189*$B$156*D$227/100+$E189*$B$157*D$239/100</f>
        <v>10055.90503644518</v>
      </c>
      <c r="P189" s="14">
        <f>$E189*$B$156*E$227/100+$E189*$B$157*E$239/100</f>
        <v>8839.1619661109089</v>
      </c>
      <c r="Q189" s="14">
        <f>$E189*$B$156*F$227/100+$E189*$B$157*F$239/100</f>
        <v>3441.6092842187827</v>
      </c>
      <c r="R189" s="14">
        <f>$E189*$B$156*G$227/100+$E189*$B$157*G$239/100</f>
        <v>7589.6818574916033</v>
      </c>
      <c r="S189" s="14">
        <f>$E189*$B$156*H$227/100+$E189*$B$157*H$239/100</f>
        <v>4527.4193119845295</v>
      </c>
      <c r="T189" s="14">
        <f>$E189*$B$156*I$227/100+$E189*$B$157*I$239/100</f>
        <v>2403.272435693515</v>
      </c>
      <c r="U189" s="14">
        <f>$E189*$B$156*J$227/100+$E189*$B$157*J$239/100</f>
        <v>10926.379084210199</v>
      </c>
      <c r="V189" s="14">
        <f t="shared" si="22"/>
        <v>53148.306858241136</v>
      </c>
    </row>
    <row r="190" spans="1:22" ht="9.9499999999999993" customHeight="1" x14ac:dyDescent="0.15">
      <c r="A190" s="2" t="s">
        <v>46</v>
      </c>
      <c r="B190" s="95"/>
      <c r="D190" s="14"/>
      <c r="E190" s="14">
        <f>R81</f>
        <v>3461.7810041100001</v>
      </c>
      <c r="F190" s="90"/>
      <c r="G190" s="16"/>
      <c r="I190" s="14"/>
      <c r="J190" s="91"/>
      <c r="L190" s="2" t="s">
        <v>46</v>
      </c>
      <c r="M190" s="14">
        <f>$E190*$B$156*B$227/100+$E190*$B$157*B$239/100</f>
        <v>116.35274522289342</v>
      </c>
      <c r="N190" s="14">
        <f>$E190*$B$156*C$227/100+$E190*$B$157*C$239/100</f>
        <v>233.08514733523785</v>
      </c>
      <c r="O190" s="14">
        <f>$E190*$B$156*D$227/100+$E190*$B$157*D$239/100</f>
        <v>654.98494857324272</v>
      </c>
      <c r="P190" s="14">
        <f>$E190*$B$156*E$227/100+$E190*$B$157*E$239/100</f>
        <v>575.73316621636934</v>
      </c>
      <c r="Q190" s="14">
        <f>$E190*$B$156*F$227/100+$E190*$B$157*F$239/100</f>
        <v>224.16702145291026</v>
      </c>
      <c r="R190" s="14">
        <f>$E190*$B$156*G$227/100+$E190*$B$157*G$239/100</f>
        <v>494.34907779058881</v>
      </c>
      <c r="S190" s="14">
        <f>$E190*$B$156*H$227/100+$E190*$B$157*H$239/100</f>
        <v>294.89056375158219</v>
      </c>
      <c r="T190" s="14">
        <f>$E190*$B$156*I$227/100+$E190*$B$157*I$239/100</f>
        <v>156.53561434751427</v>
      </c>
      <c r="U190" s="14">
        <f>$E190*$B$156*J$227/100+$E190*$B$157*J$239/100</f>
        <v>711.68271941966123</v>
      </c>
      <c r="V190" s="14">
        <f t="shared" si="22"/>
        <v>3461.7810041100001</v>
      </c>
    </row>
    <row r="191" spans="1:22" ht="9.9499999999999993" customHeight="1" x14ac:dyDescent="0.15">
      <c r="A191" s="2" t="s">
        <v>22</v>
      </c>
      <c r="B191" s="97" t="s">
        <v>141</v>
      </c>
      <c r="C191" s="2" t="s">
        <v>161</v>
      </c>
      <c r="E191" s="14">
        <f>R60</f>
        <v>0</v>
      </c>
      <c r="F191" s="90">
        <f t="shared" ref="F191:F198" si="24">E191/$E$200</f>
        <v>0</v>
      </c>
      <c r="G191" s="16"/>
      <c r="I191" s="14"/>
      <c r="J191" s="91"/>
      <c r="L191" s="2" t="s">
        <v>22</v>
      </c>
      <c r="M191" s="14">
        <f>$E191/100*B227</f>
        <v>0</v>
      </c>
      <c r="N191" s="14">
        <f>$E191/100*C227</f>
        <v>0</v>
      </c>
      <c r="O191" s="14">
        <f>$E191/100*D227</f>
        <v>0</v>
      </c>
      <c r="P191" s="14">
        <f>$E191/100*E227</f>
        <v>0</v>
      </c>
      <c r="Q191" s="14">
        <f>$E191/100*F227</f>
        <v>0</v>
      </c>
      <c r="R191" s="14">
        <f>$E191/100*G227</f>
        <v>0</v>
      </c>
      <c r="S191" s="14">
        <f>$E191/100*H227</f>
        <v>0</v>
      </c>
      <c r="T191" s="14">
        <f>$E191/100*I227</f>
        <v>0</v>
      </c>
      <c r="U191" s="14">
        <f>$E191/100*J227</f>
        <v>0</v>
      </c>
      <c r="V191" s="14">
        <f t="shared" si="22"/>
        <v>0</v>
      </c>
    </row>
    <row r="192" spans="1:22" ht="9.9499999999999993" customHeight="1" x14ac:dyDescent="0.2">
      <c r="A192" s="2" t="s">
        <v>143</v>
      </c>
      <c r="B192" s="97" t="s">
        <v>141</v>
      </c>
      <c r="C192" s="2" t="s">
        <v>161</v>
      </c>
      <c r="E192" s="14">
        <f>R63</f>
        <v>8.3473519548772845</v>
      </c>
      <c r="F192" s="90">
        <f t="shared" si="24"/>
        <v>6.1952753788919613E-7</v>
      </c>
      <c r="G192" s="16"/>
      <c r="H192" s="107"/>
      <c r="I192" s="107"/>
      <c r="J192" s="107"/>
      <c r="L192" s="2" t="s">
        <v>143</v>
      </c>
      <c r="M192" s="14">
        <f>$E192/100*B227</f>
        <v>0.28332663422493071</v>
      </c>
      <c r="N192" s="14">
        <f>$E192/100*C227</f>
        <v>0.5583513146849145</v>
      </c>
      <c r="O192" s="14">
        <f>$E192/100*D227</f>
        <v>1.6048267627718003</v>
      </c>
      <c r="P192" s="14">
        <f>$E192/100*E227</f>
        <v>1.4082393727533606</v>
      </c>
      <c r="Q192" s="14">
        <f>$E192/100*F227</f>
        <v>0.52806355912037339</v>
      </c>
      <c r="R192" s="14">
        <f>$E192/100*G227</f>
        <v>1.2053746035533446</v>
      </c>
      <c r="S192" s="14">
        <f>$E192/100*H227</f>
        <v>0.70372934679970878</v>
      </c>
      <c r="T192" s="14">
        <f>$E192/100*I227</f>
        <v>0.36745928857087845</v>
      </c>
      <c r="U192" s="14">
        <f>$E192/100*J227</f>
        <v>1.6879810723979733</v>
      </c>
      <c r="V192" s="14">
        <f t="shared" si="22"/>
        <v>8.3473519548772845</v>
      </c>
    </row>
    <row r="193" spans="1:23" ht="9.9499999999999993" customHeight="1" x14ac:dyDescent="0.15">
      <c r="A193" s="2" t="s">
        <v>32</v>
      </c>
      <c r="B193" s="97" t="s">
        <v>141</v>
      </c>
      <c r="C193" s="2" t="s">
        <v>60</v>
      </c>
      <c r="E193" s="14">
        <f>R67</f>
        <v>9692.3398503737899</v>
      </c>
      <c r="F193" s="90">
        <f t="shared" si="24"/>
        <v>7.1935045704870954E-4</v>
      </c>
      <c r="G193" s="16"/>
      <c r="L193" s="2" t="s">
        <v>32</v>
      </c>
      <c r="M193" s="14">
        <f>$E$193/100*B237</f>
        <v>0</v>
      </c>
      <c r="N193" s="14">
        <f>$E$193/100*C237</f>
        <v>2941.8189913854526</v>
      </c>
      <c r="O193" s="14">
        <f>$E$193/100*D237</f>
        <v>0</v>
      </c>
      <c r="P193" s="14">
        <f>$E$193/100*E237</f>
        <v>0</v>
      </c>
      <c r="Q193" s="14">
        <f>$E$193/100*F237</f>
        <v>0</v>
      </c>
      <c r="R193" s="14">
        <f>$E$193/100*G237</f>
        <v>5532.5814333903672</v>
      </c>
      <c r="S193" s="14">
        <f>$E$193/100*H237</f>
        <v>0</v>
      </c>
      <c r="T193" s="14">
        <f>$E$193/100*I237</f>
        <v>1217.9394255979705</v>
      </c>
      <c r="U193" s="14">
        <f>$E$193/100*J237</f>
        <v>0</v>
      </c>
      <c r="V193" s="14">
        <f t="shared" si="22"/>
        <v>9692.3398503737917</v>
      </c>
    </row>
    <row r="194" spans="1:23" ht="9.9499999999999993" customHeight="1" x14ac:dyDescent="0.15">
      <c r="A194" s="2" t="s">
        <v>92</v>
      </c>
      <c r="B194" s="97" t="s">
        <v>141</v>
      </c>
      <c r="C194" s="2" t="s">
        <v>161</v>
      </c>
      <c r="E194" s="14">
        <f>R68</f>
        <v>651536.21523718408</v>
      </c>
      <c r="F194" s="90">
        <f t="shared" si="24"/>
        <v>4.8356009121634312E-2</v>
      </c>
      <c r="G194" s="16"/>
      <c r="L194" s="2" t="s">
        <v>92</v>
      </c>
      <c r="M194" s="14">
        <f>$E$194*B227/100</f>
        <v>22114.505766219987</v>
      </c>
      <c r="N194" s="14">
        <f>$E$194*C227/100</f>
        <v>43581.018784041822</v>
      </c>
      <c r="O194" s="14">
        <f>$E$194*D227/100</f>
        <v>125261.61120075265</v>
      </c>
      <c r="P194" s="14">
        <f>$E$194*E227/100</f>
        <v>109917.3673317575</v>
      </c>
      <c r="Q194" s="14">
        <f>$E$194*F227/100</f>
        <v>41216.96731775377</v>
      </c>
      <c r="R194" s="14">
        <f>$E$194*G227/100</f>
        <v>94083.154919962006</v>
      </c>
      <c r="S194" s="14">
        <f>$E$194*H227/100</f>
        <v>54928.216474365567</v>
      </c>
      <c r="T194" s="14">
        <f>$E$194*I227/100</f>
        <v>28681.315394797923</v>
      </c>
      <c r="U194" s="14">
        <f>$E$194*J227/100</f>
        <v>131752.05804753286</v>
      </c>
      <c r="V194" s="14">
        <f t="shared" si="22"/>
        <v>651536.21523718408</v>
      </c>
    </row>
    <row r="195" spans="1:23" ht="9.9499999999999993" customHeight="1" x14ac:dyDescent="0.15">
      <c r="A195" s="2" t="s">
        <v>34</v>
      </c>
      <c r="B195" s="71"/>
      <c r="E195" s="14">
        <f>R69</f>
        <v>0</v>
      </c>
      <c r="F195" s="90">
        <f t="shared" si="24"/>
        <v>0</v>
      </c>
      <c r="G195" s="16"/>
      <c r="L195" s="2" t="s">
        <v>34</v>
      </c>
      <c r="M195" s="14">
        <v>0</v>
      </c>
      <c r="N195" s="14">
        <v>0</v>
      </c>
      <c r="O195" s="14">
        <v>0</v>
      </c>
      <c r="P195" s="14">
        <v>0</v>
      </c>
      <c r="Q195" s="14">
        <v>0</v>
      </c>
      <c r="R195" s="14">
        <v>0</v>
      </c>
      <c r="S195" s="14">
        <v>0</v>
      </c>
      <c r="T195" s="14">
        <v>0</v>
      </c>
      <c r="U195" s="14">
        <v>0</v>
      </c>
      <c r="V195" s="14">
        <f t="shared" si="22"/>
        <v>0</v>
      </c>
    </row>
    <row r="196" spans="1:23" ht="9.9499999999999993" customHeight="1" x14ac:dyDescent="0.15">
      <c r="A196" s="2" t="s">
        <v>35</v>
      </c>
      <c r="B196" s="71"/>
      <c r="E196" s="14">
        <f>R70</f>
        <v>0</v>
      </c>
      <c r="F196" s="90">
        <f t="shared" si="24"/>
        <v>0</v>
      </c>
      <c r="G196" s="16"/>
      <c r="L196" s="2" t="s">
        <v>35</v>
      </c>
      <c r="M196" s="14">
        <v>0</v>
      </c>
      <c r="N196" s="14">
        <v>0</v>
      </c>
      <c r="O196" s="14">
        <v>0</v>
      </c>
      <c r="P196" s="14">
        <v>0</v>
      </c>
      <c r="Q196" s="14">
        <v>0</v>
      </c>
      <c r="R196" s="14">
        <v>0</v>
      </c>
      <c r="S196" s="14">
        <v>0</v>
      </c>
      <c r="T196" s="14">
        <v>0</v>
      </c>
      <c r="U196" s="14">
        <v>0</v>
      </c>
      <c r="V196" s="14">
        <f t="shared" si="22"/>
        <v>0</v>
      </c>
    </row>
    <row r="197" spans="1:23" ht="9.9499999999999993" customHeight="1" x14ac:dyDescent="0.15">
      <c r="A197" s="2" t="s">
        <v>113</v>
      </c>
      <c r="B197" s="97" t="s">
        <v>141</v>
      </c>
      <c r="C197" s="89" t="s">
        <v>147</v>
      </c>
      <c r="E197" s="14">
        <f>R82</f>
        <v>548.06284120000009</v>
      </c>
      <c r="F197" s="90">
        <f t="shared" si="24"/>
        <v>4.0676375508379431E-5</v>
      </c>
      <c r="G197" s="16"/>
      <c r="L197" s="2" t="s">
        <v>113</v>
      </c>
      <c r="M197" s="14">
        <f>$E197/100*B232</f>
        <v>0</v>
      </c>
      <c r="N197" s="14">
        <f>$E197/100*C232</f>
        <v>50.75</v>
      </c>
      <c r="O197" s="14">
        <f>$E197/100*D232</f>
        <v>50.75</v>
      </c>
      <c r="P197" s="14">
        <f>$E197/100*E232</f>
        <v>50.75</v>
      </c>
      <c r="Q197" s="14">
        <f>$E197/100*F232</f>
        <v>60.558560300000011</v>
      </c>
      <c r="R197" s="14">
        <f>$E197/100*G232</f>
        <v>50.75</v>
      </c>
      <c r="S197" s="14">
        <f>$E197/100*H232</f>
        <v>152.25</v>
      </c>
      <c r="T197" s="14">
        <f>$E197/100*I232</f>
        <v>81.504280899999998</v>
      </c>
      <c r="U197" s="14">
        <f>$E197/100*J232</f>
        <v>50.75</v>
      </c>
      <c r="V197" s="14">
        <f t="shared" si="22"/>
        <v>548.06284119999998</v>
      </c>
    </row>
    <row r="198" spans="1:23" ht="9.9499999999999993" customHeight="1" x14ac:dyDescent="0.15">
      <c r="A198" s="2" t="s">
        <v>116</v>
      </c>
      <c r="B198" s="97" t="s">
        <v>141</v>
      </c>
      <c r="C198" s="89" t="s">
        <v>148</v>
      </c>
      <c r="E198" s="14">
        <f>R83</f>
        <v>7877.7410239999999</v>
      </c>
      <c r="F198" s="90">
        <f t="shared" si="24"/>
        <v>5.8467374169790629E-4</v>
      </c>
      <c r="L198" s="2" t="s">
        <v>116</v>
      </c>
      <c r="M198" s="14">
        <f>$E198/100*B233</f>
        <v>0</v>
      </c>
      <c r="N198" s="14">
        <f>$E198/100*C233</f>
        <v>807.53086399999995</v>
      </c>
      <c r="O198" s="14">
        <f>$E198/100*D233</f>
        <v>525.06309999999996</v>
      </c>
      <c r="P198" s="14">
        <f>$E198/100*E233</f>
        <v>582.08788800000002</v>
      </c>
      <c r="Q198" s="14">
        <f>$E198/100*F233</f>
        <v>475.23581399999995</v>
      </c>
      <c r="R198" s="14">
        <f>$E198/100*G233</f>
        <v>261.708054</v>
      </c>
      <c r="S198" s="14">
        <f>$E198/100*H233</f>
        <v>1342.4121520000001</v>
      </c>
      <c r="T198" s="14">
        <f>$E198/100*I233</f>
        <v>2042.2470020000001</v>
      </c>
      <c r="U198" s="14">
        <f>$E198/100*J233</f>
        <v>1841.45615</v>
      </c>
      <c r="V198" s="14">
        <f t="shared" si="22"/>
        <v>7877.7410239999999</v>
      </c>
    </row>
    <row r="199" spans="1:23" ht="9.9499999999999993" customHeight="1" x14ac:dyDescent="0.15">
      <c r="E199" s="14"/>
      <c r="F199" s="87"/>
    </row>
    <row r="200" spans="1:23" ht="9.9499999999999993" customHeight="1" x14ac:dyDescent="0.15">
      <c r="A200" s="2" t="s">
        <v>49</v>
      </c>
      <c r="E200" s="14">
        <f>SUM(E166:E198)</f>
        <v>13473738.364105176</v>
      </c>
      <c r="F200" s="90">
        <f>SUM(F156:F198)</f>
        <v>1.0000000000000002</v>
      </c>
      <c r="L200" s="2" t="s">
        <v>49</v>
      </c>
      <c r="M200" s="14">
        <f t="shared" ref="M200:U200" si="25">SUM(M166:M198)</f>
        <v>446516.95797347149</v>
      </c>
      <c r="N200" s="14">
        <f t="shared" si="25"/>
        <v>909517.30366290128</v>
      </c>
      <c r="O200" s="14">
        <f t="shared" si="25"/>
        <v>2528556.8749581818</v>
      </c>
      <c r="P200" s="14">
        <f t="shared" si="25"/>
        <v>2205788.6385008465</v>
      </c>
      <c r="Q200" s="14">
        <f t="shared" si="25"/>
        <v>878073.59565100959</v>
      </c>
      <c r="R200" s="14">
        <f t="shared" si="25"/>
        <v>1905492.9914330037</v>
      </c>
      <c r="S200" s="14">
        <f t="shared" si="25"/>
        <v>1149491.3268504229</v>
      </c>
      <c r="T200" s="14">
        <f t="shared" si="25"/>
        <v>615963.69851116557</v>
      </c>
      <c r="U200" s="14">
        <f t="shared" si="25"/>
        <v>2834336.9765641792</v>
      </c>
      <c r="V200" s="82">
        <f>SUM(M200:U200)</f>
        <v>13473738.364105184</v>
      </c>
    </row>
    <row r="201" spans="1:23" ht="9.9499999999999993" customHeight="1" x14ac:dyDescent="0.15">
      <c r="E201" s="14"/>
      <c r="F201" s="87"/>
      <c r="L201" s="88" t="s">
        <v>162</v>
      </c>
      <c r="M201" s="14">
        <v>0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  <c r="S201" s="14">
        <v>0</v>
      </c>
      <c r="T201" s="14">
        <v>0</v>
      </c>
      <c r="U201" s="14">
        <v>0</v>
      </c>
      <c r="V201" s="14">
        <f>SUM(M201:U201)</f>
        <v>0</v>
      </c>
    </row>
    <row r="202" spans="1:23" ht="9.9499999999999993" customHeight="1" x14ac:dyDescent="0.15">
      <c r="E202" s="14"/>
      <c r="F202" s="87"/>
      <c r="L202" s="2" t="s">
        <v>163</v>
      </c>
      <c r="M202" s="82">
        <f>M200+M201</f>
        <v>446516.95797347149</v>
      </c>
      <c r="N202" s="82">
        <f t="shared" ref="N202:U202" si="26">N200+N201</f>
        <v>909517.30366290128</v>
      </c>
      <c r="O202" s="82">
        <f t="shared" si="26"/>
        <v>2528556.8749581818</v>
      </c>
      <c r="P202" s="82">
        <f t="shared" si="26"/>
        <v>2205788.6385008465</v>
      </c>
      <c r="Q202" s="82">
        <f t="shared" si="26"/>
        <v>878073.59565100959</v>
      </c>
      <c r="R202" s="82">
        <f t="shared" si="26"/>
        <v>1905492.9914330037</v>
      </c>
      <c r="S202" s="82">
        <f t="shared" si="26"/>
        <v>1149491.3268504229</v>
      </c>
      <c r="T202" s="82">
        <f t="shared" si="26"/>
        <v>615963.69851116557</v>
      </c>
      <c r="U202" s="82">
        <f t="shared" si="26"/>
        <v>2834336.9765641792</v>
      </c>
      <c r="V202" s="82">
        <f>SUM(M202:U202)</f>
        <v>13473738.364105184</v>
      </c>
    </row>
    <row r="203" spans="1:23" ht="9.9499999999999993" customHeight="1" x14ac:dyDescent="0.15">
      <c r="E203" s="14"/>
      <c r="F203" s="87"/>
      <c r="L203" s="88"/>
      <c r="M203" s="14"/>
      <c r="N203" s="14"/>
      <c r="O203" s="14"/>
      <c r="P203" s="14"/>
      <c r="Q203" s="14"/>
      <c r="R203" s="14"/>
      <c r="S203" s="14"/>
      <c r="T203" s="14"/>
      <c r="U203" s="14"/>
      <c r="V203" s="14"/>
    </row>
    <row r="204" spans="1:23" ht="9.9499999999999993" customHeight="1" x14ac:dyDescent="0.2">
      <c r="A204" s="111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4"/>
    </row>
    <row r="205" spans="1:23" ht="9.9499999999999993" customHeight="1" x14ac:dyDescent="0.2">
      <c r="A205" s="111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84"/>
    </row>
    <row r="206" spans="1:23" ht="9.9499999999999993" customHeight="1" x14ac:dyDescent="0.15">
      <c r="A206" s="111"/>
    </row>
    <row r="207" spans="1:23" ht="9.9499999999999993" customHeight="1" x14ac:dyDescent="0.15">
      <c r="A207" s="1" t="s">
        <v>164</v>
      </c>
      <c r="B207" s="20" t="s">
        <v>121</v>
      </c>
      <c r="C207" s="20" t="s">
        <v>122</v>
      </c>
      <c r="D207" s="20" t="s">
        <v>123</v>
      </c>
      <c r="E207" s="20" t="s">
        <v>124</v>
      </c>
      <c r="F207" s="20" t="s">
        <v>125</v>
      </c>
      <c r="G207" s="20" t="s">
        <v>126</v>
      </c>
      <c r="H207" s="20" t="s">
        <v>127</v>
      </c>
      <c r="I207" s="20" t="s">
        <v>128</v>
      </c>
      <c r="J207" s="20" t="s">
        <v>129</v>
      </c>
      <c r="K207" s="57" t="s">
        <v>49</v>
      </c>
    </row>
    <row r="208" spans="1:23" ht="9.9499999999999993" customHeight="1" x14ac:dyDescent="0.15">
      <c r="A208" s="2" t="s">
        <v>165</v>
      </c>
      <c r="K208" s="14"/>
    </row>
    <row r="209" spans="1:11" ht="9.9499999999999993" customHeight="1" x14ac:dyDescent="0.15">
      <c r="A209" s="2" t="s">
        <v>166</v>
      </c>
      <c r="B209" s="14">
        <v>283806</v>
      </c>
      <c r="C209" s="14">
        <v>559296</v>
      </c>
      <c r="D209" s="14">
        <v>1607542</v>
      </c>
      <c r="E209" s="14">
        <v>1410622</v>
      </c>
      <c r="F209" s="14">
        <v>528957</v>
      </c>
      <c r="G209" s="14">
        <v>1207414</v>
      </c>
      <c r="H209" s="14">
        <v>704920</v>
      </c>
      <c r="I209" s="14">
        <v>368081</v>
      </c>
      <c r="J209" s="14">
        <v>1690837</v>
      </c>
      <c r="K209" s="14">
        <f>SUM(B209:J209)</f>
        <v>8361475</v>
      </c>
    </row>
    <row r="210" spans="1:11" ht="9.9499999999999993" customHeight="1" x14ac:dyDescent="0.15">
      <c r="A210" s="2" t="s">
        <v>180</v>
      </c>
      <c r="B210" s="133">
        <v>463193.28358208953</v>
      </c>
      <c r="C210" s="133">
        <v>1025103.5671641792</v>
      </c>
      <c r="D210" s="133">
        <v>2705872.1044776128</v>
      </c>
      <c r="E210" s="133">
        <v>2492634.8805970163</v>
      </c>
      <c r="F210" s="133">
        <v>968506.3930348258</v>
      </c>
      <c r="G210" s="133">
        <v>2151688.8109452729</v>
      </c>
      <c r="H210" s="133">
        <v>1226854.2587064677</v>
      </c>
      <c r="I210" s="133">
        <v>645870.63184079621</v>
      </c>
      <c r="J210" s="133">
        <v>3945286.3333333335</v>
      </c>
      <c r="K210" s="134">
        <f t="shared" ref="K210:K223" si="27">SUM(B210:J210)</f>
        <v>15625010.263681596</v>
      </c>
    </row>
    <row r="211" spans="1:11" ht="9.9499999999999993" customHeight="1" x14ac:dyDescent="0.15">
      <c r="A211" s="2" t="s">
        <v>145</v>
      </c>
      <c r="B211" s="14">
        <v>15256.435530000001</v>
      </c>
      <c r="C211" s="14">
        <v>40266.24467</v>
      </c>
      <c r="D211" s="14">
        <v>104750.55678</v>
      </c>
      <c r="E211" s="14">
        <v>94990.456420000002</v>
      </c>
      <c r="F211" s="14">
        <v>64781.783649999998</v>
      </c>
      <c r="G211" s="14">
        <v>88061.059959999999</v>
      </c>
      <c r="H211" s="14">
        <v>83608.275629999989</v>
      </c>
      <c r="I211" s="14">
        <v>43663.708899999991</v>
      </c>
      <c r="J211" s="14">
        <v>218616.55273000002</v>
      </c>
      <c r="K211" s="14">
        <f t="shared" si="27"/>
        <v>753995.07426999998</v>
      </c>
    </row>
    <row r="212" spans="1:11" ht="9.9499999999999993" customHeight="1" x14ac:dyDescent="0.15">
      <c r="A212" s="2" t="s">
        <v>167</v>
      </c>
      <c r="B212" s="14">
        <v>141.56399999999999</v>
      </c>
      <c r="C212" s="14">
        <v>514.73054999999988</v>
      </c>
      <c r="D212" s="14">
        <v>901.16623999999979</v>
      </c>
      <c r="E212" s="14">
        <v>1151.5383200000003</v>
      </c>
      <c r="F212" s="14">
        <v>482.86374999999998</v>
      </c>
      <c r="G212" s="14">
        <v>767.79330000000027</v>
      </c>
      <c r="H212" s="14">
        <v>637.40582999999992</v>
      </c>
      <c r="I212" s="14">
        <v>118.98271000000003</v>
      </c>
      <c r="J212" s="14">
        <v>870.82633000000021</v>
      </c>
      <c r="K212" s="14">
        <f t="shared" si="27"/>
        <v>5586.8710300000002</v>
      </c>
    </row>
    <row r="213" spans="1:11" ht="9.9499999999999993" customHeight="1" x14ac:dyDescent="0.15">
      <c r="A213" s="2" t="s">
        <v>168</v>
      </c>
      <c r="B213" s="14">
        <v>177.37034</v>
      </c>
      <c r="C213" s="14">
        <v>513.53444999999999</v>
      </c>
      <c r="D213" s="14">
        <v>2041.56394</v>
      </c>
      <c r="E213" s="14">
        <v>4361.0461000000005</v>
      </c>
      <c r="F213" s="14">
        <v>2259.0637299999994</v>
      </c>
      <c r="G213" s="14">
        <v>2017.8781299999998</v>
      </c>
      <c r="H213" s="14">
        <v>13643.578439999997</v>
      </c>
      <c r="I213" s="14">
        <v>2872.8782099999999</v>
      </c>
      <c r="J213" s="14">
        <v>5102.77009</v>
      </c>
      <c r="K213" s="14">
        <f t="shared" si="27"/>
        <v>32989.683429999997</v>
      </c>
    </row>
    <row r="214" spans="1:11" ht="9.9499999999999993" customHeight="1" x14ac:dyDescent="0.15">
      <c r="A214" s="49" t="s">
        <v>169</v>
      </c>
      <c r="B214" s="14">
        <v>0</v>
      </c>
      <c r="C214" s="14">
        <v>725</v>
      </c>
      <c r="D214" s="14">
        <v>725</v>
      </c>
      <c r="E214" s="14">
        <v>725</v>
      </c>
      <c r="F214" s="14">
        <v>865.12229000000002</v>
      </c>
      <c r="G214" s="14">
        <v>725</v>
      </c>
      <c r="H214" s="14">
        <v>2175</v>
      </c>
      <c r="I214" s="14">
        <v>1164.3468699999999</v>
      </c>
      <c r="J214" s="14">
        <v>725</v>
      </c>
      <c r="K214" s="14">
        <f t="shared" si="27"/>
        <v>7829.4691600000006</v>
      </c>
    </row>
    <row r="215" spans="1:11" ht="9.9499999999999993" customHeight="1" x14ac:dyDescent="0.15">
      <c r="A215" s="49" t="s">
        <v>170</v>
      </c>
      <c r="B215" s="14">
        <v>0</v>
      </c>
      <c r="C215" s="14">
        <v>4037.6543199999996</v>
      </c>
      <c r="D215" s="14">
        <v>2625.3154999999997</v>
      </c>
      <c r="E215" s="14">
        <v>2910.4394400000001</v>
      </c>
      <c r="F215" s="14">
        <v>2376.1790700000001</v>
      </c>
      <c r="G215" s="14">
        <v>1308.54027</v>
      </c>
      <c r="H215" s="14">
        <v>6712.0607600000003</v>
      </c>
      <c r="I215" s="14">
        <v>10211.23501</v>
      </c>
      <c r="J215" s="14">
        <v>9207.2807499999999</v>
      </c>
      <c r="K215" s="14">
        <f t="shared" si="27"/>
        <v>39388.705119999999</v>
      </c>
    </row>
    <row r="216" spans="1:11" ht="9.9499999999999993" customHeight="1" x14ac:dyDescent="0.15">
      <c r="A216" s="2" t="s">
        <v>171</v>
      </c>
      <c r="B216" s="2">
        <v>2.5720000000000001</v>
      </c>
      <c r="C216" s="2">
        <v>6.8970000000000002</v>
      </c>
      <c r="D216" s="2">
        <v>14.451000000000001</v>
      </c>
      <c r="E216" s="2">
        <v>13.692</v>
      </c>
      <c r="F216" s="2">
        <v>6.4290000000000003</v>
      </c>
      <c r="G216" s="2">
        <v>12.884</v>
      </c>
      <c r="H216" s="2">
        <v>7.9820000000000002</v>
      </c>
      <c r="I216" s="2">
        <v>3.7170000000000001</v>
      </c>
      <c r="J216" s="2">
        <v>31.376000000000001</v>
      </c>
      <c r="K216" s="113">
        <f t="shared" si="27"/>
        <v>100.00000000000001</v>
      </c>
    </row>
    <row r="217" spans="1:11" ht="9.9499999999999993" customHeight="1" x14ac:dyDescent="0.15">
      <c r="A217" s="2" t="s">
        <v>172</v>
      </c>
      <c r="B217" s="113">
        <v>2.5049999999999999</v>
      </c>
      <c r="C217" s="113">
        <v>8.4960000000000004</v>
      </c>
      <c r="D217" s="113">
        <v>15.185</v>
      </c>
      <c r="E217" s="113">
        <v>14.587</v>
      </c>
      <c r="F217" s="113">
        <v>9.4260000000000002</v>
      </c>
      <c r="G217" s="113">
        <v>13.086</v>
      </c>
      <c r="H217" s="113">
        <v>14.512</v>
      </c>
      <c r="I217" s="113">
        <v>4.8109999999999999</v>
      </c>
      <c r="J217" s="113">
        <v>17.391999999999999</v>
      </c>
      <c r="K217" s="113">
        <f t="shared" si="27"/>
        <v>100</v>
      </c>
    </row>
    <row r="218" spans="1:11" ht="9.9499999999999993" customHeight="1" x14ac:dyDescent="0.15">
      <c r="A218" s="2" t="s">
        <v>173</v>
      </c>
      <c r="B218" s="113">
        <v>0.11799999999999999</v>
      </c>
      <c r="C218" s="113">
        <v>1.0189999999999999</v>
      </c>
      <c r="D218" s="113">
        <v>14.471</v>
      </c>
      <c r="E218" s="113">
        <v>7.2480000000000002</v>
      </c>
      <c r="F218" s="113">
        <v>4.9370000000000003</v>
      </c>
      <c r="G218" s="113">
        <v>2.48</v>
      </c>
      <c r="H218" s="113">
        <v>1.077</v>
      </c>
      <c r="I218" s="113">
        <v>0.79700000000000004</v>
      </c>
      <c r="J218" s="113">
        <v>67.852999999999994</v>
      </c>
      <c r="K218" s="113">
        <f t="shared" si="27"/>
        <v>100</v>
      </c>
    </row>
    <row r="219" spans="1:11" ht="9.9499999999999993" customHeight="1" x14ac:dyDescent="0.15">
      <c r="A219" s="2" t="s">
        <v>174</v>
      </c>
      <c r="B219" s="113">
        <v>0</v>
      </c>
      <c r="C219" s="113">
        <v>30.352</v>
      </c>
      <c r="D219" s="113">
        <v>0</v>
      </c>
      <c r="E219" s="113">
        <v>0</v>
      </c>
      <c r="F219" s="113">
        <v>0</v>
      </c>
      <c r="G219" s="113">
        <v>57.082000000000001</v>
      </c>
      <c r="H219" s="113">
        <v>0</v>
      </c>
      <c r="I219" s="113">
        <v>12.566000000000001</v>
      </c>
      <c r="J219" s="113">
        <v>0</v>
      </c>
      <c r="K219" s="113">
        <f t="shared" si="27"/>
        <v>100</v>
      </c>
    </row>
    <row r="220" spans="1:11" ht="9.9499999999999993" customHeight="1" x14ac:dyDescent="0.15">
      <c r="A220" s="2" t="s">
        <v>175</v>
      </c>
      <c r="B220" s="135">
        <v>1.26</v>
      </c>
      <c r="C220" s="135">
        <v>5.2909999999999995</v>
      </c>
      <c r="D220" s="135">
        <v>13.548999999999999</v>
      </c>
      <c r="E220" s="135">
        <v>16.498999999999999</v>
      </c>
      <c r="F220" s="135">
        <v>8.2509999999999994</v>
      </c>
      <c r="G220" s="135">
        <v>9.338000000000001</v>
      </c>
      <c r="H220" s="135">
        <v>8.9390000000000001</v>
      </c>
      <c r="I220" s="135">
        <v>5.9809999999999999</v>
      </c>
      <c r="J220" s="135">
        <v>30.891999999999996</v>
      </c>
      <c r="K220" s="113">
        <f t="shared" si="27"/>
        <v>99.999999999999986</v>
      </c>
    </row>
    <row r="221" spans="1:11" ht="9.9499999999999993" customHeight="1" x14ac:dyDescent="0.15">
      <c r="A221" s="2" t="s">
        <v>176</v>
      </c>
      <c r="B221" s="113">
        <v>3.25</v>
      </c>
      <c r="C221" s="113">
        <v>6.8809999999999993</v>
      </c>
      <c r="D221" s="113">
        <v>17.898</v>
      </c>
      <c r="E221" s="113">
        <v>15.828999999999999</v>
      </c>
      <c r="F221" s="113">
        <v>6.976</v>
      </c>
      <c r="G221" s="113">
        <v>13.744</v>
      </c>
      <c r="H221" s="113">
        <v>8.8130000000000006</v>
      </c>
      <c r="I221" s="113">
        <v>4.923</v>
      </c>
      <c r="J221" s="113">
        <v>21.686</v>
      </c>
      <c r="K221" s="113">
        <f t="shared" si="27"/>
        <v>100</v>
      </c>
    </row>
    <row r="222" spans="1:11" ht="9.9499999999999993" customHeight="1" x14ac:dyDescent="0.15">
      <c r="A222" s="2" t="s">
        <v>177</v>
      </c>
      <c r="B222" s="71">
        <v>671.29899999999998</v>
      </c>
      <c r="C222" s="71">
        <v>3004.4290000000001</v>
      </c>
      <c r="D222" s="71">
        <v>6184.1880000000001</v>
      </c>
      <c r="E222" s="71">
        <v>7013.6</v>
      </c>
      <c r="F222" s="71">
        <v>4155.6000000000004</v>
      </c>
      <c r="G222" s="71">
        <v>5338.1880000000001</v>
      </c>
      <c r="H222" s="71">
        <v>3010.0160000000001</v>
      </c>
      <c r="I222" s="71">
        <v>2968.4180000000001</v>
      </c>
      <c r="J222" s="71">
        <v>0</v>
      </c>
      <c r="K222" s="113">
        <f t="shared" si="27"/>
        <v>32345.738000000005</v>
      </c>
    </row>
    <row r="223" spans="1:11" ht="9.9499999999999993" customHeight="1" x14ac:dyDescent="0.15">
      <c r="A223" s="2" t="s">
        <v>178</v>
      </c>
      <c r="B223" s="71">
        <v>841</v>
      </c>
      <c r="C223" s="71">
        <v>2231</v>
      </c>
      <c r="D223" s="71">
        <v>26585</v>
      </c>
      <c r="E223" s="71">
        <v>2045</v>
      </c>
      <c r="F223" s="71">
        <v>1832</v>
      </c>
      <c r="G223" s="71">
        <v>3085</v>
      </c>
      <c r="H223" s="71">
        <v>1825</v>
      </c>
      <c r="I223" s="71">
        <v>1449</v>
      </c>
      <c r="J223" s="71">
        <v>39112</v>
      </c>
      <c r="K223" s="113">
        <f t="shared" si="27"/>
        <v>79005</v>
      </c>
    </row>
    <row r="225" spans="1:11" ht="9.9499999999999993" customHeight="1" x14ac:dyDescent="0.15">
      <c r="A225" s="1" t="s">
        <v>164</v>
      </c>
      <c r="B225" s="20" t="s">
        <v>121</v>
      </c>
      <c r="C225" s="20" t="s">
        <v>122</v>
      </c>
      <c r="D225" s="20" t="s">
        <v>123</v>
      </c>
      <c r="E225" s="20" t="s">
        <v>124</v>
      </c>
      <c r="F225" s="20" t="s">
        <v>125</v>
      </c>
      <c r="G225" s="20" t="s">
        <v>126</v>
      </c>
      <c r="H225" s="20" t="s">
        <v>127</v>
      </c>
      <c r="I225" s="20" t="s">
        <v>128</v>
      </c>
      <c r="J225" s="20" t="s">
        <v>129</v>
      </c>
      <c r="K225" s="57" t="s">
        <v>49</v>
      </c>
    </row>
    <row r="226" spans="1:11" ht="9.9499999999999993" customHeight="1" x14ac:dyDescent="0.15">
      <c r="K226" s="14"/>
    </row>
    <row r="227" spans="1:11" ht="9.9499999999999993" customHeight="1" x14ac:dyDescent="0.15">
      <c r="A227" s="2" t="s">
        <v>133</v>
      </c>
      <c r="B227" s="112">
        <f>B209*100/$K209</f>
        <v>3.3942097536618836</v>
      </c>
      <c r="C227" s="112">
        <f>C209*100/$K209</f>
        <v>6.6889633706971559</v>
      </c>
      <c r="D227" s="112">
        <f>D209*100/$K209</f>
        <v>19.225579218977511</v>
      </c>
      <c r="E227" s="112">
        <f>E209*100/$K209</f>
        <v>16.870492347343024</v>
      </c>
      <c r="F227" s="112">
        <f>F209*100/$K209</f>
        <v>6.3261206904284233</v>
      </c>
      <c r="G227" s="112">
        <f>G209*100/$K209</f>
        <v>14.440203433006737</v>
      </c>
      <c r="H227" s="112">
        <f>H209*100/$K209</f>
        <v>8.4305699652274271</v>
      </c>
      <c r="I227" s="112">
        <f>I209*100/$K209</f>
        <v>4.4021060877416964</v>
      </c>
      <c r="J227" s="112">
        <f>J209*100/$K209</f>
        <v>20.221755132916144</v>
      </c>
      <c r="K227" s="112">
        <f>SUM(B227:J227)</f>
        <v>100.00000000000001</v>
      </c>
    </row>
    <row r="228" spans="1:11" ht="9.9499999999999993" customHeight="1" x14ac:dyDescent="0.15">
      <c r="A228" s="2" t="s">
        <v>134</v>
      </c>
      <c r="B228" s="112">
        <f>B210*100/$K210</f>
        <v>2.9644350676602436</v>
      </c>
      <c r="C228" s="112">
        <f>C210*100/$K210</f>
        <v>6.5606585203140995</v>
      </c>
      <c r="D228" s="112">
        <f>D210*100/$K210</f>
        <v>17.317570093167095</v>
      </c>
      <c r="E228" s="112">
        <f>E210*100/$K210</f>
        <v>15.952852756780825</v>
      </c>
      <c r="F228" s="112">
        <f>F210*100/$K210</f>
        <v>6.1984368438208266</v>
      </c>
      <c r="G228" s="112">
        <f>G210*100/$K210</f>
        <v>13.77079934434736</v>
      </c>
      <c r="H228" s="112">
        <f>H210*100/$K210</f>
        <v>7.8518620980245926</v>
      </c>
      <c r="I228" s="112">
        <f>I210*100/$K210</f>
        <v>4.1335693285401707</v>
      </c>
      <c r="J228" s="112">
        <f>J210*100/$K210</f>
        <v>25.249815947344775</v>
      </c>
      <c r="K228" s="112">
        <f>SUM(B228:J228)</f>
        <v>99.999999999999986</v>
      </c>
    </row>
    <row r="229" spans="1:11" ht="9.9499999999999993" customHeight="1" x14ac:dyDescent="0.15">
      <c r="A229" s="2" t="s">
        <v>145</v>
      </c>
      <c r="B229" s="112">
        <f>B211*100/$K211</f>
        <v>2.0234131562160291</v>
      </c>
      <c r="C229" s="112">
        <f>C211*100/$K211</f>
        <v>5.3403856396521974</v>
      </c>
      <c r="D229" s="112">
        <f>D211*100/$K211</f>
        <v>13.892737546252139</v>
      </c>
      <c r="E229" s="112">
        <f>E211*100/$K211</f>
        <v>12.598286071293966</v>
      </c>
      <c r="F229" s="112">
        <f>F211*100/$K211</f>
        <v>8.5918046232225294</v>
      </c>
      <c r="G229" s="112">
        <f>G211*100/$K211</f>
        <v>11.679261969351538</v>
      </c>
      <c r="H229" s="112">
        <f>H211*100/$K211</f>
        <v>11.08870316042151</v>
      </c>
      <c r="I229" s="112">
        <f>I211*100/$K211</f>
        <v>5.7909806562429003</v>
      </c>
      <c r="J229" s="112">
        <f>J211*100/$K211</f>
        <v>28.994427177347191</v>
      </c>
      <c r="K229" s="112">
        <f t="shared" ref="K229:K241" si="28">SUM(B229:J229)</f>
        <v>100</v>
      </c>
    </row>
    <row r="230" spans="1:11" ht="9.9499999999999993" customHeight="1" x14ac:dyDescent="0.15">
      <c r="A230" s="2" t="s">
        <v>167</v>
      </c>
      <c r="B230" s="112">
        <f>B212*100/$K212</f>
        <v>2.5338691235190369</v>
      </c>
      <c r="C230" s="112">
        <f>C212*100/$K212</f>
        <v>9.2132169730791134</v>
      </c>
      <c r="D230" s="112">
        <f>D212*100/$K212</f>
        <v>16.130070573689256</v>
      </c>
      <c r="E230" s="112">
        <f>E212*100/$K212</f>
        <v>20.611507117607481</v>
      </c>
      <c r="F230" s="112">
        <f>F212*100/$K212</f>
        <v>8.6428297235993288</v>
      </c>
      <c r="G230" s="112">
        <f>G212*100/$K212</f>
        <v>13.742814106091872</v>
      </c>
      <c r="H230" s="112">
        <f>H212*100/$K212</f>
        <v>11.408994884208019</v>
      </c>
      <c r="I230" s="112">
        <f>I212*100/$K212</f>
        <v>2.1296842071545012</v>
      </c>
      <c r="J230" s="112">
        <f>J212*100/$K212</f>
        <v>15.587013291051397</v>
      </c>
      <c r="K230" s="112">
        <f t="shared" si="28"/>
        <v>99.999999999999986</v>
      </c>
    </row>
    <row r="231" spans="1:11" ht="9.9499999999999993" customHeight="1" x14ac:dyDescent="0.15">
      <c r="A231" s="2" t="s">
        <v>168</v>
      </c>
      <c r="B231" s="14">
        <f>B213*100/$K213</f>
        <v>0.53765396196164716</v>
      </c>
      <c r="C231" s="14">
        <f>C213*100/$K213</f>
        <v>1.5566516456262947</v>
      </c>
      <c r="D231" s="14">
        <f>D213*100/$K213</f>
        <v>6.188492060955797</v>
      </c>
      <c r="E231" s="14">
        <f>E213*100/$K213</f>
        <v>13.219423912489484</v>
      </c>
      <c r="F231" s="14">
        <f>F213*100/$K213</f>
        <v>6.8477884451163389</v>
      </c>
      <c r="G231" s="14">
        <f>G213*100/$K213</f>
        <v>6.1166944335240023</v>
      </c>
      <c r="H231" s="14">
        <f>H213*100/$K213</f>
        <v>41.357106287333657</v>
      </c>
      <c r="I231" s="14">
        <f>I213*100/$K213</f>
        <v>8.7084139988669182</v>
      </c>
      <c r="J231" s="14">
        <f>J213*100/$K213</f>
        <v>15.467775254125865</v>
      </c>
      <c r="K231" s="112">
        <f t="shared" si="28"/>
        <v>100.00000000000001</v>
      </c>
    </row>
    <row r="232" spans="1:11" ht="9.9499999999999993" customHeight="1" x14ac:dyDescent="0.15">
      <c r="A232" s="49" t="s">
        <v>169</v>
      </c>
      <c r="B232" s="112">
        <f>B214*100/$K214</f>
        <v>0</v>
      </c>
      <c r="C232" s="112">
        <f>C214*100/$K214</f>
        <v>9.2598870393915682</v>
      </c>
      <c r="D232" s="112">
        <f>D214*100/$K214</f>
        <v>9.2598870393915682</v>
      </c>
      <c r="E232" s="112">
        <f>E214*100/$K214</f>
        <v>9.2598870393915682</v>
      </c>
      <c r="F232" s="112">
        <f>F214*100/$K214</f>
        <v>11.049565076772076</v>
      </c>
      <c r="G232" s="112">
        <f>G214*100/$K214</f>
        <v>9.2598870393915682</v>
      </c>
      <c r="H232" s="112">
        <f>H214*100/$K214</f>
        <v>27.779661118174708</v>
      </c>
      <c r="I232" s="112">
        <f>I214*100/$K214</f>
        <v>14.871338608095364</v>
      </c>
      <c r="J232" s="112">
        <f>J214*100/$K214</f>
        <v>9.2598870393915682</v>
      </c>
      <c r="K232" s="112">
        <f t="shared" si="28"/>
        <v>100</v>
      </c>
    </row>
    <row r="233" spans="1:11" ht="9.9499999999999993" customHeight="1" x14ac:dyDescent="0.15">
      <c r="A233" s="49" t="s">
        <v>170</v>
      </c>
      <c r="B233" s="112">
        <f>B215*100/$K215</f>
        <v>0</v>
      </c>
      <c r="C233" s="112">
        <f>C215*100/$K215</f>
        <v>10.250792220000758</v>
      </c>
      <c r="D233" s="112">
        <f>D215*100/$K215</f>
        <v>6.665148021499621</v>
      </c>
      <c r="E233" s="112">
        <f>E215*100/$K215</f>
        <v>7.3890203578238376</v>
      </c>
      <c r="F233" s="112">
        <f>F215*100/$K215</f>
        <v>6.0326407348523672</v>
      </c>
      <c r="G233" s="112">
        <f>G215*100/$K215</f>
        <v>3.3221205571837293</v>
      </c>
      <c r="H233" s="112">
        <f>H215*100/$K215</f>
        <v>17.040572264438026</v>
      </c>
      <c r="I233" s="112">
        <f>I215*100/$K215</f>
        <v>25.924271891880871</v>
      </c>
      <c r="J233" s="112">
        <f>J215*100/$K215</f>
        <v>23.375433952320797</v>
      </c>
      <c r="K233" s="112">
        <f t="shared" si="28"/>
        <v>100</v>
      </c>
    </row>
    <row r="234" spans="1:11" ht="9.9499999999999993" customHeight="1" x14ac:dyDescent="0.15">
      <c r="A234" s="2" t="s">
        <v>171</v>
      </c>
      <c r="B234" s="112">
        <f>B216*100/$K216</f>
        <v>2.5719999999999996</v>
      </c>
      <c r="C234" s="112">
        <f>C216*100/$K216</f>
        <v>6.8969999999999994</v>
      </c>
      <c r="D234" s="112">
        <f>D216*100/$K216</f>
        <v>14.450999999999999</v>
      </c>
      <c r="E234" s="112">
        <f>E216*100/$K216</f>
        <v>13.691999999999998</v>
      </c>
      <c r="F234" s="112">
        <f>F216*100/$K216</f>
        <v>6.4289999999999985</v>
      </c>
      <c r="G234" s="112">
        <f>G216*100/$K216</f>
        <v>12.883999999999999</v>
      </c>
      <c r="H234" s="112">
        <f>H216*100/$K216</f>
        <v>7.9819999999999993</v>
      </c>
      <c r="I234" s="112">
        <f>I216*100/$K216</f>
        <v>3.7169999999999992</v>
      </c>
      <c r="J234" s="112">
        <f>J216*100/$K216</f>
        <v>31.375999999999994</v>
      </c>
      <c r="K234" s="112">
        <f t="shared" si="28"/>
        <v>99.999999999999986</v>
      </c>
    </row>
    <row r="235" spans="1:11" ht="9.9499999999999993" customHeight="1" x14ac:dyDescent="0.15">
      <c r="A235" s="2" t="s">
        <v>172</v>
      </c>
      <c r="B235" s="112">
        <f>B217*100/$K217</f>
        <v>2.5049999999999999</v>
      </c>
      <c r="C235" s="112">
        <f>C217*100/$K217</f>
        <v>8.4960000000000004</v>
      </c>
      <c r="D235" s="112">
        <f>D217*100/$K217</f>
        <v>15.185</v>
      </c>
      <c r="E235" s="112">
        <f>E217*100/$K217</f>
        <v>14.587</v>
      </c>
      <c r="F235" s="112">
        <f>F217*100/$K217</f>
        <v>9.4260000000000002</v>
      </c>
      <c r="G235" s="112">
        <f>G217*100/$K217</f>
        <v>13.086000000000002</v>
      </c>
      <c r="H235" s="112">
        <f>H217*100/$K217</f>
        <v>14.512</v>
      </c>
      <c r="I235" s="112">
        <f>I217*100/$K217</f>
        <v>4.8109999999999999</v>
      </c>
      <c r="J235" s="112">
        <f>J217*100/$K217</f>
        <v>17.391999999999999</v>
      </c>
      <c r="K235" s="112">
        <f t="shared" si="28"/>
        <v>100</v>
      </c>
    </row>
    <row r="236" spans="1:11" ht="9.9499999999999993" customHeight="1" x14ac:dyDescent="0.15">
      <c r="A236" s="2" t="s">
        <v>173</v>
      </c>
      <c r="B236" s="112">
        <f>B218*100/$K218</f>
        <v>0.11799999999999999</v>
      </c>
      <c r="C236" s="112">
        <f>C218*100/$K218</f>
        <v>1.0189999999999999</v>
      </c>
      <c r="D236" s="112">
        <f>D218*100/$K218</f>
        <v>14.470999999999998</v>
      </c>
      <c r="E236" s="112">
        <f>E218*100/$K218</f>
        <v>7.2480000000000011</v>
      </c>
      <c r="F236" s="112">
        <f>F218*100/$K218</f>
        <v>4.9370000000000003</v>
      </c>
      <c r="G236" s="112">
        <f>G218*100/$K218</f>
        <v>2.48</v>
      </c>
      <c r="H236" s="112">
        <f>H218*100/$K218</f>
        <v>1.077</v>
      </c>
      <c r="I236" s="112">
        <f>I218*100/$K218</f>
        <v>0.79700000000000004</v>
      </c>
      <c r="J236" s="112">
        <f>J218*100/$K218</f>
        <v>67.852999999999994</v>
      </c>
      <c r="K236" s="112">
        <f t="shared" si="28"/>
        <v>100</v>
      </c>
    </row>
    <row r="237" spans="1:11" ht="9.9499999999999993" customHeight="1" x14ac:dyDescent="0.15">
      <c r="A237" s="2" t="s">
        <v>174</v>
      </c>
      <c r="B237" s="112">
        <f>B219*100/$K219</f>
        <v>0</v>
      </c>
      <c r="C237" s="112">
        <f>C219*100/$K219</f>
        <v>30.351999999999997</v>
      </c>
      <c r="D237" s="112">
        <f>D219*100/$K219</f>
        <v>0</v>
      </c>
      <c r="E237" s="112">
        <f>E219*100/$K219</f>
        <v>0</v>
      </c>
      <c r="F237" s="112">
        <f>F219*100/$K219</f>
        <v>0</v>
      </c>
      <c r="G237" s="112">
        <f>G219*100/$K219</f>
        <v>57.082000000000001</v>
      </c>
      <c r="H237" s="112">
        <f>H219*100/$K219</f>
        <v>0</v>
      </c>
      <c r="I237" s="112">
        <f>I219*100/$K219</f>
        <v>12.566000000000001</v>
      </c>
      <c r="J237" s="112">
        <f>J219*100/$K219</f>
        <v>0</v>
      </c>
      <c r="K237" s="112">
        <f t="shared" si="28"/>
        <v>100</v>
      </c>
    </row>
    <row r="238" spans="1:11" ht="9.9499999999999993" customHeight="1" x14ac:dyDescent="0.15">
      <c r="A238" s="2" t="s">
        <v>175</v>
      </c>
      <c r="B238" s="112">
        <f>B220*100/$K220</f>
        <v>1.2600000000000002</v>
      </c>
      <c r="C238" s="112">
        <f>C220*100/$K220</f>
        <v>5.2909999999999995</v>
      </c>
      <c r="D238" s="112">
        <f>D220*100/$K220</f>
        <v>13.549000000000001</v>
      </c>
      <c r="E238" s="112">
        <f>E220*100/$K220</f>
        <v>16.499000000000002</v>
      </c>
      <c r="F238" s="112">
        <f>F220*100/$K220</f>
        <v>8.2509999999999994</v>
      </c>
      <c r="G238" s="112">
        <f>G220*100/$K220</f>
        <v>9.3380000000000027</v>
      </c>
      <c r="H238" s="112">
        <f>H220*100/$K220</f>
        <v>8.9390000000000018</v>
      </c>
      <c r="I238" s="112">
        <f>I220*100/$K220</f>
        <v>5.9810000000000008</v>
      </c>
      <c r="J238" s="112">
        <f>J220*100/$K220</f>
        <v>30.892000000000003</v>
      </c>
      <c r="K238" s="112">
        <f t="shared" si="28"/>
        <v>100</v>
      </c>
    </row>
    <row r="239" spans="1:11" ht="9.9499999999999993" customHeight="1" x14ac:dyDescent="0.15">
      <c r="A239" s="2" t="s">
        <v>176</v>
      </c>
      <c r="B239" s="112">
        <f>B221*100/$K221</f>
        <v>3.25</v>
      </c>
      <c r="C239" s="112">
        <f>C221*100/$K221</f>
        <v>6.8809999999999993</v>
      </c>
      <c r="D239" s="112">
        <f>D221*100/$K221</f>
        <v>17.898</v>
      </c>
      <c r="E239" s="112">
        <f>E221*100/$K221</f>
        <v>15.828999999999999</v>
      </c>
      <c r="F239" s="112">
        <f>F221*100/$K221</f>
        <v>6.976</v>
      </c>
      <c r="G239" s="112">
        <f>G221*100/$K221</f>
        <v>13.744000000000002</v>
      </c>
      <c r="H239" s="112">
        <f>H221*100/$K221</f>
        <v>8.8130000000000006</v>
      </c>
      <c r="I239" s="112">
        <f>I221*100/$K221</f>
        <v>4.923</v>
      </c>
      <c r="J239" s="112">
        <f>J221*100/$K221</f>
        <v>21.686</v>
      </c>
      <c r="K239" s="112">
        <f t="shared" si="28"/>
        <v>100</v>
      </c>
    </row>
    <row r="240" spans="1:11" ht="9.9499999999999993" customHeight="1" x14ac:dyDescent="0.15">
      <c r="A240" s="2" t="s">
        <v>177</v>
      </c>
      <c r="B240" s="112">
        <f>B222*100/$K222</f>
        <v>2.0753862533604885</v>
      </c>
      <c r="C240" s="112">
        <f>C222*100/$K222</f>
        <v>9.2884849311522881</v>
      </c>
      <c r="D240" s="112">
        <f>D222*100/$K222</f>
        <v>19.119019637146629</v>
      </c>
      <c r="E240" s="112">
        <f>E222*100/$K222</f>
        <v>21.683227632648229</v>
      </c>
      <c r="F240" s="112">
        <f>F222*100/$K222</f>
        <v>12.847442219435525</v>
      </c>
      <c r="G240" s="112">
        <f>G222*100/$K222</f>
        <v>16.503528223718376</v>
      </c>
      <c r="H240" s="112">
        <f>H222*100/$K222</f>
        <v>9.3057576859121287</v>
      </c>
      <c r="I240" s="112">
        <f>I222*100/$K222</f>
        <v>9.1771534166263251</v>
      </c>
      <c r="J240" s="112">
        <f>J222*100/$K222</f>
        <v>0</v>
      </c>
      <c r="K240" s="112">
        <f t="shared" si="28"/>
        <v>99.999999999999986</v>
      </c>
    </row>
    <row r="241" spans="1:11" ht="9.9499999999999993" customHeight="1" x14ac:dyDescent="0.15">
      <c r="A241" s="2" t="s">
        <v>178</v>
      </c>
      <c r="B241" s="112">
        <f>B223*100/$K223</f>
        <v>1.0644895892665021</v>
      </c>
      <c r="C241" s="112">
        <f>C223*100/$K223</f>
        <v>2.8238719068413394</v>
      </c>
      <c r="D241" s="112">
        <f>D223*100/$K223</f>
        <v>33.6497690019619</v>
      </c>
      <c r="E241" s="112">
        <f>E223*100/$K223</f>
        <v>2.5884437693816849</v>
      </c>
      <c r="F241" s="112">
        <f>F223*100/$K223</f>
        <v>2.318840579710145</v>
      </c>
      <c r="G241" s="112">
        <f>G223*100/$K223</f>
        <v>3.9048161508765267</v>
      </c>
      <c r="H241" s="112">
        <f>H223*100/$K223</f>
        <v>2.3099803809885451</v>
      </c>
      <c r="I241" s="112">
        <f>I223*100/$K223</f>
        <v>1.8340611353711791</v>
      </c>
      <c r="J241" s="112">
        <f>J223*100/$K223</f>
        <v>49.505727485602179</v>
      </c>
      <c r="K241" s="112">
        <f t="shared" si="28"/>
        <v>100</v>
      </c>
    </row>
  </sheetData>
  <printOptions horizontalCentered="1" verticalCentered="1"/>
  <pageMargins left="0" right="0" top="0" bottom="0" header="0.51181102362204722" footer="0.51181102362204722"/>
  <pageSetup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EAVERT</vt:lpstr>
      <vt:lpstr>EAVERT!Druckbereich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STURMLECHNER</dc:creator>
  <cp:lastModifiedBy>CHRISTIAN STURMLECHNER</cp:lastModifiedBy>
  <cp:lastPrinted>2012-02-03T16:20:10Z</cp:lastPrinted>
  <dcterms:created xsi:type="dcterms:W3CDTF">2012-02-03T16:06:31Z</dcterms:created>
  <dcterms:modified xsi:type="dcterms:W3CDTF">2012-02-03T16:20:43Z</dcterms:modified>
</cp:coreProperties>
</file>