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8515" windowHeight="12585"/>
  </bookViews>
  <sheets>
    <sheet name="EAVERT" sheetId="1" r:id="rId1"/>
  </sheets>
  <definedNames>
    <definedName name="_xlnm.Print_Area" localSheetId="0">EAVERT!$A$1:$K$46,EAVERT!$A$49:$H$89,EAVERT!$J$49:$V$89,EAVERT!$A$97:$I$146,EAVERT!$L$95:$V$154,EAVERT!$A$160:$I$208,EAVERT!$L$158:$V$213,EAVERT!$A$215:$K$253</definedName>
    <definedName name="solver_adj" localSheetId="0" hidden="1">EAVERT!$B$42</definedName>
    <definedName name="solver_num" localSheetId="0" hidden="1">0</definedName>
    <definedName name="solver_oldobj" localSheetId="0" hidden="1">758383000</definedName>
    <definedName name="solver_opt" localSheetId="0" hidden="1">EAVERT!$R$90</definedName>
    <definedName name="solver_typ" localSheetId="0" hidden="1">3</definedName>
    <definedName name="solver_val" localSheetId="0" hidden="1">758373000</definedName>
  </definedNames>
  <calcPr calcId="145621"/>
</workbook>
</file>

<file path=xl/calcChain.xml><?xml version="1.0" encoding="utf-8"?>
<calcChain xmlns="http://schemas.openxmlformats.org/spreadsheetml/2006/main">
  <c r="T60" i="1" l="1"/>
  <c r="U60" i="1"/>
  <c r="T61" i="1"/>
  <c r="U61" i="1"/>
  <c r="K233" i="1" l="1"/>
  <c r="D253" i="1" s="1"/>
  <c r="K232" i="1"/>
  <c r="H252" i="1" s="1"/>
  <c r="K229" i="1"/>
  <c r="H249" i="1" s="1"/>
  <c r="K228" i="1"/>
  <c r="F248" i="1" s="1"/>
  <c r="K227" i="1"/>
  <c r="G247" i="1" s="1"/>
  <c r="K226" i="1"/>
  <c r="I246" i="1" s="1"/>
  <c r="K225" i="1"/>
  <c r="G245" i="1" s="1"/>
  <c r="K224" i="1"/>
  <c r="I244" i="1" s="1"/>
  <c r="K218" i="1"/>
  <c r="G238" i="1" s="1"/>
  <c r="K217" i="1"/>
  <c r="F237" i="1" s="1"/>
  <c r="U209" i="1"/>
  <c r="T209" i="1"/>
  <c r="S209" i="1"/>
  <c r="R209" i="1"/>
  <c r="Q209" i="1"/>
  <c r="P209" i="1"/>
  <c r="O209" i="1"/>
  <c r="N209" i="1"/>
  <c r="M209" i="1"/>
  <c r="V204" i="1"/>
  <c r="V203" i="1"/>
  <c r="U180" i="1"/>
  <c r="T180" i="1"/>
  <c r="S180" i="1"/>
  <c r="R180" i="1"/>
  <c r="Q180" i="1"/>
  <c r="P180" i="1"/>
  <c r="O180" i="1"/>
  <c r="N180" i="1"/>
  <c r="M180" i="1"/>
  <c r="U179" i="1"/>
  <c r="T179" i="1"/>
  <c r="S179" i="1"/>
  <c r="R179" i="1"/>
  <c r="Q179" i="1"/>
  <c r="P179" i="1"/>
  <c r="O179" i="1"/>
  <c r="N179" i="1"/>
  <c r="M179" i="1"/>
  <c r="U166" i="1"/>
  <c r="T166" i="1"/>
  <c r="S166" i="1"/>
  <c r="R166" i="1"/>
  <c r="Q166" i="1"/>
  <c r="P166" i="1"/>
  <c r="O166" i="1"/>
  <c r="N166" i="1"/>
  <c r="M166" i="1"/>
  <c r="U165" i="1"/>
  <c r="T165" i="1"/>
  <c r="S165" i="1"/>
  <c r="R165" i="1"/>
  <c r="Q165" i="1"/>
  <c r="P165" i="1"/>
  <c r="O165" i="1"/>
  <c r="N165" i="1"/>
  <c r="M165" i="1"/>
  <c r="U152" i="1"/>
  <c r="T152" i="1"/>
  <c r="S152" i="1"/>
  <c r="R152" i="1"/>
  <c r="Q152" i="1"/>
  <c r="P152" i="1"/>
  <c r="O152" i="1"/>
  <c r="N152" i="1"/>
  <c r="M152" i="1"/>
  <c r="U117" i="1"/>
  <c r="T117" i="1"/>
  <c r="S117" i="1"/>
  <c r="R117" i="1"/>
  <c r="Q117" i="1"/>
  <c r="P117" i="1"/>
  <c r="O117" i="1"/>
  <c r="N117" i="1"/>
  <c r="M117" i="1"/>
  <c r="U104" i="1"/>
  <c r="T104" i="1"/>
  <c r="S104" i="1"/>
  <c r="R104" i="1"/>
  <c r="Q104" i="1"/>
  <c r="P104" i="1"/>
  <c r="O104" i="1"/>
  <c r="N104" i="1"/>
  <c r="M104" i="1"/>
  <c r="U103" i="1"/>
  <c r="T103" i="1"/>
  <c r="S103" i="1"/>
  <c r="R103" i="1"/>
  <c r="Q103" i="1"/>
  <c r="P103" i="1"/>
  <c r="O103" i="1"/>
  <c r="N103" i="1"/>
  <c r="M103" i="1"/>
  <c r="P89" i="1"/>
  <c r="M89" i="1"/>
  <c r="F60" i="1"/>
  <c r="O89" i="1"/>
  <c r="M52" i="1"/>
  <c r="L52" i="1"/>
  <c r="D43" i="1"/>
  <c r="F43" i="1" s="1"/>
  <c r="D42" i="1"/>
  <c r="F42" i="1" s="1"/>
  <c r="H86" i="1" s="1"/>
  <c r="U86" i="1" s="1"/>
  <c r="D41" i="1"/>
  <c r="F41" i="1" s="1"/>
  <c r="D40" i="1"/>
  <c r="F40" i="1" s="1"/>
  <c r="K84" i="1" s="1"/>
  <c r="D39" i="1"/>
  <c r="F39" i="1" s="1"/>
  <c r="D38" i="1"/>
  <c r="F38" i="1" s="1"/>
  <c r="K82" i="1" s="1"/>
  <c r="D37" i="1"/>
  <c r="F37" i="1" s="1"/>
  <c r="D36" i="1"/>
  <c r="F36" i="1" s="1"/>
  <c r="K80" i="1" s="1"/>
  <c r="D35" i="1"/>
  <c r="F35" i="1" s="1"/>
  <c r="K79" i="1" s="1"/>
  <c r="D34" i="1"/>
  <c r="F34" i="1" s="1"/>
  <c r="K78" i="1" s="1"/>
  <c r="D33" i="1"/>
  <c r="F33" i="1" s="1"/>
  <c r="K77" i="1" s="1"/>
  <c r="D32" i="1"/>
  <c r="F32" i="1" s="1"/>
  <c r="K76" i="1" s="1"/>
  <c r="D31" i="1"/>
  <c r="F31" i="1" s="1"/>
  <c r="K75" i="1" s="1"/>
  <c r="D30" i="1"/>
  <c r="F30" i="1" s="1"/>
  <c r="K74" i="1" s="1"/>
  <c r="D29" i="1"/>
  <c r="F29" i="1" s="1"/>
  <c r="D28" i="1"/>
  <c r="F28" i="1" s="1"/>
  <c r="G72" i="1" s="1"/>
  <c r="D27" i="1"/>
  <c r="F27" i="1" s="1"/>
  <c r="D26" i="1"/>
  <c r="F26" i="1" s="1"/>
  <c r="H70" i="1" s="1"/>
  <c r="U70" i="1" s="1"/>
  <c r="D25" i="1"/>
  <c r="F25" i="1" s="1"/>
  <c r="K69" i="1" s="1"/>
  <c r="D24" i="1"/>
  <c r="F24" i="1" s="1"/>
  <c r="K68" i="1" s="1"/>
  <c r="D23" i="1"/>
  <c r="F23" i="1" s="1"/>
  <c r="K67" i="1" s="1"/>
  <c r="D22" i="1"/>
  <c r="F22" i="1" s="1"/>
  <c r="G66" i="1" s="1"/>
  <c r="D21" i="1"/>
  <c r="F21" i="1" s="1"/>
  <c r="K65" i="1" s="1"/>
  <c r="D20" i="1"/>
  <c r="F20" i="1" s="1"/>
  <c r="F64" i="1" s="1"/>
  <c r="D19" i="1"/>
  <c r="F19" i="1" s="1"/>
  <c r="D18" i="1"/>
  <c r="F18" i="1" s="1"/>
  <c r="K62" i="1" s="1"/>
  <c r="L51" i="1"/>
  <c r="E45" i="1"/>
  <c r="D17" i="1"/>
  <c r="D16" i="1"/>
  <c r="D15" i="1"/>
  <c r="F15" i="1" s="1"/>
  <c r="K57" i="1" s="1"/>
  <c r="D14" i="1"/>
  <c r="F14" i="1" s="1"/>
  <c r="K56" i="1" s="1"/>
  <c r="D13" i="1"/>
  <c r="F13" i="1" s="1"/>
  <c r="K55" i="1" s="1"/>
  <c r="D12" i="1"/>
  <c r="F12" i="1" s="1"/>
  <c r="K54" i="1" s="1"/>
  <c r="D11" i="1"/>
  <c r="F11" i="1" s="1"/>
  <c r="H53" i="1" s="1"/>
  <c r="F244" i="1" l="1"/>
  <c r="H55" i="1"/>
  <c r="U55" i="1" s="1"/>
  <c r="E112" i="1" s="1"/>
  <c r="F246" i="1"/>
  <c r="H56" i="1"/>
  <c r="U56" i="1" s="1"/>
  <c r="H247" i="1"/>
  <c r="B244" i="1"/>
  <c r="V117" i="1"/>
  <c r="C252" i="1"/>
  <c r="G253" i="1"/>
  <c r="H74" i="1"/>
  <c r="U74" i="1" s="1"/>
  <c r="E124" i="1" s="1"/>
  <c r="C249" i="1"/>
  <c r="D252" i="1"/>
  <c r="H238" i="1"/>
  <c r="D249" i="1"/>
  <c r="V152" i="1"/>
  <c r="G249" i="1"/>
  <c r="J252" i="1"/>
  <c r="B246" i="1"/>
  <c r="G248" i="1"/>
  <c r="C248" i="1"/>
  <c r="H253" i="1"/>
  <c r="F66" i="1"/>
  <c r="G75" i="1"/>
  <c r="G84" i="1"/>
  <c r="V166" i="1"/>
  <c r="D248" i="1"/>
  <c r="J248" i="1"/>
  <c r="G252" i="1"/>
  <c r="C253" i="1"/>
  <c r="B237" i="1"/>
  <c r="J244" i="1"/>
  <c r="D245" i="1"/>
  <c r="J246" i="1"/>
  <c r="F252" i="1"/>
  <c r="F65" i="1"/>
  <c r="G80" i="1"/>
  <c r="V165" i="1"/>
  <c r="H248" i="1"/>
  <c r="F68" i="1"/>
  <c r="H76" i="1"/>
  <c r="U76" i="1" s="1"/>
  <c r="E126" i="1" s="1"/>
  <c r="V104" i="1"/>
  <c r="V209" i="1"/>
  <c r="D238" i="1"/>
  <c r="H245" i="1"/>
  <c r="D247" i="1"/>
  <c r="E103" i="1"/>
  <c r="E117" i="1"/>
  <c r="F63" i="1"/>
  <c r="K64" i="1"/>
  <c r="G64" i="1"/>
  <c r="E139" i="1"/>
  <c r="E138" i="1"/>
  <c r="K83" i="1"/>
  <c r="G83" i="1"/>
  <c r="K85" i="1"/>
  <c r="G85" i="1"/>
  <c r="T85" i="1" s="1"/>
  <c r="F54" i="1"/>
  <c r="H67" i="1"/>
  <c r="U67" i="1" s="1"/>
  <c r="H69" i="1"/>
  <c r="U69" i="1" s="1"/>
  <c r="G73" i="1"/>
  <c r="D45" i="1"/>
  <c r="K81" i="1"/>
  <c r="G81" i="1"/>
  <c r="F62" i="1"/>
  <c r="F70" i="1"/>
  <c r="G77" i="1"/>
  <c r="K53" i="1"/>
  <c r="U53" i="1" s="1"/>
  <c r="B45" i="1"/>
  <c r="F53" i="1"/>
  <c r="G54" i="1"/>
  <c r="G55" i="1"/>
  <c r="F57" i="1"/>
  <c r="G62" i="1"/>
  <c r="G63" i="1"/>
  <c r="G68" i="1"/>
  <c r="G70" i="1"/>
  <c r="F71" i="1"/>
  <c r="H72" i="1"/>
  <c r="U72" i="1" s="1"/>
  <c r="H73" i="1"/>
  <c r="U73" i="1" s="1"/>
  <c r="F74" i="1"/>
  <c r="F76" i="1"/>
  <c r="F78" i="1"/>
  <c r="G79" i="1"/>
  <c r="G87" i="1"/>
  <c r="T87" i="1" s="1"/>
  <c r="E164" i="1"/>
  <c r="E102" i="1"/>
  <c r="F17" i="1"/>
  <c r="K59" i="1" s="1"/>
  <c r="K15" i="1"/>
  <c r="E143" i="1"/>
  <c r="G53" i="1"/>
  <c r="R89" i="1"/>
  <c r="H54" i="1"/>
  <c r="U54" i="1" s="1"/>
  <c r="F55" i="1"/>
  <c r="F56" i="1"/>
  <c r="G57" i="1"/>
  <c r="H62" i="1"/>
  <c r="U62" i="1" s="1"/>
  <c r="H63" i="1"/>
  <c r="U63" i="1" s="1"/>
  <c r="H64" i="1"/>
  <c r="H65" i="1"/>
  <c r="U65" i="1" s="1"/>
  <c r="H66" i="1"/>
  <c r="U66" i="1" s="1"/>
  <c r="F67" i="1"/>
  <c r="F69" i="1"/>
  <c r="G71" i="1"/>
  <c r="F72" i="1"/>
  <c r="G74" i="1"/>
  <c r="H75" i="1"/>
  <c r="U75" i="1" s="1"/>
  <c r="G76" i="1"/>
  <c r="H77" i="1"/>
  <c r="U77" i="1" s="1"/>
  <c r="G78" i="1"/>
  <c r="G82" i="1"/>
  <c r="K19" i="1"/>
  <c r="F16" i="1"/>
  <c r="K58" i="1" s="1"/>
  <c r="G56" i="1"/>
  <c r="H57" i="1"/>
  <c r="U57" i="1" s="1"/>
  <c r="F61" i="1"/>
  <c r="G65" i="1"/>
  <c r="G67" i="1"/>
  <c r="H68" i="1"/>
  <c r="U68" i="1" s="1"/>
  <c r="G69" i="1"/>
  <c r="H71" i="1"/>
  <c r="U71" i="1" s="1"/>
  <c r="F73" i="1"/>
  <c r="F75" i="1"/>
  <c r="F77" i="1"/>
  <c r="H78" i="1"/>
  <c r="U78" i="1" s="1"/>
  <c r="F86" i="1"/>
  <c r="C45" i="1"/>
  <c r="E166" i="1"/>
  <c r="E180" i="1"/>
  <c r="H79" i="1"/>
  <c r="U79" i="1" s="1"/>
  <c r="F80" i="1"/>
  <c r="F81" i="1"/>
  <c r="F82" i="1"/>
  <c r="F83" i="1"/>
  <c r="F84" i="1"/>
  <c r="F85" i="1"/>
  <c r="G86" i="1"/>
  <c r="T86" i="1" s="1"/>
  <c r="H87" i="1"/>
  <c r="U87" i="1" s="1"/>
  <c r="K219" i="1"/>
  <c r="H239" i="1" s="1"/>
  <c r="F87" i="1"/>
  <c r="Q89" i="1"/>
  <c r="F79" i="1"/>
  <c r="H80" i="1"/>
  <c r="U80" i="1" s="1"/>
  <c r="H81" i="1"/>
  <c r="H82" i="1"/>
  <c r="U82" i="1" s="1"/>
  <c r="H83" i="1"/>
  <c r="H84" i="1"/>
  <c r="U84" i="1" s="1"/>
  <c r="H85" i="1"/>
  <c r="V103" i="1"/>
  <c r="V179" i="1"/>
  <c r="V180" i="1"/>
  <c r="K230" i="1"/>
  <c r="F250" i="1" s="1"/>
  <c r="E248" i="1"/>
  <c r="I248" i="1"/>
  <c r="K231" i="1"/>
  <c r="E251" i="1" s="1"/>
  <c r="E252" i="1"/>
  <c r="I252" i="1"/>
  <c r="B248" i="1"/>
  <c r="I237" i="1"/>
  <c r="E237" i="1"/>
  <c r="H237" i="1"/>
  <c r="D237" i="1"/>
  <c r="G237" i="1"/>
  <c r="C237" i="1"/>
  <c r="K223" i="1"/>
  <c r="E243" i="1" s="1"/>
  <c r="E249" i="1"/>
  <c r="I249" i="1"/>
  <c r="E253" i="1"/>
  <c r="I253" i="1"/>
  <c r="J237" i="1"/>
  <c r="K221" i="1"/>
  <c r="H241" i="1" s="1"/>
  <c r="F249" i="1"/>
  <c r="J249" i="1"/>
  <c r="E250" i="1"/>
  <c r="F253" i="1"/>
  <c r="J253" i="1"/>
  <c r="B252" i="1"/>
  <c r="E238" i="1"/>
  <c r="I238" i="1"/>
  <c r="C244" i="1"/>
  <c r="G244" i="1"/>
  <c r="E245" i="1"/>
  <c r="I245" i="1"/>
  <c r="C246" i="1"/>
  <c r="G246" i="1"/>
  <c r="E247" i="1"/>
  <c r="I247" i="1"/>
  <c r="K220" i="1"/>
  <c r="B240" i="1" s="1"/>
  <c r="K222" i="1"/>
  <c r="C242" i="1" s="1"/>
  <c r="B238" i="1"/>
  <c r="F238" i="1"/>
  <c r="J238" i="1"/>
  <c r="D244" i="1"/>
  <c r="H244" i="1"/>
  <c r="B245" i="1"/>
  <c r="F245" i="1"/>
  <c r="J245" i="1"/>
  <c r="D246" i="1"/>
  <c r="H246" i="1"/>
  <c r="B247" i="1"/>
  <c r="F247" i="1"/>
  <c r="J247" i="1"/>
  <c r="B249" i="1"/>
  <c r="B253" i="1"/>
  <c r="C238" i="1"/>
  <c r="E244" i="1"/>
  <c r="C245" i="1"/>
  <c r="E246" i="1"/>
  <c r="C247" i="1"/>
  <c r="D239" i="1" l="1"/>
  <c r="G59" i="1"/>
  <c r="C240" i="1"/>
  <c r="D243" i="1"/>
  <c r="K244" i="1"/>
  <c r="I239" i="1"/>
  <c r="G239" i="1"/>
  <c r="D250" i="1"/>
  <c r="B250" i="1"/>
  <c r="C239" i="1"/>
  <c r="G251" i="1"/>
  <c r="J251" i="1"/>
  <c r="J240" i="1"/>
  <c r="U85" i="1"/>
  <c r="E135" i="1" s="1"/>
  <c r="U81" i="1"/>
  <c r="I242" i="1"/>
  <c r="T143" i="1" s="1"/>
  <c r="K246" i="1"/>
  <c r="F240" i="1"/>
  <c r="I240" i="1"/>
  <c r="B251" i="1"/>
  <c r="K247" i="1"/>
  <c r="G241" i="1"/>
  <c r="E239" i="1"/>
  <c r="G250" i="1"/>
  <c r="G242" i="1"/>
  <c r="B242" i="1"/>
  <c r="M143" i="1" s="1"/>
  <c r="H251" i="1"/>
  <c r="J250" i="1"/>
  <c r="U83" i="1"/>
  <c r="E240" i="1"/>
  <c r="U64" i="1"/>
  <c r="E119" i="1" s="1"/>
  <c r="F45" i="1"/>
  <c r="K20" i="1" s="1"/>
  <c r="K51" i="1" s="1"/>
  <c r="J242" i="1"/>
  <c r="U143" i="1" s="1"/>
  <c r="H58" i="1"/>
  <c r="U58" i="1" s="1"/>
  <c r="F58" i="1"/>
  <c r="K249" i="1"/>
  <c r="C241" i="1"/>
  <c r="G240" i="1"/>
  <c r="K237" i="1"/>
  <c r="C250" i="1"/>
  <c r="I251" i="1"/>
  <c r="D251" i="1"/>
  <c r="E134" i="1"/>
  <c r="E144" i="1"/>
  <c r="E114" i="1"/>
  <c r="E137" i="1"/>
  <c r="E118" i="1"/>
  <c r="T124" i="1"/>
  <c r="P124" i="1"/>
  <c r="S124" i="1"/>
  <c r="O124" i="1"/>
  <c r="R124" i="1"/>
  <c r="N124" i="1"/>
  <c r="Q124" i="1"/>
  <c r="M124" i="1"/>
  <c r="U124" i="1"/>
  <c r="U139" i="1"/>
  <c r="Q139" i="1"/>
  <c r="M139" i="1"/>
  <c r="T139" i="1"/>
  <c r="P139" i="1"/>
  <c r="S139" i="1"/>
  <c r="O139" i="1"/>
  <c r="R139" i="1"/>
  <c r="N139" i="1"/>
  <c r="K245" i="1"/>
  <c r="J243" i="1"/>
  <c r="F243" i="1"/>
  <c r="B243" i="1"/>
  <c r="E120" i="1"/>
  <c r="E113" i="1"/>
  <c r="R126" i="1"/>
  <c r="N126" i="1"/>
  <c r="U126" i="1"/>
  <c r="Q126" i="1"/>
  <c r="M126" i="1"/>
  <c r="T126" i="1"/>
  <c r="P126" i="1"/>
  <c r="S126" i="1"/>
  <c r="O126" i="1"/>
  <c r="U112" i="1"/>
  <c r="Q112" i="1"/>
  <c r="M112" i="1"/>
  <c r="T112" i="1"/>
  <c r="P112" i="1"/>
  <c r="S112" i="1"/>
  <c r="O112" i="1"/>
  <c r="R112" i="1"/>
  <c r="N112" i="1"/>
  <c r="D242" i="1"/>
  <c r="O143" i="1" s="1"/>
  <c r="H242" i="1"/>
  <c r="S143" i="1" s="1"/>
  <c r="E242" i="1"/>
  <c r="P143" i="1" s="1"/>
  <c r="C251" i="1"/>
  <c r="G243" i="1"/>
  <c r="K248" i="1"/>
  <c r="F251" i="1"/>
  <c r="I241" i="1"/>
  <c r="F242" i="1"/>
  <c r="E132" i="1"/>
  <c r="E165" i="1"/>
  <c r="E179" i="1"/>
  <c r="B239" i="1"/>
  <c r="J239" i="1"/>
  <c r="F239" i="1"/>
  <c r="E104" i="1"/>
  <c r="E127" i="1"/>
  <c r="S102" i="1"/>
  <c r="O102" i="1"/>
  <c r="R102" i="1"/>
  <c r="N102" i="1"/>
  <c r="U102" i="1"/>
  <c r="Q102" i="1"/>
  <c r="M102" i="1"/>
  <c r="P102" i="1"/>
  <c r="T102" i="1"/>
  <c r="E142" i="1"/>
  <c r="H59" i="1"/>
  <c r="F46" i="1"/>
  <c r="E130" i="1"/>
  <c r="E129" i="1"/>
  <c r="N59" i="1"/>
  <c r="N89" i="1" s="1"/>
  <c r="E206" i="1"/>
  <c r="K238" i="1"/>
  <c r="E205" i="1"/>
  <c r="E122" i="1"/>
  <c r="E125" i="1"/>
  <c r="E111" i="1"/>
  <c r="E123" i="1"/>
  <c r="E198" i="1"/>
  <c r="K253" i="1"/>
  <c r="H240" i="1"/>
  <c r="D240" i="1"/>
  <c r="K252" i="1"/>
  <c r="I250" i="1"/>
  <c r="H243" i="1"/>
  <c r="J241" i="1"/>
  <c r="F241" i="1"/>
  <c r="B241" i="1"/>
  <c r="H250" i="1"/>
  <c r="C243" i="1"/>
  <c r="E241" i="1"/>
  <c r="I243" i="1"/>
  <c r="D241" i="1"/>
  <c r="E128" i="1"/>
  <c r="E140" i="1"/>
  <c r="F59" i="1"/>
  <c r="E136" i="1"/>
  <c r="R143" i="1"/>
  <c r="N143" i="1"/>
  <c r="Q143" i="1"/>
  <c r="T164" i="1"/>
  <c r="P164" i="1"/>
  <c r="S164" i="1"/>
  <c r="O164" i="1"/>
  <c r="R164" i="1"/>
  <c r="N164" i="1"/>
  <c r="U164" i="1"/>
  <c r="Q164" i="1"/>
  <c r="M164" i="1"/>
  <c r="E141" i="1"/>
  <c r="G58" i="1"/>
  <c r="K89" i="1"/>
  <c r="E121" i="1"/>
  <c r="R138" i="1"/>
  <c r="N138" i="1"/>
  <c r="U138" i="1"/>
  <c r="Q138" i="1"/>
  <c r="M138" i="1"/>
  <c r="T138" i="1"/>
  <c r="P138" i="1"/>
  <c r="O138" i="1"/>
  <c r="S138" i="1"/>
  <c r="L59" i="1" l="1"/>
  <c r="T59" i="1" s="1"/>
  <c r="U59" i="1"/>
  <c r="U89" i="1" s="1"/>
  <c r="L71" i="1"/>
  <c r="T71" i="1" s="1"/>
  <c r="E202" i="1" s="1"/>
  <c r="K242" i="1"/>
  <c r="L53" i="1"/>
  <c r="T53" i="1" s="1"/>
  <c r="E172" i="1" s="1"/>
  <c r="L55" i="1"/>
  <c r="T55" i="1" s="1"/>
  <c r="E174" i="1" s="1"/>
  <c r="L69" i="1"/>
  <c r="T69" i="1" s="1"/>
  <c r="E186" i="1" s="1"/>
  <c r="L57" i="1"/>
  <c r="T57" i="1" s="1"/>
  <c r="E176" i="1" s="1"/>
  <c r="L72" i="1"/>
  <c r="T72" i="1" s="1"/>
  <c r="E203" i="1" s="1"/>
  <c r="F89" i="1"/>
  <c r="L80" i="1"/>
  <c r="T80" i="1" s="1"/>
  <c r="E193" i="1" s="1"/>
  <c r="L65" i="1"/>
  <c r="T65" i="1" s="1"/>
  <c r="E183" i="1" s="1"/>
  <c r="L54" i="1"/>
  <c r="T54" i="1" s="1"/>
  <c r="E173" i="1" s="1"/>
  <c r="L70" i="1"/>
  <c r="T70" i="1" s="1"/>
  <c r="E201" i="1" s="1"/>
  <c r="E115" i="1"/>
  <c r="N115" i="1" s="1"/>
  <c r="K239" i="1"/>
  <c r="G89" i="1"/>
  <c r="L74" i="1"/>
  <c r="T74" i="1" s="1"/>
  <c r="E187" i="1" s="1"/>
  <c r="K250" i="1"/>
  <c r="K240" i="1"/>
  <c r="L82" i="1"/>
  <c r="T82" i="1" s="1"/>
  <c r="E195" i="1" s="1"/>
  <c r="H89" i="1"/>
  <c r="L75" i="1"/>
  <c r="T75" i="1" s="1"/>
  <c r="E188" i="1" s="1"/>
  <c r="L62" i="1"/>
  <c r="T62" i="1" s="1"/>
  <c r="E181" i="1" s="1"/>
  <c r="K251" i="1"/>
  <c r="V124" i="1"/>
  <c r="E178" i="1"/>
  <c r="T128" i="1"/>
  <c r="P128" i="1"/>
  <c r="S128" i="1"/>
  <c r="O128" i="1"/>
  <c r="R128" i="1"/>
  <c r="N128" i="1"/>
  <c r="U128" i="1"/>
  <c r="Q128" i="1"/>
  <c r="M128" i="1"/>
  <c r="U125" i="1"/>
  <c r="Q125" i="1"/>
  <c r="M125" i="1"/>
  <c r="T125" i="1"/>
  <c r="P125" i="1"/>
  <c r="S125" i="1"/>
  <c r="O125" i="1"/>
  <c r="R125" i="1"/>
  <c r="N125" i="1"/>
  <c r="R205" i="1"/>
  <c r="N205" i="1"/>
  <c r="U205" i="1"/>
  <c r="Q205" i="1"/>
  <c r="M205" i="1"/>
  <c r="T205" i="1"/>
  <c r="P205" i="1"/>
  <c r="O205" i="1"/>
  <c r="S205" i="1"/>
  <c r="E133" i="1"/>
  <c r="U129" i="1"/>
  <c r="Q129" i="1"/>
  <c r="M129" i="1"/>
  <c r="T129" i="1"/>
  <c r="P129" i="1"/>
  <c r="S129" i="1"/>
  <c r="O129" i="1"/>
  <c r="R129" i="1"/>
  <c r="N129" i="1"/>
  <c r="S119" i="1"/>
  <c r="O119" i="1"/>
  <c r="R119" i="1"/>
  <c r="N119" i="1"/>
  <c r="U119" i="1"/>
  <c r="Q119" i="1"/>
  <c r="M119" i="1"/>
  <c r="T119" i="1"/>
  <c r="P119" i="1"/>
  <c r="O115" i="1"/>
  <c r="Q115" i="1"/>
  <c r="V139" i="1"/>
  <c r="R134" i="1"/>
  <c r="N134" i="1"/>
  <c r="U134" i="1"/>
  <c r="Q134" i="1"/>
  <c r="M134" i="1"/>
  <c r="T134" i="1"/>
  <c r="P134" i="1"/>
  <c r="S134" i="1"/>
  <c r="O134" i="1"/>
  <c r="E110" i="1"/>
  <c r="L58" i="1"/>
  <c r="T58" i="1" s="1"/>
  <c r="L78" i="1"/>
  <c r="T78" i="1" s="1"/>
  <c r="L66" i="1"/>
  <c r="T66" i="1" s="1"/>
  <c r="L64" i="1"/>
  <c r="T64" i="1" s="1"/>
  <c r="L63" i="1"/>
  <c r="T63" i="1" s="1"/>
  <c r="L81" i="1"/>
  <c r="T81" i="1" s="1"/>
  <c r="L73" i="1"/>
  <c r="T73" i="1" s="1"/>
  <c r="L77" i="1"/>
  <c r="T77" i="1" s="1"/>
  <c r="U141" i="1"/>
  <c r="Q141" i="1"/>
  <c r="M141" i="1"/>
  <c r="T141" i="1"/>
  <c r="P141" i="1"/>
  <c r="S141" i="1"/>
  <c r="O141" i="1"/>
  <c r="R141" i="1"/>
  <c r="N141" i="1"/>
  <c r="U140" i="1"/>
  <c r="Q140" i="1"/>
  <c r="M140" i="1"/>
  <c r="T140" i="1"/>
  <c r="P140" i="1"/>
  <c r="S140" i="1"/>
  <c r="O140" i="1"/>
  <c r="R140" i="1"/>
  <c r="N140" i="1"/>
  <c r="L84" i="1"/>
  <c r="T84" i="1" s="1"/>
  <c r="L67" i="1"/>
  <c r="T67" i="1" s="1"/>
  <c r="E131" i="1"/>
  <c r="K241" i="1"/>
  <c r="L56" i="1"/>
  <c r="T56" i="1" s="1"/>
  <c r="R122" i="1"/>
  <c r="N122" i="1"/>
  <c r="U122" i="1"/>
  <c r="Q122" i="1"/>
  <c r="M122" i="1"/>
  <c r="T122" i="1"/>
  <c r="P122" i="1"/>
  <c r="S122" i="1"/>
  <c r="O122" i="1"/>
  <c r="R206" i="1"/>
  <c r="N206" i="1"/>
  <c r="U206" i="1"/>
  <c r="Q206" i="1"/>
  <c r="M206" i="1"/>
  <c r="T206" i="1"/>
  <c r="P206" i="1"/>
  <c r="S206" i="1"/>
  <c r="O206" i="1"/>
  <c r="L79" i="1"/>
  <c r="T79" i="1" s="1"/>
  <c r="L68" i="1"/>
  <c r="T68" i="1" s="1"/>
  <c r="T132" i="1"/>
  <c r="P132" i="1"/>
  <c r="S132" i="1"/>
  <c r="O132" i="1"/>
  <c r="R132" i="1"/>
  <c r="N132" i="1"/>
  <c r="U132" i="1"/>
  <c r="Q132" i="1"/>
  <c r="M132" i="1"/>
  <c r="V126" i="1"/>
  <c r="V164" i="1"/>
  <c r="V143" i="1"/>
  <c r="S135" i="1"/>
  <c r="O135" i="1"/>
  <c r="R135" i="1"/>
  <c r="N135" i="1"/>
  <c r="U135" i="1"/>
  <c r="Q135" i="1"/>
  <c r="M135" i="1"/>
  <c r="T135" i="1"/>
  <c r="P135" i="1"/>
  <c r="S123" i="1"/>
  <c r="O123" i="1"/>
  <c r="R123" i="1"/>
  <c r="N123" i="1"/>
  <c r="U123" i="1"/>
  <c r="Q123" i="1"/>
  <c r="M123" i="1"/>
  <c r="T123" i="1"/>
  <c r="P123" i="1"/>
  <c r="E116" i="1"/>
  <c r="U142" i="1"/>
  <c r="Q142" i="1"/>
  <c r="M142" i="1"/>
  <c r="T142" i="1"/>
  <c r="P142" i="1"/>
  <c r="S142" i="1"/>
  <c r="O142" i="1"/>
  <c r="N142" i="1"/>
  <c r="R142" i="1"/>
  <c r="V112" i="1"/>
  <c r="R113" i="1"/>
  <c r="N113" i="1"/>
  <c r="U113" i="1"/>
  <c r="Q113" i="1"/>
  <c r="M113" i="1"/>
  <c r="T113" i="1"/>
  <c r="P113" i="1"/>
  <c r="S113" i="1"/>
  <c r="O113" i="1"/>
  <c r="K243" i="1"/>
  <c r="S137" i="1"/>
  <c r="O137" i="1"/>
  <c r="R137" i="1"/>
  <c r="N137" i="1"/>
  <c r="U137" i="1"/>
  <c r="Q137" i="1"/>
  <c r="M137" i="1"/>
  <c r="P137" i="1"/>
  <c r="T137" i="1"/>
  <c r="S114" i="1"/>
  <c r="O114" i="1"/>
  <c r="R114" i="1"/>
  <c r="N114" i="1"/>
  <c r="U114" i="1"/>
  <c r="Q114" i="1"/>
  <c r="M114" i="1"/>
  <c r="T114" i="1"/>
  <c r="P114" i="1"/>
  <c r="V138" i="1"/>
  <c r="U121" i="1"/>
  <c r="Q121" i="1"/>
  <c r="M121" i="1"/>
  <c r="T121" i="1"/>
  <c r="P121" i="1"/>
  <c r="S121" i="1"/>
  <c r="O121" i="1"/>
  <c r="R121" i="1"/>
  <c r="N121" i="1"/>
  <c r="S136" i="1"/>
  <c r="O136" i="1"/>
  <c r="R136" i="1"/>
  <c r="N136" i="1"/>
  <c r="U136" i="1"/>
  <c r="Q136" i="1"/>
  <c r="M136" i="1"/>
  <c r="T136" i="1"/>
  <c r="P136" i="1"/>
  <c r="S198" i="1"/>
  <c r="O198" i="1"/>
  <c r="R198" i="1"/>
  <c r="N198" i="1"/>
  <c r="U198" i="1"/>
  <c r="Q198" i="1"/>
  <c r="M198" i="1"/>
  <c r="T198" i="1"/>
  <c r="P198" i="1"/>
  <c r="U111" i="1"/>
  <c r="Q111" i="1"/>
  <c r="M111" i="1"/>
  <c r="T111" i="1"/>
  <c r="P111" i="1"/>
  <c r="S111" i="1"/>
  <c r="O111" i="1"/>
  <c r="N111" i="1"/>
  <c r="R111" i="1"/>
  <c r="L76" i="1"/>
  <c r="T76" i="1" s="1"/>
  <c r="R130" i="1"/>
  <c r="N130" i="1"/>
  <c r="U130" i="1"/>
  <c r="Q130" i="1"/>
  <c r="M130" i="1"/>
  <c r="T130" i="1"/>
  <c r="P130" i="1"/>
  <c r="O130" i="1"/>
  <c r="S130" i="1"/>
  <c r="V102" i="1"/>
  <c r="S127" i="1"/>
  <c r="O127" i="1"/>
  <c r="R127" i="1"/>
  <c r="N127" i="1"/>
  <c r="U127" i="1"/>
  <c r="Q127" i="1"/>
  <c r="M127" i="1"/>
  <c r="P127" i="1"/>
  <c r="T127" i="1"/>
  <c r="T120" i="1"/>
  <c r="P120" i="1"/>
  <c r="S120" i="1"/>
  <c r="O120" i="1"/>
  <c r="R120" i="1"/>
  <c r="N120" i="1"/>
  <c r="M120" i="1"/>
  <c r="U120" i="1"/>
  <c r="Q120" i="1"/>
  <c r="R118" i="1"/>
  <c r="N118" i="1"/>
  <c r="U118" i="1"/>
  <c r="Q118" i="1"/>
  <c r="M118" i="1"/>
  <c r="T118" i="1"/>
  <c r="P118" i="1"/>
  <c r="S118" i="1"/>
  <c r="O118" i="1"/>
  <c r="U144" i="1"/>
  <c r="Q144" i="1"/>
  <c r="M144" i="1"/>
  <c r="R144" i="1"/>
  <c r="P144" i="1"/>
  <c r="T144" i="1"/>
  <c r="O144" i="1"/>
  <c r="S144" i="1"/>
  <c r="N144" i="1"/>
  <c r="L83" i="1"/>
  <c r="T83" i="1" s="1"/>
  <c r="M115" i="1" l="1"/>
  <c r="R115" i="1"/>
  <c r="T115" i="1"/>
  <c r="U115" i="1"/>
  <c r="S115" i="1"/>
  <c r="P115" i="1"/>
  <c r="T89" i="1"/>
  <c r="V137" i="1"/>
  <c r="V127" i="1"/>
  <c r="V144" i="1"/>
  <c r="V128" i="1"/>
  <c r="V198" i="1"/>
  <c r="V140" i="1"/>
  <c r="E177" i="1"/>
  <c r="E196" i="1"/>
  <c r="E192" i="1"/>
  <c r="V122" i="1"/>
  <c r="E197" i="1"/>
  <c r="E199" i="1"/>
  <c r="E146" i="1"/>
  <c r="U110" i="1"/>
  <c r="Q110" i="1"/>
  <c r="M110" i="1"/>
  <c r="T110" i="1"/>
  <c r="P110" i="1"/>
  <c r="S110" i="1"/>
  <c r="O110" i="1"/>
  <c r="R110" i="1"/>
  <c r="N110" i="1"/>
  <c r="V130" i="1"/>
  <c r="L89" i="1"/>
  <c r="V132" i="1"/>
  <c r="E190" i="1"/>
  <c r="E101" i="1"/>
  <c r="E100" i="1"/>
  <c r="E99" i="1"/>
  <c r="U133" i="1"/>
  <c r="Q133" i="1"/>
  <c r="M133" i="1"/>
  <c r="T133" i="1"/>
  <c r="P133" i="1"/>
  <c r="S133" i="1"/>
  <c r="O133" i="1"/>
  <c r="N133" i="1"/>
  <c r="R133" i="1"/>
  <c r="S173" i="1"/>
  <c r="O173" i="1"/>
  <c r="Q173" i="1"/>
  <c r="U173" i="1"/>
  <c r="P173" i="1"/>
  <c r="T173" i="1"/>
  <c r="N173" i="1"/>
  <c r="R173" i="1"/>
  <c r="M173" i="1"/>
  <c r="T202" i="1"/>
  <c r="P202" i="1"/>
  <c r="S202" i="1"/>
  <c r="O202" i="1"/>
  <c r="R202" i="1"/>
  <c r="N202" i="1"/>
  <c r="U202" i="1"/>
  <c r="Q202" i="1"/>
  <c r="M202" i="1"/>
  <c r="T174" i="1"/>
  <c r="P174" i="1"/>
  <c r="Q174" i="1"/>
  <c r="U174" i="1"/>
  <c r="O174" i="1"/>
  <c r="S174" i="1"/>
  <c r="N174" i="1"/>
  <c r="M174" i="1"/>
  <c r="R174" i="1"/>
  <c r="V120" i="1"/>
  <c r="V136" i="1"/>
  <c r="V114" i="1"/>
  <c r="U188" i="1"/>
  <c r="Q188" i="1"/>
  <c r="M188" i="1"/>
  <c r="T188" i="1"/>
  <c r="P188" i="1"/>
  <c r="O188" i="1"/>
  <c r="N188" i="1"/>
  <c r="S188" i="1"/>
  <c r="R188" i="1"/>
  <c r="V142" i="1"/>
  <c r="V123" i="1"/>
  <c r="S172" i="1"/>
  <c r="O172" i="1"/>
  <c r="R172" i="1"/>
  <c r="M172" i="1"/>
  <c r="Q172" i="1"/>
  <c r="U172" i="1"/>
  <c r="P172" i="1"/>
  <c r="N172" i="1"/>
  <c r="T172" i="1"/>
  <c r="V141" i="1"/>
  <c r="E204" i="1"/>
  <c r="E200" i="1"/>
  <c r="V134" i="1"/>
  <c r="V129" i="1"/>
  <c r="T195" i="1"/>
  <c r="P195" i="1"/>
  <c r="S195" i="1"/>
  <c r="O195" i="1"/>
  <c r="R195" i="1"/>
  <c r="N195" i="1"/>
  <c r="M195" i="1"/>
  <c r="U195" i="1"/>
  <c r="Q195" i="1"/>
  <c r="V125" i="1"/>
  <c r="T201" i="1"/>
  <c r="P201" i="1"/>
  <c r="S201" i="1"/>
  <c r="O201" i="1"/>
  <c r="R201" i="1"/>
  <c r="Q201" i="1"/>
  <c r="N201" i="1"/>
  <c r="M201" i="1"/>
  <c r="U201" i="1"/>
  <c r="V121" i="1"/>
  <c r="S131" i="1"/>
  <c r="O131" i="1"/>
  <c r="R131" i="1"/>
  <c r="N131" i="1"/>
  <c r="U131" i="1"/>
  <c r="Q131" i="1"/>
  <c r="M131" i="1"/>
  <c r="T131" i="1"/>
  <c r="P131" i="1"/>
  <c r="V113" i="1"/>
  <c r="E175" i="1"/>
  <c r="E182" i="1"/>
  <c r="T178" i="1"/>
  <c r="P178" i="1"/>
  <c r="U178" i="1"/>
  <c r="O178" i="1"/>
  <c r="S178" i="1"/>
  <c r="N178" i="1"/>
  <c r="R178" i="1"/>
  <c r="M178" i="1"/>
  <c r="Q178" i="1"/>
  <c r="V118" i="1"/>
  <c r="E189" i="1"/>
  <c r="V111" i="1"/>
  <c r="T116" i="1"/>
  <c r="P116" i="1"/>
  <c r="S116" i="1"/>
  <c r="O116" i="1"/>
  <c r="R116" i="1"/>
  <c r="N116" i="1"/>
  <c r="U116" i="1"/>
  <c r="Q116" i="1"/>
  <c r="M116" i="1"/>
  <c r="V135" i="1"/>
  <c r="R193" i="1"/>
  <c r="N193" i="1"/>
  <c r="U193" i="1"/>
  <c r="Q193" i="1"/>
  <c r="M193" i="1"/>
  <c r="T193" i="1"/>
  <c r="P193" i="1"/>
  <c r="S193" i="1"/>
  <c r="O193" i="1"/>
  <c r="E185" i="1"/>
  <c r="V206" i="1"/>
  <c r="E184" i="1"/>
  <c r="E194" i="1"/>
  <c r="E191" i="1"/>
  <c r="V119" i="1"/>
  <c r="V205" i="1"/>
  <c r="T187" i="1"/>
  <c r="P187" i="1"/>
  <c r="S187" i="1"/>
  <c r="O187" i="1"/>
  <c r="R187" i="1"/>
  <c r="Q187" i="1"/>
  <c r="N187" i="1"/>
  <c r="U187" i="1"/>
  <c r="M187" i="1"/>
  <c r="U183" i="1"/>
  <c r="Q183" i="1"/>
  <c r="M183" i="1"/>
  <c r="T183" i="1"/>
  <c r="P183" i="1"/>
  <c r="O183" i="1"/>
  <c r="N183" i="1"/>
  <c r="S183" i="1"/>
  <c r="R183" i="1"/>
  <c r="S181" i="1"/>
  <c r="O181" i="1"/>
  <c r="R181" i="1"/>
  <c r="M181" i="1"/>
  <c r="Q181" i="1"/>
  <c r="U181" i="1"/>
  <c r="P181" i="1"/>
  <c r="T181" i="1"/>
  <c r="N181" i="1"/>
  <c r="R176" i="1"/>
  <c r="N176" i="1"/>
  <c r="U176" i="1"/>
  <c r="P176" i="1"/>
  <c r="T176" i="1"/>
  <c r="O176" i="1"/>
  <c r="S176" i="1"/>
  <c r="M176" i="1"/>
  <c r="Q176" i="1"/>
  <c r="S186" i="1"/>
  <c r="O186" i="1"/>
  <c r="R186" i="1"/>
  <c r="N186" i="1"/>
  <c r="U186" i="1"/>
  <c r="M186" i="1"/>
  <c r="T186" i="1"/>
  <c r="Q186" i="1"/>
  <c r="P186" i="1"/>
  <c r="V115" i="1" l="1"/>
  <c r="V186" i="1"/>
  <c r="V174" i="1"/>
  <c r="V202" i="1"/>
  <c r="O146" i="1"/>
  <c r="O154" i="1" s="1"/>
  <c r="V181" i="1"/>
  <c r="T191" i="1"/>
  <c r="P191" i="1"/>
  <c r="S191" i="1"/>
  <c r="O191" i="1"/>
  <c r="N191" i="1"/>
  <c r="U191" i="1"/>
  <c r="M191" i="1"/>
  <c r="R191" i="1"/>
  <c r="Q191" i="1"/>
  <c r="R184" i="1"/>
  <c r="N184" i="1"/>
  <c r="U184" i="1"/>
  <c r="Q184" i="1"/>
  <c r="M184" i="1"/>
  <c r="T184" i="1"/>
  <c r="S184" i="1"/>
  <c r="P184" i="1"/>
  <c r="O184" i="1"/>
  <c r="V193" i="1"/>
  <c r="T182" i="1"/>
  <c r="P182" i="1"/>
  <c r="S182" i="1"/>
  <c r="R182" i="1"/>
  <c r="M182" i="1"/>
  <c r="Q182" i="1"/>
  <c r="O182" i="1"/>
  <c r="N182" i="1"/>
  <c r="U182" i="1"/>
  <c r="R99" i="1"/>
  <c r="N99" i="1"/>
  <c r="U99" i="1"/>
  <c r="Q99" i="1"/>
  <c r="M99" i="1"/>
  <c r="T99" i="1"/>
  <c r="P99" i="1"/>
  <c r="F99" i="1"/>
  <c r="O99" i="1"/>
  <c r="S99" i="1"/>
  <c r="O148" i="1"/>
  <c r="M146" i="1"/>
  <c r="V110" i="1"/>
  <c r="U196" i="1"/>
  <c r="Q196" i="1"/>
  <c r="M196" i="1"/>
  <c r="T196" i="1"/>
  <c r="P196" i="1"/>
  <c r="S196" i="1"/>
  <c r="O196" i="1"/>
  <c r="R196" i="1"/>
  <c r="N196" i="1"/>
  <c r="V187" i="1"/>
  <c r="S194" i="1"/>
  <c r="O194" i="1"/>
  <c r="R194" i="1"/>
  <c r="N194" i="1"/>
  <c r="U194" i="1"/>
  <c r="Q194" i="1"/>
  <c r="M194" i="1"/>
  <c r="T194" i="1"/>
  <c r="P194" i="1"/>
  <c r="R189" i="1"/>
  <c r="N189" i="1"/>
  <c r="U189" i="1"/>
  <c r="Q189" i="1"/>
  <c r="M189" i="1"/>
  <c r="T189" i="1"/>
  <c r="S189" i="1"/>
  <c r="P189" i="1"/>
  <c r="O189" i="1"/>
  <c r="V195" i="1"/>
  <c r="V172" i="1"/>
  <c r="V133" i="1"/>
  <c r="U100" i="1"/>
  <c r="Q100" i="1"/>
  <c r="M100" i="1"/>
  <c r="T100" i="1"/>
  <c r="P100" i="1"/>
  <c r="F100" i="1"/>
  <c r="S100" i="1"/>
  <c r="O100" i="1"/>
  <c r="R100" i="1"/>
  <c r="N100" i="1"/>
  <c r="S190" i="1"/>
  <c r="O190" i="1"/>
  <c r="R190" i="1"/>
  <c r="N190" i="1"/>
  <c r="Q190" i="1"/>
  <c r="P190" i="1"/>
  <c r="U190" i="1"/>
  <c r="M190" i="1"/>
  <c r="T190" i="1"/>
  <c r="S146" i="1"/>
  <c r="Q146" i="1"/>
  <c r="S199" i="1"/>
  <c r="O199" i="1"/>
  <c r="R199" i="1"/>
  <c r="N199" i="1"/>
  <c r="U199" i="1"/>
  <c r="Q199" i="1"/>
  <c r="M199" i="1"/>
  <c r="P199" i="1"/>
  <c r="T199" i="1"/>
  <c r="E162" i="1"/>
  <c r="E163" i="1"/>
  <c r="V183" i="1"/>
  <c r="V116" i="1"/>
  <c r="U175" i="1"/>
  <c r="Q175" i="1"/>
  <c r="M175" i="1"/>
  <c r="P175" i="1"/>
  <c r="T175" i="1"/>
  <c r="O175" i="1"/>
  <c r="S175" i="1"/>
  <c r="N175" i="1"/>
  <c r="R175" i="1"/>
  <c r="V131" i="1"/>
  <c r="V201" i="1"/>
  <c r="V188" i="1"/>
  <c r="V173" i="1"/>
  <c r="N146" i="1"/>
  <c r="P146" i="1"/>
  <c r="U146" i="1"/>
  <c r="U192" i="1"/>
  <c r="Q192" i="1"/>
  <c r="M192" i="1"/>
  <c r="T192" i="1"/>
  <c r="P192" i="1"/>
  <c r="S192" i="1"/>
  <c r="O192" i="1"/>
  <c r="N192" i="1"/>
  <c r="R192" i="1"/>
  <c r="V176" i="1"/>
  <c r="R185" i="1"/>
  <c r="N185" i="1"/>
  <c r="U185" i="1"/>
  <c r="Q185" i="1"/>
  <c r="M185" i="1"/>
  <c r="P185" i="1"/>
  <c r="O185" i="1"/>
  <c r="T185" i="1"/>
  <c r="S185" i="1"/>
  <c r="V178" i="1"/>
  <c r="S200" i="1"/>
  <c r="O200" i="1"/>
  <c r="R200" i="1"/>
  <c r="N200" i="1"/>
  <c r="U200" i="1"/>
  <c r="Q200" i="1"/>
  <c r="M200" i="1"/>
  <c r="T200" i="1"/>
  <c r="P200" i="1"/>
  <c r="E208" i="1"/>
  <c r="F204" i="1" s="1"/>
  <c r="T101" i="1"/>
  <c r="P101" i="1"/>
  <c r="F101" i="1"/>
  <c r="S101" i="1"/>
  <c r="O101" i="1"/>
  <c r="R101" i="1"/>
  <c r="N101" i="1"/>
  <c r="Q101" i="1"/>
  <c r="M101" i="1"/>
  <c r="U101" i="1"/>
  <c r="R146" i="1"/>
  <c r="T146" i="1"/>
  <c r="F143" i="1"/>
  <c r="F139" i="1"/>
  <c r="F102" i="1"/>
  <c r="F138" i="1"/>
  <c r="F103" i="1"/>
  <c r="F141" i="1"/>
  <c r="F142" i="1"/>
  <c r="F140" i="1"/>
  <c r="F136" i="1"/>
  <c r="F137" i="1"/>
  <c r="F144" i="1"/>
  <c r="F104" i="1"/>
  <c r="R197" i="1"/>
  <c r="N197" i="1"/>
  <c r="U197" i="1"/>
  <c r="Q197" i="1"/>
  <c r="M197" i="1"/>
  <c r="T197" i="1"/>
  <c r="P197" i="1"/>
  <c r="S197" i="1"/>
  <c r="O197" i="1"/>
  <c r="S177" i="1"/>
  <c r="O177" i="1"/>
  <c r="U177" i="1"/>
  <c r="P177" i="1"/>
  <c r="T177" i="1"/>
  <c r="N177" i="1"/>
  <c r="R177" i="1"/>
  <c r="M177" i="1"/>
  <c r="Q177" i="1"/>
  <c r="N208" i="1" l="1"/>
  <c r="N210" i="1" s="1"/>
  <c r="O208" i="1"/>
  <c r="O210" i="1" s="1"/>
  <c r="T208" i="1"/>
  <c r="T210" i="1" s="1"/>
  <c r="Q106" i="1"/>
  <c r="U208" i="1"/>
  <c r="U210" i="1" s="1"/>
  <c r="P208" i="1"/>
  <c r="P210" i="1" s="1"/>
  <c r="R208" i="1"/>
  <c r="R210" i="1" s="1"/>
  <c r="S208" i="1"/>
  <c r="S210" i="1" s="1"/>
  <c r="Q208" i="1"/>
  <c r="Q210" i="1" s="1"/>
  <c r="F200" i="1"/>
  <c r="R148" i="1"/>
  <c r="R154" i="1"/>
  <c r="V192" i="1"/>
  <c r="P154" i="1"/>
  <c r="P148" i="1"/>
  <c r="V175" i="1"/>
  <c r="U163" i="1"/>
  <c r="Q163" i="1"/>
  <c r="M163" i="1"/>
  <c r="T163" i="1"/>
  <c r="P163" i="1"/>
  <c r="F163" i="1"/>
  <c r="S163" i="1"/>
  <c r="O163" i="1"/>
  <c r="R163" i="1"/>
  <c r="N163" i="1"/>
  <c r="Q148" i="1"/>
  <c r="Q154" i="1"/>
  <c r="S106" i="1"/>
  <c r="T106" i="1"/>
  <c r="N106" i="1"/>
  <c r="N148" i="1"/>
  <c r="N154" i="1"/>
  <c r="S162" i="1"/>
  <c r="O162" i="1"/>
  <c r="R162" i="1"/>
  <c r="N162" i="1"/>
  <c r="U162" i="1"/>
  <c r="Q162" i="1"/>
  <c r="M162" i="1"/>
  <c r="F162" i="1"/>
  <c r="T162" i="1"/>
  <c r="P162" i="1"/>
  <c r="V199" i="1"/>
  <c r="S148" i="1"/>
  <c r="S154" i="1"/>
  <c r="V196" i="1"/>
  <c r="M148" i="1"/>
  <c r="M154" i="1"/>
  <c r="V146" i="1"/>
  <c r="O106" i="1"/>
  <c r="M106" i="1"/>
  <c r="V99" i="1"/>
  <c r="R106" i="1"/>
  <c r="V182" i="1"/>
  <c r="V177" i="1"/>
  <c r="V197" i="1"/>
  <c r="V101" i="1"/>
  <c r="F166" i="1"/>
  <c r="F164" i="1"/>
  <c r="F205" i="1"/>
  <c r="F165" i="1"/>
  <c r="F206" i="1"/>
  <c r="F202" i="1"/>
  <c r="F203" i="1"/>
  <c r="F201" i="1"/>
  <c r="F185" i="1"/>
  <c r="V185" i="1"/>
  <c r="V100" i="1"/>
  <c r="V194" i="1"/>
  <c r="F146" i="1"/>
  <c r="V191" i="1"/>
  <c r="T154" i="1"/>
  <c r="T148" i="1"/>
  <c r="V200" i="1"/>
  <c r="U148" i="1"/>
  <c r="U154" i="1"/>
  <c r="F199" i="1"/>
  <c r="V190" i="1"/>
  <c r="M208" i="1"/>
  <c r="V189" i="1"/>
  <c r="O150" i="1"/>
  <c r="O149" i="1"/>
  <c r="P106" i="1"/>
  <c r="U106" i="1"/>
  <c r="V184" i="1"/>
  <c r="R168" i="1" l="1"/>
  <c r="Q168" i="1"/>
  <c r="N168" i="1"/>
  <c r="O168" i="1"/>
  <c r="U168" i="1"/>
  <c r="S168" i="1"/>
  <c r="T168" i="1"/>
  <c r="V208" i="1"/>
  <c r="M210" i="1"/>
  <c r="V210" i="1" s="1"/>
  <c r="V106" i="1"/>
  <c r="V148" i="1"/>
  <c r="M150" i="1"/>
  <c r="M149" i="1"/>
  <c r="M168" i="1"/>
  <c r="V162" i="1"/>
  <c r="T150" i="1"/>
  <c r="T149" i="1"/>
  <c r="P168" i="1"/>
  <c r="N150" i="1"/>
  <c r="N149" i="1"/>
  <c r="U150" i="1"/>
  <c r="U149" i="1"/>
  <c r="Q150" i="1"/>
  <c r="Q149" i="1"/>
  <c r="V163" i="1"/>
  <c r="V154" i="1"/>
  <c r="S150" i="1"/>
  <c r="S149" i="1"/>
  <c r="F208" i="1"/>
  <c r="P149" i="1"/>
  <c r="P150" i="1"/>
  <c r="R150" i="1"/>
  <c r="R149" i="1"/>
  <c r="V149" i="1" l="1"/>
  <c r="V150" i="1"/>
  <c r="V168" i="1"/>
</calcChain>
</file>

<file path=xl/sharedStrings.xml><?xml version="1.0" encoding="utf-8"?>
<sst xmlns="http://schemas.openxmlformats.org/spreadsheetml/2006/main" count="505" uniqueCount="196">
  <si>
    <t>Verteilung der gemeinschaftlichen Bundesabgaben 2012</t>
  </si>
  <si>
    <t>in 1000.- Euro</t>
  </si>
  <si>
    <t>Aufkommen</t>
  </si>
  <si>
    <t>FlAF (§ 39/5a)</t>
  </si>
  <si>
    <t>verbleibt als</t>
  </si>
  <si>
    <t>Vorwegabz.</t>
  </si>
  <si>
    <t>EA zur Verteilung</t>
  </si>
  <si>
    <t>Übersicht über diverse Abzüge</t>
  </si>
  <si>
    <t>BeihilfenG</t>
  </si>
  <si>
    <t>fixe Vorwegabzüge</t>
  </si>
  <si>
    <t>veranl. Eink.st.</t>
  </si>
  <si>
    <t>Länder</t>
  </si>
  <si>
    <t>Lohnsteuer</t>
  </si>
  <si>
    <t>Gemeinden</t>
  </si>
  <si>
    <t>Kest I</t>
  </si>
  <si>
    <t>Kest II</t>
  </si>
  <si>
    <t>aufkommensabhängig</t>
  </si>
  <si>
    <t>Steuerabkommen</t>
  </si>
  <si>
    <t>Gmde-KA-Btrg (USt)</t>
  </si>
  <si>
    <t>Körperschaftsteuer</t>
  </si>
  <si>
    <t>BZ Spielbankgmden -u Ldr (USt)</t>
  </si>
  <si>
    <t>Umsatzsteuer</t>
  </si>
  <si>
    <t>EU-Länder-Beitrag (Eigenm)</t>
  </si>
  <si>
    <t>Biersteuer</t>
  </si>
  <si>
    <t>FlaF (vESt, LSt, KeSt I, KöSt)</t>
  </si>
  <si>
    <t>Weinsteuer</t>
  </si>
  <si>
    <t>KatF (-"- + 10 Mio. Euro)</t>
  </si>
  <si>
    <t>Schaumweinst.</t>
  </si>
  <si>
    <t>Gmden-EU-Btrg (-"-)</t>
  </si>
  <si>
    <t>Alkoholsteuer</t>
  </si>
  <si>
    <t>Abg.v.alkoh.Getränken</t>
  </si>
  <si>
    <t>Mineralölsteuer</t>
  </si>
  <si>
    <t>Erbschafts- u Schenk.st.</t>
  </si>
  <si>
    <t>Stiftungseingangssteuer</t>
  </si>
  <si>
    <t>Werbeabgabe</t>
  </si>
  <si>
    <t>Wohnbaufdgbtrg</t>
  </si>
  <si>
    <t>Grunderwerbsteuer</t>
  </si>
  <si>
    <t>Bodenwertabgabe</t>
  </si>
  <si>
    <t>Kraftfahrzeugsteuer</t>
  </si>
  <si>
    <t>Motorbez. Vers.steuer</t>
  </si>
  <si>
    <t>Tabaksteuer</t>
  </si>
  <si>
    <t xml:space="preserve">Kapitalverkehrsteuern </t>
  </si>
  <si>
    <t>Finanztransaktionssteuer</t>
  </si>
  <si>
    <t>Bankenabgabe</t>
  </si>
  <si>
    <t>Flugabgabe</t>
  </si>
  <si>
    <t>Energieabgaben</t>
  </si>
  <si>
    <t xml:space="preserve">Normverbrauchsabgabe </t>
  </si>
  <si>
    <t>Versicherungsteuer</t>
  </si>
  <si>
    <t>Konzessionsabgabe</t>
  </si>
  <si>
    <t>Kunstf.btrg (abz. Einh.verg)</t>
  </si>
  <si>
    <t>Spielbankabg. &lt;= 725.000</t>
  </si>
  <si>
    <t>Spielbankabg. &gt; 725.000</t>
  </si>
  <si>
    <t>Summe</t>
  </si>
  <si>
    <t>davon Abg. m einh Schl</t>
  </si>
  <si>
    <t>vertikale Verteilung</t>
  </si>
  <si>
    <t>EU-Btrg.</t>
  </si>
  <si>
    <t>Ldr-EU-Btrg, Kons.btrg</t>
  </si>
  <si>
    <t>Gmde-KA-Btrg</t>
  </si>
  <si>
    <t>USt-Erhöhung</t>
  </si>
  <si>
    <t>Siedlungswasserwirtschaft</t>
  </si>
  <si>
    <t>Bund</t>
  </si>
  <si>
    <t>EU</t>
  </si>
  <si>
    <t>+Lohnsteuer</t>
  </si>
  <si>
    <t>vor BZ-Abzug</t>
  </si>
  <si>
    <t>fix</t>
  </si>
  <si>
    <t>vESt</t>
  </si>
  <si>
    <t xml:space="preserve">  vESt</t>
  </si>
  <si>
    <t>LSt</t>
  </si>
  <si>
    <t xml:space="preserve">  LSt</t>
  </si>
  <si>
    <t xml:space="preserve">  Kest I</t>
  </si>
  <si>
    <t xml:space="preserve">  Kest II</t>
  </si>
  <si>
    <t>Steuerabk.</t>
  </si>
  <si>
    <t xml:space="preserve">  Steuerabk.</t>
  </si>
  <si>
    <t>Köst</t>
  </si>
  <si>
    <t xml:space="preserve">  Köst</t>
  </si>
  <si>
    <t>USt</t>
  </si>
  <si>
    <t xml:space="preserve">  USt</t>
  </si>
  <si>
    <t>USt-Selbstträgerschaft</t>
  </si>
  <si>
    <t>USt-Selbsttr.</t>
  </si>
  <si>
    <t xml:space="preserve">  USt-Selbsttr.</t>
  </si>
  <si>
    <t>USt-Landespflegegeld</t>
  </si>
  <si>
    <t>USt-Landespfl.gld</t>
  </si>
  <si>
    <t xml:space="preserve">  USt-Landespfl.gld</t>
  </si>
  <si>
    <t>BierSt</t>
  </si>
  <si>
    <t xml:space="preserve">  BierSt</t>
  </si>
  <si>
    <t>WeinSt</t>
  </si>
  <si>
    <t xml:space="preserve">  WeinSt</t>
  </si>
  <si>
    <t>Schaumw.St</t>
  </si>
  <si>
    <t xml:space="preserve">  Schaumw.St</t>
  </si>
  <si>
    <t>Alk.St.</t>
  </si>
  <si>
    <t xml:space="preserve">  Alk.St.</t>
  </si>
  <si>
    <t>AlkoholAbg</t>
  </si>
  <si>
    <t xml:space="preserve">  AlkoholAbg</t>
  </si>
  <si>
    <t>MinSt</t>
  </si>
  <si>
    <t xml:space="preserve">  MinSt</t>
  </si>
  <si>
    <t>ErbSchSt</t>
  </si>
  <si>
    <t xml:space="preserve">  ErbSchSt</t>
  </si>
  <si>
    <t xml:space="preserve">  Stiftungseingsst</t>
  </si>
  <si>
    <t xml:space="preserve">  Werbeabgabe</t>
  </si>
  <si>
    <t>Wohnbaufdrbtrg</t>
  </si>
  <si>
    <t xml:space="preserve">  Wohnbaufdrbtrg</t>
  </si>
  <si>
    <t>GrErwSt</t>
  </si>
  <si>
    <t xml:space="preserve">  GrErwSt</t>
  </si>
  <si>
    <t>BodWAbg</t>
  </si>
  <si>
    <t xml:space="preserve">  BodWAbg</t>
  </si>
  <si>
    <t>KfzSt</t>
  </si>
  <si>
    <t xml:space="preserve">  KfzSt</t>
  </si>
  <si>
    <t>Motorbez VersSt</t>
  </si>
  <si>
    <t xml:space="preserve">  Mot.bez.VersSt</t>
  </si>
  <si>
    <t xml:space="preserve">  Tabaksteuer</t>
  </si>
  <si>
    <t xml:space="preserve">  Kapitalverkehrsteuern </t>
  </si>
  <si>
    <t>Finanztransakt.St</t>
  </si>
  <si>
    <t xml:space="preserve">  FinanztransaktSt</t>
  </si>
  <si>
    <t xml:space="preserve">  Bankenabgabe</t>
  </si>
  <si>
    <t xml:space="preserve">  Flugabgabe</t>
  </si>
  <si>
    <t xml:space="preserve">  Energieabgaben</t>
  </si>
  <si>
    <t xml:space="preserve">  Normverbrauchsabgabe </t>
  </si>
  <si>
    <t xml:space="preserve">  Versicherungsteuer</t>
  </si>
  <si>
    <t xml:space="preserve">  Konzessionsabgabe</t>
  </si>
  <si>
    <t>Kunstf.btrg.</t>
  </si>
  <si>
    <t>KstFdrgBtrg.</t>
  </si>
  <si>
    <t xml:space="preserve">  KstFdrgBtrg.</t>
  </si>
  <si>
    <t>Spielbkabg &lt;= 725T E</t>
  </si>
  <si>
    <t>Spielbankabg bis 725.000 Euro</t>
  </si>
  <si>
    <t xml:space="preserve">  SpbkA bis 725T</t>
  </si>
  <si>
    <t>Spielbkabg &gt; 725T E</t>
  </si>
  <si>
    <t>Spielbankabg &gt; 725.000 Euro</t>
  </si>
  <si>
    <t xml:space="preserve">  SpbkA &gt; 725T</t>
  </si>
  <si>
    <t xml:space="preserve">  Summe</t>
  </si>
  <si>
    <t>horizontale Verteilung, Gmde-EA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</si>
  <si>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</si>
  <si>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</si>
  <si>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</si>
  <si>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</si>
  <si>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</si>
  <si>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</si>
  <si>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</si>
  <si>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</si>
  <si>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</si>
  <si>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in 1.000.- Euro</t>
  </si>
  <si>
    <t>Anteil in %</t>
  </si>
  <si>
    <t>Abgaben mit einh. Schl</t>
  </si>
  <si>
    <t>Volkszahl</t>
  </si>
  <si>
    <t>aBS</t>
  </si>
  <si>
    <t>Fixschlüssel</t>
  </si>
  <si>
    <t>des Aufk. an USt fix</t>
  </si>
  <si>
    <t>davon GetrStA</t>
  </si>
  <si>
    <t>USt-Landespfl.gd</t>
  </si>
  <si>
    <t>alle Abgaben</t>
  </si>
  <si>
    <t>Steuerabkomen</t>
  </si>
  <si>
    <t>Finanztransakt.St.</t>
  </si>
  <si>
    <t>Kunstförderungsbeitrag</t>
  </si>
  <si>
    <t xml:space="preserve">zur Gänze </t>
  </si>
  <si>
    <t>Volkszl</t>
  </si>
  <si>
    <t>Abg.v.alkoh.Getr.</t>
  </si>
  <si>
    <t>Anz.-und Ank.abg.ausgl</t>
  </si>
  <si>
    <t>Aufk. Grd.erw.st.</t>
  </si>
  <si>
    <t>Aufk. Bod.wert.abg.</t>
  </si>
  <si>
    <t>Aufk. Spbg.abg. &lt;= 725.000</t>
  </si>
  <si>
    <t>Aufk. Spbg.abg. &gt; 725.000</t>
  </si>
  <si>
    <t>Summe ungek. EA</t>
  </si>
  <si>
    <t>ungek. EA</t>
  </si>
  <si>
    <t>EA Bmsgrdlage</t>
  </si>
  <si>
    <t>Abzg Gmde-BZ</t>
  </si>
  <si>
    <t>EA nach Abzgn</t>
  </si>
  <si>
    <t>horizontale Verteilung, Länder-EA</t>
  </si>
  <si>
    <t>Umschichtg</t>
  </si>
  <si>
    <t>Abgaben mit einheitlichem Schlüssel (ohne Erbschafts- und Schenkungssteuer)</t>
  </si>
  <si>
    <t>(ohne Erb.u.Sch.St)</t>
  </si>
  <si>
    <t>davon nach KA-Schl</t>
  </si>
  <si>
    <t>davon KA-Schl</t>
  </si>
  <si>
    <t>USt L-PflG netto</t>
  </si>
  <si>
    <t>USt L-PflgG brutto</t>
  </si>
  <si>
    <t>Aufk. Erb.u.Sch.St</t>
  </si>
  <si>
    <t>FinanztransaktionsSt.</t>
  </si>
  <si>
    <t>Volksz.</t>
  </si>
  <si>
    <t>Gmde zu USt-Landespfl.gd</t>
  </si>
  <si>
    <t>Netto-EA</t>
  </si>
  <si>
    <t>Schlüssel</t>
  </si>
  <si>
    <t>(Aufk. in 1000.-)</t>
  </si>
  <si>
    <t>Bev.Statistik 31.10.2010</t>
  </si>
  <si>
    <t xml:space="preserve">        Bod.wert.abg.</t>
  </si>
  <si>
    <t xml:space="preserve">        Erb.u.SchSt</t>
  </si>
  <si>
    <t xml:space="preserve">            SpbkA bis 725T</t>
  </si>
  <si>
    <t xml:space="preserve">            SpbkA &gt; 725T</t>
  </si>
  <si>
    <t>USt-KA (fix)</t>
  </si>
  <si>
    <t>Getränkest.ausgl (fix)</t>
  </si>
  <si>
    <t>Gmde-Werbest.ausgl (fix)</t>
  </si>
  <si>
    <t>Ldr-Werbeabg. (fix)</t>
  </si>
  <si>
    <t>G-einh.Abg-Fixschlüssel</t>
  </si>
  <si>
    <t>L-einh.Abg-Fixschlüssel</t>
  </si>
  <si>
    <t>G USt-Selbstträgerschaft</t>
  </si>
  <si>
    <t>L USt-Selbstträgerschaft</t>
  </si>
  <si>
    <t>G USt-Landespflegegeld</t>
  </si>
  <si>
    <t>L USt-Landespflegegeld</t>
  </si>
  <si>
    <t>Erfolg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</si>
</sst>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0.000%"/>
    <numFmt numFmtId="165" formatCode="&quot;ok&quot;;&quot;??&quot;;[Red]&quot;Fehler&quot;"/>
    <numFmt numFmtId="166" formatCode="0.000"/>
    <numFmt numFmtId="167" formatCode="0.0000000"/>
    <numFmt numFmtId="168" formatCode="#,##0.000000"/>
    <numFmt numFmtId="169" formatCode="0.0"/>
    <numFmt numFmtId="170" formatCode="0.0%"/>
    <numFmt numFmtId="171" formatCode="#,##0.0"/>
    <numFmt numFmtId="172" formatCode="00.00"/>
    <numFmt numFmtId="173" formatCode="&quot;davon&quot;\ 0.0%"/>
    <numFmt numFmtId="174" formatCode="#,##0.000"/>
    <numFmt numFmtId="175" formatCode="_-* #,##0.00\ [$€-1]_-;\-* #,##0.00\ [$€-1]_-;_-* &quot;-&quot;??\ [$€-1]_-"/>
  </numFmts>
  <fonts count="11" x14ac:knownFonts="1">
    <font>
      <sz val="10"/>
      <name val="Arial"/>
      <family val="2"/>
    </font>
    <font>
      <sz val="10"/>
      <name val="Helv"/>
    </font>
    <font>
      <b/>
      <sz val="8"/>
      <name val="Helv"/>
    </font>
    <font>
      <sz val="8"/>
      <name val="Helv"/>
    </font>
    <font>
      <sz val="10"/>
      <name val="Arial"/>
      <family val="2"/>
    </font>
    <font>
      <i/>
      <sz val="8"/>
      <name val="Helv"/>
    </font>
    <font>
      <i/>
      <sz val="10"/>
      <name val="Helv"/>
    </font>
    <font>
      <sz val="8"/>
      <color indexed="8"/>
      <name val="Helv"/>
    </font>
    <font>
      <i/>
      <sz val="8"/>
      <color indexed="8"/>
      <name val="Helv"/>
    </font>
    <font>
      <b/>
      <i/>
      <sz val="8"/>
      <name val="Helv"/>
    </font>
    <font>
      <sz val="7"/>
      <name val="Helv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9" fontId="4" fillId="0" borderId="0" applyFont="0" applyFill="0" applyBorder="0" applyAlignment="0" applyProtection="0"/>
    <xf numFmtId="0" fontId="1" fillId="0" borderId="0"/>
    <xf numFmtId="4" fontId="1" fillId="0" borderId="0" applyFont="0" applyFill="0" applyBorder="0" applyAlignment="0" applyProtection="0"/>
    <xf numFmtId="175" fontId="4" fillId="0" borderId="0" applyFont="0" applyFill="0" applyBorder="0" applyAlignment="0" applyProtection="0"/>
  </cellStyleXfs>
  <cellXfs count="114">
    <xf numFmtId="0" fontId="0" fillId="0" borderId="0" xfId="0"/>
    <xf numFmtId="0" fontId="2" fillId="0" borderId="0" xfId="2" applyFont="1"/>
    <xf numFmtId="0" fontId="3" fillId="0" borderId="0" xfId="2" applyFont="1"/>
    <xf numFmtId="0" fontId="5" fillId="0" borderId="0" xfId="2" applyFont="1"/>
    <xf numFmtId="0" fontId="6" fillId="0" borderId="0" xfId="2" applyFont="1"/>
    <xf numFmtId="0" fontId="7" fillId="0" borderId="0" xfId="2" applyFont="1"/>
    <xf numFmtId="3" fontId="7" fillId="0" borderId="0" xfId="2" applyNumberFormat="1" applyFont="1"/>
    <xf numFmtId="0" fontId="5" fillId="0" borderId="0" xfId="2" applyFont="1" applyAlignment="1">
      <alignment horizontal="right"/>
    </xf>
    <xf numFmtId="3" fontId="5" fillId="0" borderId="0" xfId="2" applyNumberFormat="1" applyFont="1"/>
    <xf numFmtId="0" fontId="5" fillId="0" borderId="0" xfId="2" applyFont="1" applyBorder="1"/>
    <xf numFmtId="3" fontId="5" fillId="0" borderId="0" xfId="2" applyNumberFormat="1" applyFont="1" applyBorder="1"/>
    <xf numFmtId="0" fontId="8" fillId="0" borderId="0" xfId="2" applyFont="1" applyAlignment="1">
      <alignment horizontal="left"/>
    </xf>
    <xf numFmtId="3" fontId="8" fillId="0" borderId="0" xfId="2" applyNumberFormat="1" applyFont="1"/>
    <xf numFmtId="3" fontId="3" fillId="0" borderId="0" xfId="3" applyNumberFormat="1" applyFont="1"/>
    <xf numFmtId="3" fontId="3" fillId="0" borderId="0" xfId="2" applyNumberFormat="1" applyFont="1"/>
    <xf numFmtId="0" fontId="3" fillId="0" borderId="0" xfId="2" applyFont="1" applyBorder="1"/>
    <xf numFmtId="2" fontId="3" fillId="0" borderId="0" xfId="2" applyNumberFormat="1" applyFont="1"/>
    <xf numFmtId="3" fontId="2" fillId="0" borderId="0" xfId="3" applyNumberFormat="1" applyFont="1"/>
    <xf numFmtId="0" fontId="9" fillId="0" borderId="0" xfId="2" applyFont="1" applyBorder="1"/>
    <xf numFmtId="3" fontId="9" fillId="0" borderId="0" xfId="3" applyNumberFormat="1" applyFont="1" applyBorder="1"/>
    <xf numFmtId="0" fontId="3" fillId="0" borderId="0" xfId="2" applyFont="1" applyAlignment="1">
      <alignment horizontal="right"/>
    </xf>
    <xf numFmtId="3" fontId="3" fillId="0" borderId="1" xfId="2" applyNumberFormat="1" applyFont="1" applyBorder="1"/>
    <xf numFmtId="0" fontId="5" fillId="0" borderId="2" xfId="2" applyFont="1" applyBorder="1" applyAlignment="1">
      <alignment horizontal="right"/>
    </xf>
    <xf numFmtId="0" fontId="5" fillId="0" borderId="2" xfId="2" applyFont="1" applyBorder="1"/>
    <xf numFmtId="0" fontId="5" fillId="0" borderId="3" xfId="2" applyFont="1" applyBorder="1"/>
    <xf numFmtId="3" fontId="10" fillId="0" borderId="0" xfId="2" applyNumberFormat="1" applyFont="1" applyAlignment="1">
      <alignment horizontal="right"/>
    </xf>
    <xf numFmtId="0" fontId="5" fillId="0" borderId="4" xfId="2" applyFont="1" applyBorder="1"/>
    <xf numFmtId="0" fontId="9" fillId="0" borderId="0" xfId="2" applyFont="1" applyBorder="1" applyAlignment="1">
      <alignment horizontal="right"/>
    </xf>
    <xf numFmtId="0" fontId="5" fillId="0" borderId="5" xfId="2" applyFont="1" applyBorder="1"/>
    <xf numFmtId="0" fontId="3" fillId="0" borderId="4" xfId="2" applyFont="1" applyBorder="1" applyAlignment="1">
      <alignment horizontal="left"/>
    </xf>
    <xf numFmtId="3" fontId="3" fillId="0" borderId="4" xfId="2" applyNumberFormat="1" applyFont="1" applyBorder="1" applyAlignment="1">
      <alignment horizontal="left"/>
    </xf>
    <xf numFmtId="3" fontId="2" fillId="0" borderId="5" xfId="2" applyNumberFormat="1" applyFont="1" applyBorder="1"/>
    <xf numFmtId="0" fontId="3" fillId="0" borderId="4" xfId="2" applyFont="1" applyBorder="1"/>
    <xf numFmtId="164" fontId="3" fillId="0" borderId="0" xfId="1" applyNumberFormat="1" applyFont="1" applyBorder="1" applyAlignment="1">
      <alignment horizontal="right"/>
    </xf>
    <xf numFmtId="3" fontId="3" fillId="0" borderId="5" xfId="2" applyNumberFormat="1" applyFont="1" applyBorder="1"/>
    <xf numFmtId="3" fontId="3" fillId="0" borderId="5" xfId="3" applyNumberFormat="1" applyFont="1" applyBorder="1"/>
    <xf numFmtId="3" fontId="3" fillId="0" borderId="5" xfId="2" applyNumberFormat="1" applyFont="1" applyFill="1" applyBorder="1"/>
    <xf numFmtId="0" fontId="3" fillId="0" borderId="6" xfId="2" applyFont="1" applyBorder="1" applyAlignment="1">
      <alignment horizontal="left"/>
    </xf>
    <xf numFmtId="164" fontId="3" fillId="0" borderId="7" xfId="1" applyNumberFormat="1" applyFont="1" applyBorder="1" applyAlignment="1">
      <alignment horizontal="right"/>
    </xf>
    <xf numFmtId="3" fontId="3" fillId="0" borderId="8" xfId="2" applyNumberFormat="1" applyFont="1" applyBorder="1"/>
    <xf numFmtId="3" fontId="5" fillId="0" borderId="0" xfId="2" applyNumberFormat="1" applyFont="1" applyBorder="1" applyAlignment="1">
      <alignment horizontal="right"/>
    </xf>
    <xf numFmtId="3" fontId="3" fillId="0" borderId="0" xfId="2" applyNumberFormat="1" applyFont="1" applyBorder="1"/>
    <xf numFmtId="3" fontId="5" fillId="0" borderId="0" xfId="2" applyNumberFormat="1" applyFont="1" applyFill="1" applyBorder="1" applyAlignment="1">
      <alignment horizontal="right"/>
    </xf>
    <xf numFmtId="3" fontId="3" fillId="0" borderId="3" xfId="2" applyNumberFormat="1" applyFont="1" applyBorder="1"/>
    <xf numFmtId="165" fontId="3" fillId="0" borderId="0" xfId="2" applyNumberFormat="1" applyFont="1" applyAlignment="1">
      <alignment horizontal="right"/>
    </xf>
    <xf numFmtId="3" fontId="10" fillId="0" borderId="0" xfId="2" applyNumberFormat="1" applyFont="1"/>
    <xf numFmtId="0" fontId="3" fillId="0" borderId="10" xfId="2" applyFont="1" applyBorder="1"/>
    <xf numFmtId="0" fontId="3" fillId="0" borderId="5" xfId="2" applyFont="1" applyBorder="1"/>
    <xf numFmtId="0" fontId="3" fillId="0" borderId="10" xfId="2" applyFont="1" applyBorder="1" applyAlignment="1">
      <alignment horizontal="right"/>
    </xf>
    <xf numFmtId="0" fontId="3" fillId="0" borderId="4" xfId="2" applyFont="1" applyBorder="1" applyAlignment="1">
      <alignment horizontal="right"/>
    </xf>
    <xf numFmtId="0" fontId="3" fillId="0" borderId="5" xfId="2" applyFont="1" applyBorder="1" applyAlignment="1">
      <alignment horizontal="right"/>
    </xf>
    <xf numFmtId="3" fontId="3" fillId="0" borderId="0" xfId="2" applyNumberFormat="1" applyFont="1" applyAlignment="1">
      <alignment horizontal="right"/>
    </xf>
    <xf numFmtId="0" fontId="3" fillId="0" borderId="1" xfId="2" applyFont="1" applyBorder="1" applyAlignment="1">
      <alignment horizontal="right"/>
    </xf>
    <xf numFmtId="0" fontId="3" fillId="0" borderId="3" xfId="2" applyFont="1" applyBorder="1" applyAlignment="1">
      <alignment horizontal="right"/>
    </xf>
    <xf numFmtId="3" fontId="5" fillId="0" borderId="9" xfId="2" applyNumberFormat="1" applyFont="1" applyBorder="1"/>
    <xf numFmtId="3" fontId="5" fillId="0" borderId="1" xfId="2" applyNumberFormat="1" applyFont="1" applyFill="1" applyBorder="1"/>
    <xf numFmtId="3" fontId="5" fillId="0" borderId="3" xfId="2" applyNumberFormat="1" applyFont="1" applyFill="1" applyBorder="1"/>
    <xf numFmtId="3" fontId="3" fillId="0" borderId="4" xfId="2" quotePrefix="1" applyNumberFormat="1" applyFont="1" applyBorder="1"/>
    <xf numFmtId="3" fontId="3" fillId="0" borderId="5" xfId="2" quotePrefix="1" applyNumberFormat="1" applyFont="1" applyBorder="1"/>
    <xf numFmtId="0" fontId="3" fillId="0" borderId="11" xfId="2" applyFont="1" applyBorder="1"/>
    <xf numFmtId="3" fontId="5" fillId="0" borderId="6" xfId="2" applyNumberFormat="1" applyFont="1" applyFill="1" applyBorder="1"/>
    <xf numFmtId="3" fontId="5" fillId="0" borderId="8" xfId="2" applyNumberFormat="1" applyFont="1" applyFill="1" applyBorder="1"/>
    <xf numFmtId="3" fontId="2" fillId="0" borderId="4" xfId="2" applyNumberFormat="1" applyFont="1" applyBorder="1"/>
    <xf numFmtId="166" fontId="3" fillId="0" borderId="0" xfId="2" applyNumberFormat="1" applyFont="1"/>
    <xf numFmtId="167" fontId="3" fillId="0" borderId="0" xfId="2" applyNumberFormat="1" applyFont="1"/>
    <xf numFmtId="3" fontId="3" fillId="0" borderId="10" xfId="2" applyNumberFormat="1" applyFont="1" applyBorder="1"/>
    <xf numFmtId="3" fontId="3" fillId="0" borderId="4" xfId="2" applyNumberFormat="1" applyFont="1" applyBorder="1"/>
    <xf numFmtId="3" fontId="3" fillId="0" borderId="4" xfId="2" quotePrefix="1" applyNumberFormat="1" applyFont="1" applyBorder="1" applyAlignment="1">
      <alignment horizontal="right"/>
    </xf>
    <xf numFmtId="3" fontId="3" fillId="0" borderId="5" xfId="2" quotePrefix="1" applyNumberFormat="1" applyFont="1" applyBorder="1" applyAlignment="1">
      <alignment horizontal="right"/>
    </xf>
    <xf numFmtId="3" fontId="10" fillId="0" borderId="10" xfId="2" applyNumberFormat="1" applyFont="1" applyBorder="1"/>
    <xf numFmtId="0" fontId="5" fillId="0" borderId="0" xfId="2" applyFont="1" applyAlignment="1">
      <alignment horizontal="center"/>
    </xf>
    <xf numFmtId="3" fontId="3" fillId="0" borderId="11" xfId="2" applyNumberFormat="1" applyFont="1" applyBorder="1"/>
    <xf numFmtId="3" fontId="3" fillId="0" borderId="6" xfId="2" applyNumberFormat="1" applyFont="1" applyBorder="1"/>
    <xf numFmtId="3" fontId="5" fillId="0" borderId="0" xfId="2" applyNumberFormat="1" applyFont="1" applyAlignment="1">
      <alignment horizontal="right"/>
    </xf>
    <xf numFmtId="3" fontId="2" fillId="0" borderId="0" xfId="2" applyNumberFormat="1" applyFont="1"/>
    <xf numFmtId="168" fontId="5" fillId="0" borderId="0" xfId="2" applyNumberFormat="1" applyFont="1" applyAlignment="1">
      <alignment horizontal="center"/>
    </xf>
    <xf numFmtId="4" fontId="3" fillId="0" borderId="0" xfId="2" applyNumberFormat="1" applyFont="1"/>
    <xf numFmtId="0" fontId="3" fillId="0" borderId="0" xfId="2" applyFont="1" applyAlignment="1">
      <alignment horizontal="center"/>
    </xf>
    <xf numFmtId="169" fontId="3" fillId="0" borderId="0" xfId="2" applyNumberFormat="1" applyFont="1" applyAlignment="1">
      <alignment horizontal="center"/>
    </xf>
    <xf numFmtId="0" fontId="3" fillId="0" borderId="0" xfId="2" applyFont="1" applyFill="1"/>
    <xf numFmtId="164" fontId="3" fillId="0" borderId="0" xfId="1" applyNumberFormat="1" applyFont="1"/>
    <xf numFmtId="0" fontId="3" fillId="0" borderId="0" xfId="2" applyFont="1" applyAlignment="1">
      <alignment horizontal="left"/>
    </xf>
    <xf numFmtId="170" fontId="3" fillId="0" borderId="0" xfId="1" applyNumberFormat="1" applyFont="1" applyAlignment="1">
      <alignment horizontal="center"/>
    </xf>
    <xf numFmtId="171" fontId="3" fillId="0" borderId="0" xfId="2" applyNumberFormat="1" applyFont="1" applyAlignment="1">
      <alignment horizontal="center"/>
    </xf>
    <xf numFmtId="172" fontId="3" fillId="0" borderId="0" xfId="2" applyNumberFormat="1" applyFont="1" applyAlignment="1">
      <alignment horizontal="center"/>
    </xf>
    <xf numFmtId="164" fontId="5" fillId="0" borderId="0" xfId="1" applyNumberFormat="1" applyFont="1"/>
    <xf numFmtId="171" fontId="3" fillId="0" borderId="0" xfId="2" applyNumberFormat="1" applyFont="1" applyBorder="1" applyAlignment="1">
      <alignment horizontal="center"/>
    </xf>
    <xf numFmtId="166" fontId="3" fillId="0" borderId="0" xfId="2" applyNumberFormat="1" applyFont="1" applyAlignment="1">
      <alignment horizontal="right"/>
    </xf>
    <xf numFmtId="170" fontId="3" fillId="0" borderId="0" xfId="1" applyNumberFormat="1" applyFont="1" applyBorder="1" applyAlignment="1">
      <alignment horizontal="center"/>
    </xf>
    <xf numFmtId="169" fontId="3" fillId="0" borderId="0" xfId="2" applyNumberFormat="1" applyFont="1"/>
    <xf numFmtId="2" fontId="3" fillId="0" borderId="0" xfId="2" applyNumberFormat="1" applyFont="1" applyAlignment="1">
      <alignment horizontal="center"/>
    </xf>
    <xf numFmtId="0" fontId="3" fillId="0" borderId="0" xfId="2" quotePrefix="1" applyFont="1"/>
    <xf numFmtId="173" fontId="3" fillId="0" borderId="0" xfId="1" applyNumberFormat="1" applyFont="1" applyAlignment="1">
      <alignment horizontal="left"/>
    </xf>
    <xf numFmtId="3" fontId="2" fillId="0" borderId="0" xfId="2" applyNumberFormat="1" applyFont="1" applyFill="1"/>
    <xf numFmtId="0" fontId="1" fillId="0" borderId="0" xfId="2" applyFont="1"/>
    <xf numFmtId="0" fontId="3" fillId="0" borderId="0" xfId="2" quotePrefix="1" applyFont="1" applyFill="1"/>
    <xf numFmtId="166" fontId="5" fillId="0" borderId="0" xfId="2" applyNumberFormat="1" applyFont="1"/>
    <xf numFmtId="164" fontId="3" fillId="0" borderId="0" xfId="1" applyNumberFormat="1" applyFont="1" applyAlignment="1">
      <alignment horizontal="right"/>
    </xf>
    <xf numFmtId="0" fontId="3" fillId="0" borderId="0" xfId="2" applyFont="1" applyProtection="1">
      <protection locked="0"/>
    </xf>
    <xf numFmtId="174" fontId="10" fillId="0" borderId="0" xfId="2" applyNumberFormat="1" applyFont="1" applyFill="1"/>
    <xf numFmtId="4" fontId="10" fillId="0" borderId="0" xfId="2" applyNumberFormat="1" applyFont="1"/>
    <xf numFmtId="168" fontId="3" fillId="0" borderId="0" xfId="2" applyNumberFormat="1" applyFont="1"/>
    <xf numFmtId="174" fontId="3" fillId="0" borderId="0" xfId="2" applyNumberFormat="1" applyFont="1"/>
    <xf numFmtId="0" fontId="1" fillId="0" borderId="0" xfId="0" applyFont="1"/>
    <xf numFmtId="0" fontId="1" fillId="0" borderId="0" xfId="0" applyFont="1" applyBorder="1"/>
    <xf numFmtId="0" fontId="1" fillId="0" borderId="4" xfId="0" applyFont="1" applyBorder="1"/>
    <xf numFmtId="0" fontId="3" fillId="0" borderId="4" xfId="0" applyFont="1" applyBorder="1"/>
    <xf numFmtId="0" fontId="1" fillId="0" borderId="7" xfId="0" applyFont="1" applyBorder="1"/>
    <xf numFmtId="3" fontId="3" fillId="0" borderId="0" xfId="0" applyNumberFormat="1" applyFont="1"/>
    <xf numFmtId="0" fontId="3" fillId="0" borderId="9" xfId="0" applyFont="1" applyBorder="1"/>
    <xf numFmtId="0" fontId="1" fillId="0" borderId="5" xfId="0" applyFont="1" applyBorder="1"/>
    <xf numFmtId="0" fontId="10" fillId="0" borderId="0" xfId="0" applyFont="1" applyAlignment="1">
      <alignment horizontal="right"/>
    </xf>
    <xf numFmtId="0" fontId="3" fillId="0" borderId="0" xfId="2" applyFont="1" applyFill="1" applyAlignment="1">
      <alignment horizontal="center"/>
    </xf>
    <xf numFmtId="3" fontId="3" fillId="0" borderId="0" xfId="2" applyNumberFormat="1" applyFont="1" applyFill="1"/>
  </cellXfs>
  <cellStyles count="5">
    <cellStyle name="Dezimal_EAVERT96" xfId="3"/>
    <cellStyle name="Euro" xfId="4"/>
    <cellStyle name="Prozent" xfId="1" builtinId="5"/>
    <cellStyle name="Standard" xfId="0" builtinId="0"/>
    <cellStyle name="Standard_EAVERT9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AH253"/>
  <sheetViews>
    <sheetView tabSelected="1" workbookViewId="0"/>
  </sheetViews>
  <sheetFormatPr baseColWidth="10" defaultRowHeight="9.9499999999999993" customHeight="1" x14ac:dyDescent="0.15"/>
  <cols>
    <col min="1" max="1" width="17.28515625" style="2" customWidth="1"/>
    <col min="2" max="11" width="10.42578125" style="2" customWidth="1"/>
    <col min="12" max="26" width="10.7109375" style="2" customWidth="1"/>
    <col min="27" max="16384" width="11.42578125" style="2"/>
  </cols>
  <sheetData>
    <row r="1" spans="1:13" ht="9.9499999999999993" customHeight="1" x14ac:dyDescent="0.2">
      <c r="A1" s="1" t="s">
        <v>0</v>
      </c>
      <c r="G1" s="103"/>
      <c r="H1" s="103"/>
      <c r="I1" s="103"/>
    </row>
    <row r="2" spans="1:13" ht="9.9499999999999993" customHeight="1" x14ac:dyDescent="0.2">
      <c r="A2" s="2" t="s">
        <v>1</v>
      </c>
      <c r="E2" s="103"/>
      <c r="G2" s="103"/>
      <c r="H2" s="103"/>
      <c r="I2" s="103"/>
    </row>
    <row r="3" spans="1:13" ht="9.9499999999999993" customHeight="1" x14ac:dyDescent="0.2">
      <c r="E3" s="103"/>
      <c r="G3" s="103"/>
      <c r="H3" s="103"/>
      <c r="I3" s="103"/>
      <c r="J3" s="3"/>
      <c r="K3" s="3"/>
      <c r="L3" s="4"/>
      <c r="M3" s="3"/>
    </row>
    <row r="4" spans="1:13" ht="9.9499999999999993" customHeight="1" x14ac:dyDescent="0.2">
      <c r="A4" s="5"/>
      <c r="B4" s="5"/>
      <c r="D4" s="1"/>
      <c r="E4" s="103"/>
      <c r="G4" s="103"/>
      <c r="H4" s="3"/>
      <c r="I4" s="3"/>
      <c r="J4" s="3"/>
      <c r="K4" s="3"/>
      <c r="L4" s="4"/>
      <c r="M4" s="3"/>
    </row>
    <row r="5" spans="1:13" ht="9.9499999999999993" customHeight="1" x14ac:dyDescent="0.2">
      <c r="A5" s="5"/>
      <c r="B5" s="6"/>
      <c r="E5" s="103"/>
      <c r="F5" s="103"/>
      <c r="H5" s="7"/>
      <c r="I5" s="8"/>
      <c r="J5" s="9"/>
      <c r="K5" s="10"/>
      <c r="L5" s="9"/>
      <c r="M5" s="9"/>
    </row>
    <row r="6" spans="1:13" ht="9.9499999999999993" customHeight="1" x14ac:dyDescent="0.2">
      <c r="A6" s="11"/>
      <c r="B6" s="12"/>
      <c r="E6" s="103"/>
      <c r="F6" s="103"/>
      <c r="G6" s="13"/>
      <c r="H6" s="14"/>
      <c r="I6" s="14"/>
      <c r="J6" s="15"/>
      <c r="K6" s="16"/>
      <c r="L6" s="9"/>
      <c r="M6" s="9"/>
    </row>
    <row r="7" spans="1:13" ht="9.9499999999999993" customHeight="1" x14ac:dyDescent="0.15">
      <c r="A7" s="1"/>
      <c r="B7" s="17"/>
      <c r="H7" s="3"/>
      <c r="I7" s="3"/>
      <c r="J7" s="18"/>
      <c r="K7" s="19"/>
      <c r="L7" s="9"/>
      <c r="M7" s="9"/>
    </row>
    <row r="8" spans="1:13" ht="9.9499999999999993" customHeight="1" x14ac:dyDescent="0.15">
      <c r="A8" s="14"/>
      <c r="B8" s="20" t="s">
        <v>2</v>
      </c>
      <c r="C8" s="20" t="s">
        <v>3</v>
      </c>
      <c r="D8" s="20" t="s">
        <v>4</v>
      </c>
      <c r="E8" s="20" t="s">
        <v>5</v>
      </c>
      <c r="F8" s="20" t="s">
        <v>6</v>
      </c>
      <c r="H8" s="21" t="s">
        <v>7</v>
      </c>
      <c r="I8" s="22"/>
      <c r="J8" s="23"/>
      <c r="K8" s="24"/>
    </row>
    <row r="9" spans="1:13" ht="9.9499999999999993" customHeight="1" x14ac:dyDescent="0.15">
      <c r="B9" s="25" t="s">
        <v>195</v>
      </c>
      <c r="C9" s="111" t="s">
        <v>8</v>
      </c>
      <c r="D9" s="20" t="s">
        <v>2</v>
      </c>
      <c r="E9" s="20"/>
      <c r="F9" s="20"/>
      <c r="H9" s="26"/>
      <c r="I9" s="27"/>
      <c r="J9" s="9"/>
      <c r="K9" s="28"/>
    </row>
    <row r="10" spans="1:13" ht="9.9499999999999993" customHeight="1" x14ac:dyDescent="0.2">
      <c r="A10" s="103"/>
      <c r="H10" s="29" t="s">
        <v>9</v>
      </c>
      <c r="I10" s="9"/>
      <c r="J10" s="9"/>
      <c r="K10" s="28"/>
    </row>
    <row r="11" spans="1:13" ht="9.9499999999999993" customHeight="1" x14ac:dyDescent="0.2">
      <c r="A11" s="2" t="s">
        <v>10</v>
      </c>
      <c r="B11" s="14">
        <v>2601951.0735800001</v>
      </c>
      <c r="C11" s="14">
        <v>172598</v>
      </c>
      <c r="D11" s="14">
        <f t="shared" ref="D11:D40" si="0">B11-C11</f>
        <v>2429353.0735800001</v>
      </c>
      <c r="E11" s="14"/>
      <c r="F11" s="14">
        <f t="shared" ref="F11:F40" si="1">D11-E11</f>
        <v>2429353.0735800001</v>
      </c>
      <c r="H11" s="29" t="s">
        <v>11</v>
      </c>
      <c r="I11" s="104"/>
      <c r="J11" s="9"/>
      <c r="K11" s="36">
        <v>0</v>
      </c>
    </row>
    <row r="12" spans="1:13" ht="9.9499999999999993" customHeight="1" x14ac:dyDescent="0.2">
      <c r="A12" s="2" t="s">
        <v>12</v>
      </c>
      <c r="B12" s="14">
        <v>23391978.871910002</v>
      </c>
      <c r="C12" s="14">
        <v>517794</v>
      </c>
      <c r="D12" s="14">
        <f t="shared" si="0"/>
        <v>22874184.871910002</v>
      </c>
      <c r="E12" s="14"/>
      <c r="F12" s="14">
        <f t="shared" si="1"/>
        <v>22874184.871910002</v>
      </c>
      <c r="H12" s="30" t="s">
        <v>13</v>
      </c>
      <c r="I12" s="104"/>
      <c r="J12" s="9"/>
      <c r="K12" s="34">
        <v>0</v>
      </c>
    </row>
    <row r="13" spans="1:13" ht="9.9499999999999993" customHeight="1" x14ac:dyDescent="0.2">
      <c r="A13" s="2" t="s">
        <v>14</v>
      </c>
      <c r="B13" s="14">
        <v>1179187.87586</v>
      </c>
      <c r="C13" s="14"/>
      <c r="D13" s="14">
        <f t="shared" si="0"/>
        <v>1179187.87586</v>
      </c>
      <c r="E13" s="14"/>
      <c r="F13" s="14">
        <f t="shared" si="1"/>
        <v>1179187.87586</v>
      </c>
      <c r="H13" s="105"/>
      <c r="I13" s="10"/>
      <c r="J13" s="9"/>
      <c r="K13" s="28"/>
    </row>
    <row r="14" spans="1:13" ht="9.9499999999999993" customHeight="1" x14ac:dyDescent="0.15">
      <c r="A14" s="2" t="s">
        <v>15</v>
      </c>
      <c r="B14" s="14">
        <v>1332308.25761</v>
      </c>
      <c r="C14" s="14"/>
      <c r="D14" s="14">
        <f t="shared" si="0"/>
        <v>1332308.25761</v>
      </c>
      <c r="E14" s="14"/>
      <c r="F14" s="14">
        <f t="shared" si="1"/>
        <v>1332308.25761</v>
      </c>
      <c r="H14" s="106" t="s">
        <v>16</v>
      </c>
      <c r="I14" s="10"/>
      <c r="J14" s="9"/>
      <c r="K14" s="28"/>
    </row>
    <row r="15" spans="1:13" ht="9.9499999999999993" customHeight="1" x14ac:dyDescent="0.15">
      <c r="A15" s="2" t="s">
        <v>17</v>
      </c>
      <c r="B15" s="14">
        <v>0</v>
      </c>
      <c r="C15" s="14"/>
      <c r="D15" s="14">
        <f t="shared" si="0"/>
        <v>0</v>
      </c>
      <c r="E15" s="14"/>
      <c r="F15" s="14">
        <f t="shared" si="1"/>
        <v>0</v>
      </c>
      <c r="H15" s="32" t="s">
        <v>18</v>
      </c>
      <c r="I15" s="10"/>
      <c r="J15" s="33">
        <v>6.4200000000000004E-3</v>
      </c>
      <c r="K15" s="34">
        <f>D17*J15</f>
        <v>144686.553642435</v>
      </c>
    </row>
    <row r="16" spans="1:13" ht="9.9499999999999993" customHeight="1" x14ac:dyDescent="0.15">
      <c r="A16" s="2" t="s">
        <v>19</v>
      </c>
      <c r="B16" s="14">
        <v>5326629.42392</v>
      </c>
      <c r="C16" s="14"/>
      <c r="D16" s="14">
        <f t="shared" si="0"/>
        <v>5326629.42392</v>
      </c>
      <c r="E16" s="14"/>
      <c r="F16" s="14">
        <f t="shared" si="1"/>
        <v>5326629.42392</v>
      </c>
      <c r="H16" s="32" t="s">
        <v>20</v>
      </c>
      <c r="I16" s="15"/>
      <c r="J16" s="15"/>
      <c r="K16" s="34">
        <v>0</v>
      </c>
    </row>
    <row r="17" spans="1:14" ht="9.9499999999999993" customHeight="1" x14ac:dyDescent="0.15">
      <c r="A17" s="2" t="s">
        <v>21</v>
      </c>
      <c r="B17" s="14">
        <v>24602333.09719</v>
      </c>
      <c r="C17" s="14">
        <v>2065486.73544</v>
      </c>
      <c r="D17" s="14">
        <f t="shared" si="0"/>
        <v>22536846.361749999</v>
      </c>
      <c r="E17" s="14">
        <v>142975.36092000001</v>
      </c>
      <c r="F17" s="14">
        <f t="shared" si="1"/>
        <v>22393871.000829998</v>
      </c>
      <c r="H17" s="32" t="s">
        <v>22</v>
      </c>
      <c r="I17" s="10"/>
      <c r="J17" s="33"/>
      <c r="K17" s="35">
        <v>646024.88899999997</v>
      </c>
    </row>
    <row r="18" spans="1:14" ht="9.9499999999999993" customHeight="1" x14ac:dyDescent="0.2">
      <c r="A18" s="2" t="s">
        <v>23</v>
      </c>
      <c r="B18" s="14">
        <v>191298.70379</v>
      </c>
      <c r="C18" s="14"/>
      <c r="D18" s="14">
        <f t="shared" si="0"/>
        <v>191298.70379</v>
      </c>
      <c r="E18" s="14"/>
      <c r="F18" s="14">
        <f t="shared" si="1"/>
        <v>191298.70379</v>
      </c>
      <c r="H18" s="29" t="s">
        <v>24</v>
      </c>
      <c r="I18" s="104"/>
      <c r="J18" s="33">
        <v>1.7500000000000002E-2</v>
      </c>
      <c r="K18" s="36">
        <v>363788.71679222502</v>
      </c>
    </row>
    <row r="19" spans="1:14" ht="9.9499999999999993" customHeight="1" x14ac:dyDescent="0.2">
      <c r="A19" s="2" t="s">
        <v>25</v>
      </c>
      <c r="B19" s="14">
        <v>0</v>
      </c>
      <c r="C19" s="14"/>
      <c r="D19" s="14">
        <f t="shared" si="0"/>
        <v>0</v>
      </c>
      <c r="E19" s="14"/>
      <c r="F19" s="14">
        <f t="shared" si="1"/>
        <v>0</v>
      </c>
      <c r="H19" s="29" t="s">
        <v>26</v>
      </c>
      <c r="I19" s="104"/>
      <c r="J19" s="33">
        <v>1.0999999999999999E-2</v>
      </c>
      <c r="K19" s="34">
        <f>(SUM($D$11:$D$13)+$D$16)*J19+10000</f>
        <v>359902.90769796999</v>
      </c>
    </row>
    <row r="20" spans="1:14" ht="9.9499999999999993" customHeight="1" x14ac:dyDescent="0.2">
      <c r="A20" s="2" t="s">
        <v>27</v>
      </c>
      <c r="B20" s="14">
        <v>1146.1686999999999</v>
      </c>
      <c r="C20" s="14"/>
      <c r="D20" s="14">
        <f t="shared" si="0"/>
        <v>1146.1686999999999</v>
      </c>
      <c r="E20" s="14"/>
      <c r="F20" s="14">
        <f t="shared" si="1"/>
        <v>1146.1686999999999</v>
      </c>
      <c r="H20" s="37" t="s">
        <v>28</v>
      </c>
      <c r="I20" s="107"/>
      <c r="J20" s="38">
        <v>1.66E-3</v>
      </c>
      <c r="K20" s="39">
        <f>(F45-F19-F22-F26-F27-F28-F29-F42-F43)*J20</f>
        <v>110903.3146223426</v>
      </c>
      <c r="L20" s="14"/>
    </row>
    <row r="21" spans="1:14" ht="9.9499999999999993" customHeight="1" x14ac:dyDescent="0.15">
      <c r="A21" s="2" t="s">
        <v>29</v>
      </c>
      <c r="B21" s="14">
        <v>128076.40708999998</v>
      </c>
      <c r="C21" s="14"/>
      <c r="D21" s="14">
        <f t="shared" si="0"/>
        <v>128076.40708999998</v>
      </c>
      <c r="E21" s="14"/>
      <c r="F21" s="14">
        <f t="shared" si="1"/>
        <v>128076.40708999998</v>
      </c>
      <c r="H21" s="9"/>
      <c r="I21" s="9"/>
      <c r="J21" s="9"/>
      <c r="K21" s="9"/>
    </row>
    <row r="22" spans="1:14" ht="9.9499999999999993" customHeight="1" x14ac:dyDescent="0.15">
      <c r="A22" s="2" t="s">
        <v>30</v>
      </c>
      <c r="B22" s="14">
        <v>16.029630000000001</v>
      </c>
      <c r="C22" s="14"/>
      <c r="D22" s="14">
        <f t="shared" si="0"/>
        <v>16.029630000000001</v>
      </c>
      <c r="E22" s="14"/>
      <c r="F22" s="14">
        <f t="shared" si="1"/>
        <v>16.029630000000001</v>
      </c>
      <c r="H22" s="9"/>
      <c r="I22" s="9"/>
      <c r="J22" s="9"/>
      <c r="K22" s="9"/>
    </row>
    <row r="23" spans="1:14" ht="9.9499999999999993" customHeight="1" x14ac:dyDescent="0.15">
      <c r="A23" s="2" t="s">
        <v>31</v>
      </c>
      <c r="B23" s="14">
        <v>4181375.1839799997</v>
      </c>
      <c r="C23" s="14"/>
      <c r="D23" s="14">
        <f t="shared" si="0"/>
        <v>4181375.1839799997</v>
      </c>
      <c r="E23" s="14"/>
      <c r="F23" s="14">
        <f t="shared" si="1"/>
        <v>4181375.1839799997</v>
      </c>
      <c r="H23" s="40"/>
      <c r="I23" s="40"/>
      <c r="J23" s="40"/>
      <c r="K23" s="40"/>
      <c r="L23" s="40"/>
      <c r="M23" s="40"/>
    </row>
    <row r="24" spans="1:14" ht="9.9499999999999993" customHeight="1" x14ac:dyDescent="0.15">
      <c r="A24" s="2" t="s">
        <v>32</v>
      </c>
      <c r="B24" s="14">
        <v>21126.267270000004</v>
      </c>
      <c r="C24" s="14"/>
      <c r="D24" s="14">
        <f t="shared" si="0"/>
        <v>21126.267270000004</v>
      </c>
      <c r="E24" s="14"/>
      <c r="F24" s="14">
        <f t="shared" si="1"/>
        <v>21126.267270000004</v>
      </c>
      <c r="H24" s="40"/>
      <c r="I24" s="40"/>
      <c r="J24" s="40"/>
      <c r="K24" s="40"/>
      <c r="L24" s="40"/>
      <c r="N24" s="8"/>
    </row>
    <row r="25" spans="1:14" ht="9.9499999999999993" customHeight="1" x14ac:dyDescent="0.15">
      <c r="A25" s="2" t="s">
        <v>33</v>
      </c>
      <c r="B25" s="14">
        <v>10542.62232</v>
      </c>
      <c r="C25" s="14"/>
      <c r="D25" s="14">
        <f t="shared" si="0"/>
        <v>10542.62232</v>
      </c>
      <c r="E25" s="14"/>
      <c r="F25" s="14">
        <f t="shared" si="1"/>
        <v>10542.62232</v>
      </c>
      <c r="H25" s="40"/>
      <c r="I25" s="40"/>
      <c r="J25" s="40"/>
      <c r="K25" s="40"/>
      <c r="L25" s="40"/>
      <c r="N25" s="14"/>
    </row>
    <row r="26" spans="1:14" ht="9.9499999999999993" customHeight="1" x14ac:dyDescent="0.15">
      <c r="A26" s="2" t="s">
        <v>34</v>
      </c>
      <c r="B26" s="14">
        <v>109944.95494000001</v>
      </c>
      <c r="C26" s="14"/>
      <c r="D26" s="14">
        <f t="shared" si="0"/>
        <v>109944.95494000001</v>
      </c>
      <c r="E26" s="14"/>
      <c r="F26" s="14">
        <f t="shared" si="1"/>
        <v>109944.95494000001</v>
      </c>
      <c r="H26" s="40"/>
      <c r="I26" s="40"/>
      <c r="J26" s="40"/>
      <c r="K26" s="40"/>
      <c r="L26" s="40"/>
    </row>
    <row r="27" spans="1:14" ht="9.9499999999999993" customHeight="1" x14ac:dyDescent="0.15">
      <c r="A27" s="108" t="s">
        <v>35</v>
      </c>
      <c r="B27" s="14">
        <v>876181.78575999988</v>
      </c>
      <c r="C27" s="14"/>
      <c r="D27" s="14">
        <f t="shared" si="0"/>
        <v>876181.78575999988</v>
      </c>
      <c r="E27" s="14"/>
      <c r="F27" s="14">
        <f t="shared" si="1"/>
        <v>876181.78575999988</v>
      </c>
      <c r="H27" s="40"/>
      <c r="I27" s="40"/>
      <c r="J27" s="40"/>
      <c r="K27" s="40"/>
      <c r="L27" s="40"/>
    </row>
    <row r="28" spans="1:14" ht="9.9499999999999993" customHeight="1" x14ac:dyDescent="0.15">
      <c r="A28" s="2" t="s">
        <v>36</v>
      </c>
      <c r="B28" s="14">
        <v>935387.58542000013</v>
      </c>
      <c r="C28" s="14"/>
      <c r="D28" s="14">
        <f t="shared" si="0"/>
        <v>935387.58542000013</v>
      </c>
      <c r="E28" s="14"/>
      <c r="F28" s="14">
        <f t="shared" si="1"/>
        <v>935387.58542000013</v>
      </c>
      <c r="H28" s="40"/>
      <c r="I28" s="40"/>
      <c r="J28" s="40"/>
      <c r="K28" s="40"/>
      <c r="L28" s="40"/>
    </row>
    <row r="29" spans="1:14" ht="9.9499999999999993" customHeight="1" x14ac:dyDescent="0.15">
      <c r="A29" s="2" t="s">
        <v>37</v>
      </c>
      <c r="B29" s="14">
        <v>5761.9276499999996</v>
      </c>
      <c r="C29" s="14"/>
      <c r="D29" s="14">
        <f t="shared" si="0"/>
        <v>5761.9276499999996</v>
      </c>
      <c r="E29" s="14"/>
      <c r="F29" s="14">
        <f t="shared" si="1"/>
        <v>5761.9276499999996</v>
      </c>
      <c r="H29" s="40"/>
      <c r="I29" s="40"/>
      <c r="J29" s="40"/>
      <c r="K29" s="40"/>
      <c r="L29" s="40"/>
    </row>
    <row r="30" spans="1:14" ht="9.9499999999999993" customHeight="1" x14ac:dyDescent="0.15">
      <c r="A30" s="2" t="s">
        <v>38</v>
      </c>
      <c r="B30" s="14">
        <v>45383.554979999994</v>
      </c>
      <c r="C30" s="14"/>
      <c r="D30" s="14">
        <f t="shared" si="0"/>
        <v>45383.554979999994</v>
      </c>
      <c r="E30" s="14">
        <v>14500</v>
      </c>
      <c r="F30" s="14">
        <f t="shared" si="1"/>
        <v>30883.554979999994</v>
      </c>
      <c r="H30" s="40"/>
      <c r="I30" s="40"/>
      <c r="J30" s="40"/>
      <c r="K30" s="40"/>
      <c r="L30" s="40"/>
    </row>
    <row r="31" spans="1:14" ht="9.9499999999999993" customHeight="1" x14ac:dyDescent="0.15">
      <c r="A31" s="2" t="s">
        <v>39</v>
      </c>
      <c r="B31" s="14">
        <v>1727939.5099600002</v>
      </c>
      <c r="C31" s="14"/>
      <c r="D31" s="14">
        <f t="shared" si="0"/>
        <v>1727939.5099600002</v>
      </c>
      <c r="E31" s="14"/>
      <c r="F31" s="14">
        <f t="shared" si="1"/>
        <v>1727939.5099600002</v>
      </c>
      <c r="H31" s="40"/>
      <c r="I31" s="40"/>
      <c r="J31" s="40"/>
      <c r="K31" s="40"/>
      <c r="L31" s="40"/>
    </row>
    <row r="32" spans="1:14" ht="9.9499999999999993" customHeight="1" x14ac:dyDescent="0.15">
      <c r="A32" s="2" t="s">
        <v>40</v>
      </c>
      <c r="B32" s="14">
        <v>1620786.9934100003</v>
      </c>
      <c r="C32" s="14">
        <v>12423.759090000065</v>
      </c>
      <c r="D32" s="14">
        <f t="shared" si="0"/>
        <v>1608363.2343200003</v>
      </c>
      <c r="E32" s="14"/>
      <c r="F32" s="14">
        <f t="shared" si="1"/>
        <v>1608363.2343200003</v>
      </c>
      <c r="H32" s="40"/>
      <c r="I32" s="40"/>
      <c r="J32" s="40"/>
      <c r="K32" s="40"/>
      <c r="L32" s="40"/>
    </row>
    <row r="33" spans="1:18" ht="9.9499999999999993" customHeight="1" x14ac:dyDescent="0.15">
      <c r="A33" s="2" t="s">
        <v>41</v>
      </c>
      <c r="B33" s="14">
        <v>89317.398610000004</v>
      </c>
      <c r="C33" s="14"/>
      <c r="D33" s="14">
        <f t="shared" si="0"/>
        <v>89317.398610000004</v>
      </c>
      <c r="E33" s="14"/>
      <c r="F33" s="14">
        <f t="shared" si="1"/>
        <v>89317.398610000004</v>
      </c>
      <c r="H33" s="40"/>
      <c r="I33" s="40"/>
      <c r="J33" s="40"/>
      <c r="K33" s="40"/>
      <c r="L33" s="40"/>
    </row>
    <row r="34" spans="1:18" ht="9.9499999999999993" customHeight="1" x14ac:dyDescent="0.15">
      <c r="A34" s="2" t="s">
        <v>42</v>
      </c>
      <c r="B34" s="14">
        <v>0</v>
      </c>
      <c r="C34" s="14"/>
      <c r="D34" s="14">
        <f t="shared" si="0"/>
        <v>0</v>
      </c>
      <c r="E34" s="14"/>
      <c r="F34" s="14">
        <f t="shared" si="1"/>
        <v>0</v>
      </c>
      <c r="H34" s="42"/>
      <c r="I34" s="42"/>
      <c r="J34" s="42"/>
      <c r="K34" s="42"/>
      <c r="L34" s="42"/>
    </row>
    <row r="35" spans="1:18" ht="9.9499999999999993" customHeight="1" x14ac:dyDescent="0.15">
      <c r="A35" s="2" t="s">
        <v>43</v>
      </c>
      <c r="B35" s="14">
        <v>511170.46587000001</v>
      </c>
      <c r="C35" s="14"/>
      <c r="D35" s="14">
        <f t="shared" si="0"/>
        <v>511170.46587000001</v>
      </c>
      <c r="E35" s="14"/>
      <c r="F35" s="14">
        <f t="shared" si="1"/>
        <v>511170.46587000001</v>
      </c>
      <c r="H35" s="9"/>
      <c r="I35" s="9"/>
      <c r="J35" s="9"/>
      <c r="K35" s="9"/>
    </row>
    <row r="36" spans="1:18" ht="9.9499999999999993" customHeight="1" x14ac:dyDescent="0.15">
      <c r="A36" s="2" t="s">
        <v>44</v>
      </c>
      <c r="B36" s="14">
        <v>107120.75339000001</v>
      </c>
      <c r="C36" s="14"/>
      <c r="D36" s="14">
        <f t="shared" si="0"/>
        <v>107120.75339000001</v>
      </c>
      <c r="E36" s="14"/>
      <c r="F36" s="14">
        <f t="shared" si="1"/>
        <v>107120.75339000001</v>
      </c>
      <c r="H36" s="9"/>
      <c r="I36" s="9"/>
      <c r="J36" s="9"/>
      <c r="K36" s="9"/>
    </row>
    <row r="37" spans="1:18" ht="9.9499999999999993" customHeight="1" x14ac:dyDescent="0.15">
      <c r="A37" s="2" t="s">
        <v>45</v>
      </c>
      <c r="B37" s="14">
        <v>830988.01691999997</v>
      </c>
      <c r="C37" s="14"/>
      <c r="D37" s="14">
        <f t="shared" si="0"/>
        <v>830988.01691999997</v>
      </c>
      <c r="E37" s="14"/>
      <c r="F37" s="14">
        <f t="shared" si="1"/>
        <v>830988.01691999997</v>
      </c>
      <c r="H37" s="9"/>
      <c r="I37" s="9"/>
      <c r="J37" s="9"/>
      <c r="K37" s="9"/>
    </row>
    <row r="38" spans="1:18" ht="9.9499999999999993" customHeight="1" x14ac:dyDescent="0.15">
      <c r="A38" s="2" t="s">
        <v>46</v>
      </c>
      <c r="B38" s="14">
        <v>507448.92067000002</v>
      </c>
      <c r="C38" s="14"/>
      <c r="D38" s="14">
        <f t="shared" si="0"/>
        <v>507448.92067000002</v>
      </c>
      <c r="E38" s="14"/>
      <c r="F38" s="14">
        <f t="shared" si="1"/>
        <v>507448.92067000002</v>
      </c>
      <c r="H38" s="9"/>
      <c r="I38" s="9"/>
      <c r="J38" s="9"/>
      <c r="K38" s="9"/>
    </row>
    <row r="39" spans="1:18" ht="9.9499999999999993" customHeight="1" x14ac:dyDescent="0.15">
      <c r="A39" s="2" t="s">
        <v>47</v>
      </c>
      <c r="B39" s="14">
        <v>1052678.62809</v>
      </c>
      <c r="C39" s="14"/>
      <c r="D39" s="14">
        <f t="shared" si="0"/>
        <v>1052678.62809</v>
      </c>
      <c r="E39" s="14"/>
      <c r="F39" s="14">
        <f t="shared" si="1"/>
        <v>1052678.62809</v>
      </c>
    </row>
    <row r="40" spans="1:18" ht="9.9499999999999993" customHeight="1" x14ac:dyDescent="0.15">
      <c r="A40" s="2" t="s">
        <v>48</v>
      </c>
      <c r="B40" s="14">
        <v>256738.54800000001</v>
      </c>
      <c r="C40" s="14"/>
      <c r="D40" s="14">
        <f t="shared" si="0"/>
        <v>256738.54800000001</v>
      </c>
      <c r="E40" s="14"/>
      <c r="F40" s="14">
        <f t="shared" si="1"/>
        <v>256738.54800000001</v>
      </c>
    </row>
    <row r="41" spans="1:18" ht="9.9499999999999993" customHeight="1" x14ac:dyDescent="0.15">
      <c r="A41" s="2" t="s">
        <v>49</v>
      </c>
      <c r="B41" s="14">
        <v>17476.78844</v>
      </c>
      <c r="C41" s="14"/>
      <c r="D41" s="14">
        <f>B41-C41</f>
        <v>17476.78844</v>
      </c>
      <c r="E41" s="14"/>
      <c r="F41" s="14">
        <f>D41-E41</f>
        <v>17476.78844</v>
      </c>
      <c r="H41" s="10"/>
      <c r="I41" s="10"/>
      <c r="J41" s="10"/>
      <c r="K41" s="10"/>
      <c r="L41" s="10"/>
    </row>
    <row r="42" spans="1:18" ht="9.9499999999999993" customHeight="1" x14ac:dyDescent="0.15">
      <c r="A42" s="2" t="s">
        <v>50</v>
      </c>
      <c r="B42" s="14">
        <v>7760.5297499999997</v>
      </c>
      <c r="C42" s="14"/>
      <c r="D42" s="14">
        <f>B42-C42</f>
        <v>7760.5297499999997</v>
      </c>
      <c r="E42" s="14"/>
      <c r="F42" s="14">
        <f>D42-E42</f>
        <v>7760.5297499999997</v>
      </c>
      <c r="J42" s="9"/>
      <c r="K42" s="9"/>
    </row>
    <row r="43" spans="1:18" ht="9.9499999999999993" customHeight="1" x14ac:dyDescent="0.15">
      <c r="A43" s="2" t="s">
        <v>51</v>
      </c>
      <c r="B43" s="14">
        <v>39005.738720000001</v>
      </c>
      <c r="C43" s="14"/>
      <c r="D43" s="14">
        <f>B43-C43</f>
        <v>39005.738720000001</v>
      </c>
      <c r="F43" s="14">
        <f>D43-E43</f>
        <v>39005.738720000001</v>
      </c>
      <c r="I43" s="44"/>
      <c r="J43" s="45"/>
      <c r="K43" s="9"/>
    </row>
    <row r="44" spans="1:18" ht="9.9499999999999993" customHeight="1" x14ac:dyDescent="0.15">
      <c r="F44" s="14"/>
    </row>
    <row r="45" spans="1:18" ht="9.9499999999999993" customHeight="1" x14ac:dyDescent="0.15">
      <c r="A45" s="2" t="s">
        <v>52</v>
      </c>
      <c r="B45" s="14">
        <f>SUM(B11:B43)</f>
        <v>71709062.083429992</v>
      </c>
      <c r="C45" s="14">
        <f>SUM(C11:C43)</f>
        <v>2768302.4945299998</v>
      </c>
      <c r="D45" s="14">
        <f>SUM(D11:D43)</f>
        <v>68940759.5889</v>
      </c>
      <c r="E45" s="14">
        <f>SUM(E11:E43)</f>
        <v>157475.36092000001</v>
      </c>
      <c r="F45" s="14">
        <f>SUM(F11:F43)</f>
        <v>68783284.227980003</v>
      </c>
    </row>
    <row r="46" spans="1:18" ht="9.9499999999999993" customHeight="1" x14ac:dyDescent="0.15">
      <c r="A46" s="2" t="s">
        <v>53</v>
      </c>
      <c r="B46" s="14"/>
      <c r="C46" s="14"/>
      <c r="D46" s="14"/>
      <c r="E46" s="14"/>
      <c r="F46" s="14">
        <f>F11+F12+F13+F14+F15+F16+F17+F18+F20+F21+F23+F24+F25+F30+F31+F32+F33+F34+F35+F36+F37+F38+F39+F40+F41</f>
        <v>66809225.676110014</v>
      </c>
    </row>
    <row r="48" spans="1:18" ht="9.9499999999999993" customHeight="1" x14ac:dyDescent="0.15">
      <c r="K48" s="20"/>
      <c r="L48" s="20"/>
      <c r="M48" s="20"/>
      <c r="N48" s="20"/>
      <c r="O48" s="20"/>
      <c r="P48" s="20"/>
      <c r="Q48" s="20"/>
      <c r="R48" s="20"/>
    </row>
    <row r="49" spans="1:33" ht="9.9499999999999993" customHeight="1" x14ac:dyDescent="0.15">
      <c r="A49" s="1" t="s">
        <v>54</v>
      </c>
      <c r="J49" s="45"/>
      <c r="K49" s="109" t="s">
        <v>55</v>
      </c>
      <c r="L49" s="21" t="s">
        <v>56</v>
      </c>
      <c r="M49" s="43"/>
      <c r="N49" s="21" t="s">
        <v>57</v>
      </c>
      <c r="O49" s="21" t="s">
        <v>58</v>
      </c>
      <c r="P49" s="43"/>
      <c r="Q49" s="21" t="s">
        <v>59</v>
      </c>
      <c r="R49" s="43"/>
      <c r="S49" s="14"/>
    </row>
    <row r="50" spans="1:33" ht="9.9499999999999993" customHeight="1" x14ac:dyDescent="0.15">
      <c r="B50" s="20" t="s">
        <v>60</v>
      </c>
      <c r="C50" s="20" t="s">
        <v>11</v>
      </c>
      <c r="D50" s="20" t="s">
        <v>13</v>
      </c>
      <c r="E50" s="20"/>
      <c r="F50" s="20" t="s">
        <v>60</v>
      </c>
      <c r="G50" s="20" t="s">
        <v>11</v>
      </c>
      <c r="H50" s="20" t="s">
        <v>13</v>
      </c>
      <c r="I50" s="20"/>
      <c r="J50" s="20"/>
      <c r="K50" s="48" t="s">
        <v>13</v>
      </c>
      <c r="L50" s="49" t="s">
        <v>11</v>
      </c>
      <c r="M50" s="50" t="s">
        <v>13</v>
      </c>
      <c r="N50" s="49" t="s">
        <v>13</v>
      </c>
      <c r="O50" s="49" t="s">
        <v>11</v>
      </c>
      <c r="P50" s="50" t="s">
        <v>13</v>
      </c>
      <c r="Q50" s="49" t="s">
        <v>11</v>
      </c>
      <c r="R50" s="50" t="s">
        <v>13</v>
      </c>
      <c r="S50" s="51"/>
      <c r="T50" s="52" t="s">
        <v>11</v>
      </c>
      <c r="U50" s="53" t="s">
        <v>13</v>
      </c>
    </row>
    <row r="51" spans="1:33" ht="9.9499999999999993" customHeight="1" x14ac:dyDescent="0.15">
      <c r="J51" s="20" t="s">
        <v>61</v>
      </c>
      <c r="K51" s="54">
        <f>K20</f>
        <v>110903.3146223426</v>
      </c>
      <c r="L51" s="55">
        <f>K17</f>
        <v>646024.88899999997</v>
      </c>
      <c r="M51" s="56">
        <v>0</v>
      </c>
      <c r="N51" s="57" t="s">
        <v>62</v>
      </c>
      <c r="O51" s="57"/>
      <c r="P51" s="58"/>
      <c r="Q51" s="62"/>
      <c r="R51" s="31"/>
      <c r="S51" s="14"/>
      <c r="T51" s="32"/>
      <c r="U51" s="50" t="s">
        <v>63</v>
      </c>
    </row>
    <row r="52" spans="1:33" ht="9.9499999999999993" customHeight="1" x14ac:dyDescent="0.15">
      <c r="J52" s="20" t="s">
        <v>64</v>
      </c>
      <c r="K52" s="59"/>
      <c r="L52" s="60">
        <f>K11</f>
        <v>0</v>
      </c>
      <c r="M52" s="61">
        <f>K12</f>
        <v>0</v>
      </c>
      <c r="N52" s="62"/>
      <c r="O52" s="62"/>
      <c r="P52" s="31"/>
      <c r="Q52" s="62"/>
      <c r="R52" s="31"/>
      <c r="S52" s="14"/>
      <c r="T52" s="32"/>
      <c r="U52" s="47"/>
    </row>
    <row r="53" spans="1:33" ht="9.9499999999999993" customHeight="1" x14ac:dyDescent="0.15">
      <c r="A53" s="2" t="s">
        <v>10</v>
      </c>
      <c r="B53" s="63">
        <v>67.417000000000002</v>
      </c>
      <c r="C53" s="63">
        <v>20.7</v>
      </c>
      <c r="D53" s="63">
        <v>11.883000000000001</v>
      </c>
      <c r="E53" s="64"/>
      <c r="F53" s="13">
        <f t="shared" ref="F53:H59" si="2">B53*$F11/100</f>
        <v>1637796.9616154286</v>
      </c>
      <c r="G53" s="13">
        <f t="shared" si="2"/>
        <v>502876.08623106004</v>
      </c>
      <c r="H53" s="13">
        <f t="shared" si="2"/>
        <v>288680.02573351143</v>
      </c>
      <c r="I53" s="14"/>
      <c r="J53" s="45" t="s">
        <v>65</v>
      </c>
      <c r="K53" s="65">
        <f t="shared" ref="K53:K59" si="3">-F11*$J$20</f>
        <v>-4032.7261021428003</v>
      </c>
      <c r="L53" s="66">
        <f t="shared" ref="L53:L59" si="4">-SUM(L$51:L$52)/(SUM(G$53:G$84)-G$60-G$61)*G53</f>
        <v>-22340.691899423822</v>
      </c>
      <c r="M53" s="34"/>
      <c r="N53" s="66"/>
      <c r="O53" s="66"/>
      <c r="P53" s="34"/>
      <c r="Q53" s="66">
        <v>-9857</v>
      </c>
      <c r="R53" s="34">
        <v>-8374</v>
      </c>
      <c r="S53" s="45" t="s">
        <v>66</v>
      </c>
      <c r="T53" s="66">
        <f>G53+L53+O53+Q53</f>
        <v>470678.3943316362</v>
      </c>
      <c r="U53" s="34">
        <f>H53+K53+M53+N53+P53+R53</f>
        <v>276273.2996313686</v>
      </c>
    </row>
    <row r="54" spans="1:33" ht="9.9499999999999993" customHeight="1" x14ac:dyDescent="0.15">
      <c r="A54" s="2" t="s">
        <v>12</v>
      </c>
      <c r="B54" s="63">
        <v>67.417000000000002</v>
      </c>
      <c r="C54" s="63">
        <v>20.7</v>
      </c>
      <c r="D54" s="63">
        <v>11.883000000000001</v>
      </c>
      <c r="E54" s="64"/>
      <c r="F54" s="13">
        <f t="shared" si="2"/>
        <v>15421089.215095565</v>
      </c>
      <c r="G54" s="13">
        <f t="shared" si="2"/>
        <v>4734956.2684853701</v>
      </c>
      <c r="H54" s="13">
        <f t="shared" si="2"/>
        <v>2718139.3883290659</v>
      </c>
      <c r="I54" s="14"/>
      <c r="J54" s="45" t="s">
        <v>67</v>
      </c>
      <c r="K54" s="65">
        <f t="shared" si="3"/>
        <v>-37971.146887370604</v>
      </c>
      <c r="L54" s="66">
        <f t="shared" si="4"/>
        <v>-210354.40349587961</v>
      </c>
      <c r="M54" s="34"/>
      <c r="N54" s="66">
        <v>0</v>
      </c>
      <c r="O54" s="66"/>
      <c r="P54" s="34"/>
      <c r="Q54" s="66">
        <v>-23982</v>
      </c>
      <c r="R54" s="34">
        <v>-18805</v>
      </c>
      <c r="S54" s="45" t="s">
        <v>68</v>
      </c>
      <c r="T54" s="66">
        <f t="shared" ref="T54:T87" si="5">G54+L54+O54+Q54</f>
        <v>4500619.8649894902</v>
      </c>
      <c r="U54" s="34">
        <f t="shared" ref="U54:U87" si="6">H54+K54+M54+N54+P54+R54</f>
        <v>2661363.2414416955</v>
      </c>
    </row>
    <row r="55" spans="1:33" ht="9.9499999999999993" customHeight="1" x14ac:dyDescent="0.15">
      <c r="A55" s="2" t="s">
        <v>14</v>
      </c>
      <c r="B55" s="63">
        <v>67.417000000000002</v>
      </c>
      <c r="C55" s="63">
        <v>20.7</v>
      </c>
      <c r="D55" s="63">
        <v>11.883000000000001</v>
      </c>
      <c r="E55" s="64"/>
      <c r="F55" s="13">
        <f t="shared" si="2"/>
        <v>794973.09026853624</v>
      </c>
      <c r="G55" s="13">
        <f t="shared" si="2"/>
        <v>244091.89030301999</v>
      </c>
      <c r="H55" s="13">
        <f t="shared" si="2"/>
        <v>140122.8952884438</v>
      </c>
      <c r="I55" s="14"/>
      <c r="J55" s="45" t="s">
        <v>14</v>
      </c>
      <c r="K55" s="65">
        <f t="shared" si="3"/>
        <v>-1957.4518739276</v>
      </c>
      <c r="L55" s="66">
        <f t="shared" si="4"/>
        <v>-10843.986949703778</v>
      </c>
      <c r="M55" s="34"/>
      <c r="N55" s="66"/>
      <c r="O55" s="66"/>
      <c r="P55" s="34"/>
      <c r="Q55" s="66">
        <v>-382</v>
      </c>
      <c r="R55" s="34">
        <v>-1909</v>
      </c>
      <c r="S55" s="45" t="s">
        <v>69</v>
      </c>
      <c r="T55" s="66">
        <f t="shared" si="5"/>
        <v>232865.90335331621</v>
      </c>
      <c r="U55" s="34">
        <f t="shared" si="6"/>
        <v>136256.44341451619</v>
      </c>
    </row>
    <row r="56" spans="1:33" ht="9.9499999999999993" customHeight="1" x14ac:dyDescent="0.15">
      <c r="A56" s="2" t="s">
        <v>15</v>
      </c>
      <c r="B56" s="63">
        <v>67.417000000000002</v>
      </c>
      <c r="C56" s="63">
        <v>20.7</v>
      </c>
      <c r="D56" s="63">
        <v>11.883000000000001</v>
      </c>
      <c r="E56" s="64"/>
      <c r="F56" s="13">
        <f t="shared" si="2"/>
        <v>898202.25803293381</v>
      </c>
      <c r="G56" s="13">
        <f t="shared" si="2"/>
        <v>275787.80932527001</v>
      </c>
      <c r="H56" s="13">
        <f t="shared" si="2"/>
        <v>158318.1902517963</v>
      </c>
      <c r="I56" s="14"/>
      <c r="J56" s="45" t="s">
        <v>15</v>
      </c>
      <c r="K56" s="65">
        <f t="shared" si="3"/>
        <v>-2211.6317076326</v>
      </c>
      <c r="L56" s="66">
        <f t="shared" si="4"/>
        <v>-12252.104736040141</v>
      </c>
      <c r="M56" s="34"/>
      <c r="N56" s="66"/>
      <c r="O56" s="66"/>
      <c r="P56" s="34"/>
      <c r="Q56" s="66"/>
      <c r="R56" s="34"/>
      <c r="S56" s="45" t="s">
        <v>70</v>
      </c>
      <c r="T56" s="66">
        <f t="shared" si="5"/>
        <v>263535.70458922989</v>
      </c>
      <c r="U56" s="34">
        <f t="shared" si="6"/>
        <v>156106.55854416371</v>
      </c>
    </row>
    <row r="57" spans="1:33" ht="9.9499999999999993" customHeight="1" x14ac:dyDescent="0.15">
      <c r="A57" s="2" t="s">
        <v>17</v>
      </c>
      <c r="B57" s="63">
        <v>67.417000000000002</v>
      </c>
      <c r="C57" s="63">
        <v>20.7</v>
      </c>
      <c r="D57" s="63">
        <v>11.883000000000001</v>
      </c>
      <c r="E57" s="64"/>
      <c r="F57" s="13">
        <f t="shared" si="2"/>
        <v>0</v>
      </c>
      <c r="G57" s="13">
        <f t="shared" si="2"/>
        <v>0</v>
      </c>
      <c r="H57" s="13">
        <f t="shared" si="2"/>
        <v>0</v>
      </c>
      <c r="I57" s="14"/>
      <c r="J57" s="45" t="s">
        <v>71</v>
      </c>
      <c r="K57" s="65">
        <f t="shared" si="3"/>
        <v>0</v>
      </c>
      <c r="L57" s="66">
        <f t="shared" si="4"/>
        <v>0</v>
      </c>
      <c r="M57" s="34"/>
      <c r="N57" s="66"/>
      <c r="O57" s="66"/>
      <c r="P57" s="34"/>
      <c r="Q57" s="66"/>
      <c r="R57" s="34"/>
      <c r="S57" s="45" t="s">
        <v>72</v>
      </c>
      <c r="T57" s="66">
        <f>G57+L57+O57+Q57</f>
        <v>0</v>
      </c>
      <c r="U57" s="34">
        <f>H57+K57+M57+N57+P57+R57</f>
        <v>0</v>
      </c>
    </row>
    <row r="58" spans="1:33" ht="9.9499999999999993" customHeight="1" x14ac:dyDescent="0.15">
      <c r="A58" s="2" t="s">
        <v>19</v>
      </c>
      <c r="B58" s="63">
        <v>67.417000000000002</v>
      </c>
      <c r="C58" s="63">
        <v>20.7</v>
      </c>
      <c r="D58" s="63">
        <v>11.883000000000001</v>
      </c>
      <c r="E58" s="64"/>
      <c r="F58" s="13">
        <f t="shared" si="2"/>
        <v>3591053.7587241465</v>
      </c>
      <c r="G58" s="13">
        <f t="shared" si="2"/>
        <v>1102612.29075144</v>
      </c>
      <c r="H58" s="13">
        <f t="shared" si="2"/>
        <v>632963.37444441358</v>
      </c>
      <c r="I58" s="14"/>
      <c r="J58" s="45" t="s">
        <v>73</v>
      </c>
      <c r="K58" s="65">
        <f t="shared" si="3"/>
        <v>-8842.2048437072008</v>
      </c>
      <c r="L58" s="66">
        <f t="shared" si="4"/>
        <v>-48984.475791671437</v>
      </c>
      <c r="M58" s="34"/>
      <c r="N58" s="66"/>
      <c r="O58" s="66"/>
      <c r="P58" s="34"/>
      <c r="Q58" s="66"/>
      <c r="R58" s="34"/>
      <c r="S58" s="45" t="s">
        <v>74</v>
      </c>
      <c r="T58" s="66">
        <f t="shared" si="5"/>
        <v>1053627.8149597684</v>
      </c>
      <c r="U58" s="34">
        <f t="shared" si="6"/>
        <v>624121.16960070643</v>
      </c>
    </row>
    <row r="59" spans="1:33" ht="9.9499999999999993" customHeight="1" x14ac:dyDescent="0.15">
      <c r="A59" s="2" t="s">
        <v>21</v>
      </c>
      <c r="B59" s="63">
        <v>67.417000000000002</v>
      </c>
      <c r="C59" s="63">
        <v>20.7</v>
      </c>
      <c r="D59" s="63">
        <v>11.883000000000001</v>
      </c>
      <c r="E59" s="64"/>
      <c r="F59" s="13">
        <f t="shared" si="2"/>
        <v>15097276.012629561</v>
      </c>
      <c r="G59" s="13">
        <f t="shared" si="2"/>
        <v>4635531.2971718097</v>
      </c>
      <c r="H59" s="13">
        <f t="shared" si="2"/>
        <v>2661063.691028629</v>
      </c>
      <c r="I59" s="14"/>
      <c r="J59" s="45" t="s">
        <v>75</v>
      </c>
      <c r="K59" s="65">
        <f t="shared" si="3"/>
        <v>-37173.825861377794</v>
      </c>
      <c r="L59" s="66">
        <f t="shared" si="4"/>
        <v>-205937.36575627889</v>
      </c>
      <c r="M59" s="34"/>
      <c r="N59" s="66">
        <f>-K15</f>
        <v>-144686.553642435</v>
      </c>
      <c r="O59" s="66">
        <v>20000</v>
      </c>
      <c r="P59" s="34">
        <v>0</v>
      </c>
      <c r="Q59" s="66"/>
      <c r="R59" s="34">
        <v>-12864</v>
      </c>
      <c r="S59" s="45" t="s">
        <v>76</v>
      </c>
      <c r="T59" s="66">
        <f t="shared" si="5"/>
        <v>4449593.9314155309</v>
      </c>
      <c r="U59" s="34">
        <f t="shared" si="6"/>
        <v>2466339.3115248163</v>
      </c>
    </row>
    <row r="60" spans="1:33" ht="9.9499999999999993" customHeight="1" x14ac:dyDescent="0.15">
      <c r="A60" s="2" t="s">
        <v>77</v>
      </c>
      <c r="B60" s="63"/>
      <c r="C60" s="63"/>
      <c r="D60" s="63"/>
      <c r="E60" s="64"/>
      <c r="F60" s="13">
        <f>-G60-H60</f>
        <v>-111350.738</v>
      </c>
      <c r="G60" s="13">
        <v>79005</v>
      </c>
      <c r="H60" s="13">
        <v>32345.738000000001</v>
      </c>
      <c r="I60" s="14"/>
      <c r="J60" s="45" t="s">
        <v>78</v>
      </c>
      <c r="K60" s="65"/>
      <c r="L60" s="66"/>
      <c r="M60" s="34"/>
      <c r="N60" s="66"/>
      <c r="O60" s="66"/>
      <c r="P60" s="34"/>
      <c r="Q60" s="66"/>
      <c r="R60" s="34"/>
      <c r="S60" s="45" t="s">
        <v>79</v>
      </c>
      <c r="T60" s="66">
        <f>G60+L60+O60+Q60</f>
        <v>79005</v>
      </c>
      <c r="U60" s="34">
        <f>H60+K60+M60+N60+P60+R60</f>
        <v>32345.738000000001</v>
      </c>
    </row>
    <row r="61" spans="1:33" ht="9.9499999999999993" customHeight="1" x14ac:dyDescent="0.15">
      <c r="A61" s="2" t="s">
        <v>80</v>
      </c>
      <c r="B61" s="63"/>
      <c r="C61" s="63"/>
      <c r="D61" s="63"/>
      <c r="E61" s="64"/>
      <c r="F61" s="13">
        <f>-G61-H61</f>
        <v>371814</v>
      </c>
      <c r="G61" s="13">
        <v>-244655.85499999998</v>
      </c>
      <c r="H61" s="13">
        <v>-127158.145</v>
      </c>
      <c r="I61" s="14"/>
      <c r="J61" s="45" t="s">
        <v>81</v>
      </c>
      <c r="K61" s="65"/>
      <c r="L61" s="66"/>
      <c r="M61" s="34"/>
      <c r="N61" s="66"/>
      <c r="O61" s="66"/>
      <c r="P61" s="34"/>
      <c r="Q61" s="66"/>
      <c r="R61" s="34"/>
      <c r="S61" s="45" t="s">
        <v>82</v>
      </c>
      <c r="T61" s="66">
        <f>G61+L61+O61+Q61</f>
        <v>-244655.85499999998</v>
      </c>
      <c r="U61" s="34">
        <f>H61+K61+M61+N61+P61+R61</f>
        <v>-127158.145</v>
      </c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</row>
    <row r="62" spans="1:33" ht="9.9499999999999993" customHeight="1" x14ac:dyDescent="0.2">
      <c r="A62" s="2" t="s">
        <v>23</v>
      </c>
      <c r="B62" s="63">
        <v>67.417000000000002</v>
      </c>
      <c r="C62" s="63">
        <v>20.7</v>
      </c>
      <c r="D62" s="63">
        <v>11.883000000000001</v>
      </c>
      <c r="E62" s="64"/>
      <c r="F62" s="13">
        <f t="shared" ref="F62:H77" si="7">B62*$F18/100</f>
        <v>128967.84713410429</v>
      </c>
      <c r="G62" s="13">
        <f t="shared" si="7"/>
        <v>39598.83168453</v>
      </c>
      <c r="H62" s="13">
        <f t="shared" si="7"/>
        <v>22732.024971365699</v>
      </c>
      <c r="I62" s="14"/>
      <c r="J62" s="45" t="s">
        <v>83</v>
      </c>
      <c r="K62" s="65">
        <f>-F18*$J$20</f>
        <v>-317.55584829140003</v>
      </c>
      <c r="L62" s="66">
        <f t="shared" ref="L62:L84" si="8">-SUM(L$51:L$52)/(SUM(G$53:G$84)-G$60-G$61)*G62</f>
        <v>-1759.2113096321373</v>
      </c>
      <c r="M62" s="34"/>
      <c r="N62" s="66"/>
      <c r="O62" s="66"/>
      <c r="P62" s="34"/>
      <c r="Q62" s="105"/>
      <c r="R62" s="110"/>
      <c r="S62" s="45" t="s">
        <v>84</v>
      </c>
      <c r="T62" s="66">
        <f t="shared" si="5"/>
        <v>37839.620374897859</v>
      </c>
      <c r="U62" s="34">
        <f t="shared" si="6"/>
        <v>22414.469123074301</v>
      </c>
    </row>
    <row r="63" spans="1:33" ht="9.9499999999999993" customHeight="1" x14ac:dyDescent="0.15">
      <c r="A63" s="2" t="s">
        <v>25</v>
      </c>
      <c r="B63" s="63">
        <v>38.600999999999999</v>
      </c>
      <c r="C63" s="63">
        <v>33.887</v>
      </c>
      <c r="D63" s="63">
        <v>27.512</v>
      </c>
      <c r="E63" s="64"/>
      <c r="F63" s="13">
        <f t="shared" si="7"/>
        <v>0</v>
      </c>
      <c r="G63" s="13">
        <f t="shared" si="7"/>
        <v>0</v>
      </c>
      <c r="H63" s="13">
        <f t="shared" si="7"/>
        <v>0</v>
      </c>
      <c r="I63" s="14"/>
      <c r="J63" s="45" t="s">
        <v>85</v>
      </c>
      <c r="K63" s="65"/>
      <c r="L63" s="66">
        <f t="shared" si="8"/>
        <v>0</v>
      </c>
      <c r="M63" s="34"/>
      <c r="N63" s="66"/>
      <c r="O63" s="66"/>
      <c r="P63" s="34"/>
      <c r="Q63" s="66"/>
      <c r="R63" s="34"/>
      <c r="S63" s="45" t="s">
        <v>86</v>
      </c>
      <c r="T63" s="66">
        <f t="shared" si="5"/>
        <v>0</v>
      </c>
      <c r="U63" s="34">
        <f t="shared" si="6"/>
        <v>0</v>
      </c>
    </row>
    <row r="64" spans="1:33" ht="9.9499999999999993" customHeight="1" x14ac:dyDescent="0.15">
      <c r="A64" s="2" t="s">
        <v>27</v>
      </c>
      <c r="B64" s="63">
        <v>67.417000000000002</v>
      </c>
      <c r="C64" s="63">
        <v>20.7</v>
      </c>
      <c r="D64" s="63">
        <v>11.883000000000001</v>
      </c>
      <c r="E64" s="64"/>
      <c r="F64" s="13">
        <f t="shared" si="7"/>
        <v>772.71255247900001</v>
      </c>
      <c r="G64" s="13">
        <f t="shared" si="7"/>
        <v>237.25692089999995</v>
      </c>
      <c r="H64" s="13">
        <f t="shared" si="7"/>
        <v>136.19922662100001</v>
      </c>
      <c r="I64" s="14"/>
      <c r="J64" s="45" t="s">
        <v>87</v>
      </c>
      <c r="K64" s="65">
        <f>-F20*$J$20</f>
        <v>-1.902640042</v>
      </c>
      <c r="L64" s="66">
        <f t="shared" si="8"/>
        <v>-10.540337701398306</v>
      </c>
      <c r="M64" s="34"/>
      <c r="N64" s="66"/>
      <c r="O64" s="66"/>
      <c r="P64" s="34"/>
      <c r="Q64" s="66"/>
      <c r="R64" s="34"/>
      <c r="S64" s="45" t="s">
        <v>88</v>
      </c>
      <c r="T64" s="66">
        <f t="shared" si="5"/>
        <v>226.71658319860165</v>
      </c>
      <c r="U64" s="34">
        <f t="shared" si="6"/>
        <v>134.29658657900001</v>
      </c>
    </row>
    <row r="65" spans="1:21" ht="9.9499999999999993" customHeight="1" x14ac:dyDescent="0.15">
      <c r="A65" s="2" t="s">
        <v>29</v>
      </c>
      <c r="B65" s="63">
        <v>67.417000000000002</v>
      </c>
      <c r="C65" s="63">
        <v>20.7</v>
      </c>
      <c r="D65" s="63">
        <v>11.883000000000001</v>
      </c>
      <c r="E65" s="64"/>
      <c r="F65" s="13">
        <f t="shared" si="7"/>
        <v>86345.27136786528</v>
      </c>
      <c r="G65" s="13">
        <f t="shared" si="7"/>
        <v>26511.816267629998</v>
      </c>
      <c r="H65" s="13">
        <f t="shared" si="7"/>
        <v>15219.319454504699</v>
      </c>
      <c r="I65" s="14"/>
      <c r="J65" s="45" t="s">
        <v>89</v>
      </c>
      <c r="K65" s="65">
        <f>-F21*$J$20</f>
        <v>-212.60683576939996</v>
      </c>
      <c r="L65" s="66">
        <f t="shared" si="8"/>
        <v>-1177.809673489046</v>
      </c>
      <c r="M65" s="34"/>
      <c r="N65" s="66"/>
      <c r="O65" s="66"/>
      <c r="P65" s="34"/>
      <c r="Q65" s="66"/>
      <c r="R65" s="34"/>
      <c r="S65" s="45" t="s">
        <v>90</v>
      </c>
      <c r="T65" s="66">
        <f t="shared" si="5"/>
        <v>25334.006594140952</v>
      </c>
      <c r="U65" s="34">
        <f t="shared" si="6"/>
        <v>15006.712618735299</v>
      </c>
    </row>
    <row r="66" spans="1:21" ht="9.9499999999999993" customHeight="1" x14ac:dyDescent="0.15">
      <c r="A66" s="2" t="s">
        <v>30</v>
      </c>
      <c r="B66" s="63">
        <v>40</v>
      </c>
      <c r="C66" s="63">
        <v>30</v>
      </c>
      <c r="D66" s="63">
        <v>30</v>
      </c>
      <c r="E66" s="64"/>
      <c r="F66" s="13">
        <f t="shared" si="7"/>
        <v>6.4118519999999997</v>
      </c>
      <c r="G66" s="13">
        <f t="shared" si="7"/>
        <v>4.8088890000000006</v>
      </c>
      <c r="H66" s="13">
        <f t="shared" si="7"/>
        <v>4.8088890000000006</v>
      </c>
      <c r="I66" s="14"/>
      <c r="J66" s="45" t="s">
        <v>91</v>
      </c>
      <c r="K66" s="65"/>
      <c r="L66" s="66">
        <f t="shared" si="8"/>
        <v>-0.21363892710174515</v>
      </c>
      <c r="M66" s="34"/>
      <c r="N66" s="66"/>
      <c r="O66" s="66"/>
      <c r="P66" s="34"/>
      <c r="Q66" s="66"/>
      <c r="R66" s="34"/>
      <c r="S66" s="45" t="s">
        <v>92</v>
      </c>
      <c r="T66" s="66">
        <f t="shared" si="5"/>
        <v>4.5952500728982555</v>
      </c>
      <c r="U66" s="34">
        <f t="shared" si="6"/>
        <v>4.8088890000000006</v>
      </c>
    </row>
    <row r="67" spans="1:21" ht="9.9499999999999993" customHeight="1" x14ac:dyDescent="0.15">
      <c r="A67" s="2" t="s">
        <v>31</v>
      </c>
      <c r="B67" s="63">
        <v>67.417000000000002</v>
      </c>
      <c r="C67" s="63">
        <v>20.7</v>
      </c>
      <c r="D67" s="63">
        <v>11.883000000000001</v>
      </c>
      <c r="E67" s="64"/>
      <c r="F67" s="13">
        <f t="shared" si="7"/>
        <v>2818957.7077837968</v>
      </c>
      <c r="G67" s="13">
        <f t="shared" si="7"/>
        <v>865544.66308385995</v>
      </c>
      <c r="H67" s="13">
        <f t="shared" si="7"/>
        <v>496872.81311234343</v>
      </c>
      <c r="I67" s="14"/>
      <c r="J67" s="45" t="s">
        <v>93</v>
      </c>
      <c r="K67" s="65">
        <f>-F23*$J$20</f>
        <v>-6941.0828054067997</v>
      </c>
      <c r="L67" s="66">
        <f t="shared" si="8"/>
        <v>-38452.547600886042</v>
      </c>
      <c r="M67" s="34"/>
      <c r="N67" s="66"/>
      <c r="O67" s="66"/>
      <c r="P67" s="34"/>
      <c r="Q67" s="66"/>
      <c r="R67" s="34"/>
      <c r="S67" s="45" t="s">
        <v>94</v>
      </c>
      <c r="T67" s="66">
        <f t="shared" si="5"/>
        <v>827092.11548297387</v>
      </c>
      <c r="U67" s="34">
        <f t="shared" si="6"/>
        <v>489931.7303069366</v>
      </c>
    </row>
    <row r="68" spans="1:21" ht="9.9499999999999993" customHeight="1" x14ac:dyDescent="0.15">
      <c r="A68" s="2" t="s">
        <v>32</v>
      </c>
      <c r="B68" s="63">
        <v>67.417000000000002</v>
      </c>
      <c r="C68" s="63">
        <v>20.7</v>
      </c>
      <c r="D68" s="63">
        <v>11.883000000000001</v>
      </c>
      <c r="E68" s="64"/>
      <c r="F68" s="13">
        <f t="shared" si="7"/>
        <v>14242.695605415902</v>
      </c>
      <c r="G68" s="13">
        <f t="shared" si="7"/>
        <v>4373.1373248900009</v>
      </c>
      <c r="H68" s="13">
        <f t="shared" si="7"/>
        <v>2510.4343396941008</v>
      </c>
      <c r="I68" s="14"/>
      <c r="J68" s="45" t="s">
        <v>95</v>
      </c>
      <c r="K68" s="65">
        <f>-F24*$J$20</f>
        <v>-35.06960366820001</v>
      </c>
      <c r="L68" s="66">
        <f t="shared" si="8"/>
        <v>-194.28029346447704</v>
      </c>
      <c r="M68" s="34"/>
      <c r="N68" s="66"/>
      <c r="O68" s="66"/>
      <c r="P68" s="34"/>
      <c r="Q68" s="66"/>
      <c r="R68" s="34"/>
      <c r="S68" s="45" t="s">
        <v>96</v>
      </c>
      <c r="T68" s="66">
        <f t="shared" si="5"/>
        <v>4178.8570314255239</v>
      </c>
      <c r="U68" s="34">
        <f t="shared" si="6"/>
        <v>2475.3647360259006</v>
      </c>
    </row>
    <row r="69" spans="1:21" ht="9.9499999999999993" customHeight="1" x14ac:dyDescent="0.15">
      <c r="A69" s="2" t="s">
        <v>33</v>
      </c>
      <c r="B69" s="63">
        <v>67.417000000000002</v>
      </c>
      <c r="C69" s="63">
        <v>20.7</v>
      </c>
      <c r="D69" s="63">
        <v>11.883000000000001</v>
      </c>
      <c r="E69" s="64"/>
      <c r="F69" s="13">
        <f t="shared" si="7"/>
        <v>7107.5196894744004</v>
      </c>
      <c r="G69" s="13">
        <f t="shared" si="7"/>
        <v>2182.3228202400001</v>
      </c>
      <c r="H69" s="13">
        <f t="shared" si="7"/>
        <v>1252.7798102856002</v>
      </c>
      <c r="I69" s="14"/>
      <c r="J69" s="45" t="s">
        <v>33</v>
      </c>
      <c r="K69" s="65">
        <f>-F25*$J$20</f>
        <v>-17.5007530512</v>
      </c>
      <c r="L69" s="66">
        <f t="shared" si="8"/>
        <v>-96.951521631239189</v>
      </c>
      <c r="M69" s="34"/>
      <c r="N69" s="66"/>
      <c r="O69" s="66"/>
      <c r="P69" s="34"/>
      <c r="Q69" s="66"/>
      <c r="R69" s="34"/>
      <c r="S69" s="45" t="s">
        <v>97</v>
      </c>
      <c r="T69" s="66">
        <f>G69+L69+O69+Q69</f>
        <v>2085.3712986087608</v>
      </c>
      <c r="U69" s="34">
        <f>H69+K69+M69+N69+P69+R69</f>
        <v>1235.2790572344002</v>
      </c>
    </row>
    <row r="70" spans="1:21" ht="9.9499999999999993" customHeight="1" x14ac:dyDescent="0.15">
      <c r="A70" s="2" t="s">
        <v>34</v>
      </c>
      <c r="B70" s="63">
        <v>4</v>
      </c>
      <c r="C70" s="63">
        <v>9.0830000000000002</v>
      </c>
      <c r="D70" s="63">
        <v>86.917000000000002</v>
      </c>
      <c r="E70" s="64"/>
      <c r="F70" s="13">
        <f t="shared" si="7"/>
        <v>4397.7981976000001</v>
      </c>
      <c r="G70" s="13">
        <f t="shared" si="7"/>
        <v>9986.3002572002024</v>
      </c>
      <c r="H70" s="13">
        <f t="shared" si="7"/>
        <v>95560.856485199824</v>
      </c>
      <c r="I70" s="14"/>
      <c r="J70" s="45" t="s">
        <v>34</v>
      </c>
      <c r="K70" s="65"/>
      <c r="L70" s="66">
        <f t="shared" si="8"/>
        <v>-443.64976456394243</v>
      </c>
      <c r="M70" s="34"/>
      <c r="N70" s="66"/>
      <c r="O70" s="66"/>
      <c r="P70" s="34"/>
      <c r="Q70" s="66"/>
      <c r="R70" s="34"/>
      <c r="S70" s="45" t="s">
        <v>98</v>
      </c>
      <c r="T70" s="66">
        <f t="shared" si="5"/>
        <v>9542.6504926362595</v>
      </c>
      <c r="U70" s="34">
        <f t="shared" si="6"/>
        <v>95560.856485199824</v>
      </c>
    </row>
    <row r="71" spans="1:21" ht="9.9499999999999993" customHeight="1" x14ac:dyDescent="0.15">
      <c r="A71" s="2" t="s">
        <v>99</v>
      </c>
      <c r="B71" s="63">
        <v>19.450000000000003</v>
      </c>
      <c r="C71" s="63">
        <v>80.55</v>
      </c>
      <c r="D71" s="63">
        <v>0</v>
      </c>
      <c r="E71" s="64"/>
      <c r="F71" s="13">
        <f t="shared" si="7"/>
        <v>170417.35733032</v>
      </c>
      <c r="G71" s="13">
        <f t="shared" si="7"/>
        <v>705764.42842967983</v>
      </c>
      <c r="H71" s="13">
        <f t="shared" si="7"/>
        <v>0</v>
      </c>
      <c r="I71" s="14"/>
      <c r="J71" s="45" t="s">
        <v>99</v>
      </c>
      <c r="K71" s="65"/>
      <c r="L71" s="66">
        <f t="shared" si="8"/>
        <v>-31354.17666664653</v>
      </c>
      <c r="M71" s="34"/>
      <c r="N71" s="66"/>
      <c r="O71" s="66"/>
      <c r="P71" s="34"/>
      <c r="Q71" s="66"/>
      <c r="R71" s="34"/>
      <c r="S71" s="45" t="s">
        <v>100</v>
      </c>
      <c r="T71" s="66">
        <f>G71+L71+O71+Q71</f>
        <v>674410.25176303333</v>
      </c>
      <c r="U71" s="34">
        <f>H71+K71+M71+N71+P71+R71</f>
        <v>0</v>
      </c>
    </row>
    <row r="72" spans="1:21" ht="9.9499999999999993" customHeight="1" x14ac:dyDescent="0.15">
      <c r="A72" s="2" t="s">
        <v>36</v>
      </c>
      <c r="B72" s="63">
        <v>4</v>
      </c>
      <c r="C72" s="63">
        <v>0</v>
      </c>
      <c r="D72" s="63">
        <v>96</v>
      </c>
      <c r="E72" s="64"/>
      <c r="F72" s="13">
        <f t="shared" si="7"/>
        <v>37415.503416800006</v>
      </c>
      <c r="G72" s="13">
        <f t="shared" si="7"/>
        <v>0</v>
      </c>
      <c r="H72" s="13">
        <f t="shared" si="7"/>
        <v>897972.08200320008</v>
      </c>
      <c r="I72" s="14"/>
      <c r="J72" s="45" t="s">
        <v>101</v>
      </c>
      <c r="K72" s="65"/>
      <c r="L72" s="66">
        <f t="shared" si="8"/>
        <v>0</v>
      </c>
      <c r="M72" s="34"/>
      <c r="N72" s="66"/>
      <c r="O72" s="66"/>
      <c r="P72" s="34"/>
      <c r="Q72" s="66"/>
      <c r="R72" s="34"/>
      <c r="S72" s="45" t="s">
        <v>102</v>
      </c>
      <c r="T72" s="66">
        <f t="shared" si="5"/>
        <v>0</v>
      </c>
      <c r="U72" s="34">
        <f t="shared" si="6"/>
        <v>897972.08200320008</v>
      </c>
    </row>
    <row r="73" spans="1:21" ht="9.9499999999999993" customHeight="1" x14ac:dyDescent="0.15">
      <c r="A73" s="2" t="s">
        <v>37</v>
      </c>
      <c r="B73" s="63">
        <v>4</v>
      </c>
      <c r="C73" s="63">
        <v>0</v>
      </c>
      <c r="D73" s="63">
        <v>96</v>
      </c>
      <c r="E73" s="64"/>
      <c r="F73" s="13">
        <f t="shared" si="7"/>
        <v>230.47710599999999</v>
      </c>
      <c r="G73" s="13">
        <f t="shared" si="7"/>
        <v>0</v>
      </c>
      <c r="H73" s="13">
        <f t="shared" si="7"/>
        <v>5531.4505440000003</v>
      </c>
      <c r="I73" s="14"/>
      <c r="J73" s="45" t="s">
        <v>103</v>
      </c>
      <c r="K73" s="65"/>
      <c r="L73" s="66">
        <f t="shared" si="8"/>
        <v>0</v>
      </c>
      <c r="M73" s="34"/>
      <c r="N73" s="66"/>
      <c r="O73" s="66"/>
      <c r="P73" s="34"/>
      <c r="Q73" s="66"/>
      <c r="R73" s="34"/>
      <c r="S73" s="45" t="s">
        <v>104</v>
      </c>
      <c r="T73" s="66">
        <f t="shared" si="5"/>
        <v>0</v>
      </c>
      <c r="U73" s="34">
        <f t="shared" si="6"/>
        <v>5531.4505440000003</v>
      </c>
    </row>
    <row r="74" spans="1:21" ht="9.9499999999999993" customHeight="1" x14ac:dyDescent="0.15">
      <c r="A74" s="2" t="s">
        <v>38</v>
      </c>
      <c r="B74" s="63">
        <v>67.417000000000002</v>
      </c>
      <c r="C74" s="63">
        <v>20.7</v>
      </c>
      <c r="D74" s="63">
        <v>11.883000000000001</v>
      </c>
      <c r="E74" s="64"/>
      <c r="F74" s="13">
        <f t="shared" si="7"/>
        <v>20820.766260866596</v>
      </c>
      <c r="G74" s="13">
        <f t="shared" si="7"/>
        <v>6392.8958808599982</v>
      </c>
      <c r="H74" s="13">
        <f t="shared" si="7"/>
        <v>3669.8928382733993</v>
      </c>
      <c r="I74" s="14"/>
      <c r="J74" s="45" t="s">
        <v>105</v>
      </c>
      <c r="K74" s="65">
        <f t="shared" ref="K74:K85" si="9">-F30*$J$20</f>
        <v>-51.266701266799991</v>
      </c>
      <c r="L74" s="66">
        <f t="shared" si="8"/>
        <v>-284.0097613107925</v>
      </c>
      <c r="M74" s="34"/>
      <c r="N74" s="66"/>
      <c r="O74" s="66"/>
      <c r="P74" s="34"/>
      <c r="Q74" s="66"/>
      <c r="R74" s="34"/>
      <c r="S74" s="45" t="s">
        <v>106</v>
      </c>
      <c r="T74" s="66">
        <f t="shared" si="5"/>
        <v>6108.8861195492054</v>
      </c>
      <c r="U74" s="34">
        <f t="shared" si="6"/>
        <v>3618.6261370065995</v>
      </c>
    </row>
    <row r="75" spans="1:21" ht="9.9499999999999993" customHeight="1" x14ac:dyDescent="0.15">
      <c r="A75" s="2" t="s">
        <v>39</v>
      </c>
      <c r="B75" s="63">
        <v>67.417000000000002</v>
      </c>
      <c r="C75" s="63">
        <v>20.7</v>
      </c>
      <c r="D75" s="63">
        <v>11.883000000000001</v>
      </c>
      <c r="E75" s="64"/>
      <c r="F75" s="13">
        <f t="shared" si="7"/>
        <v>1164924.9794297332</v>
      </c>
      <c r="G75" s="13">
        <f t="shared" si="7"/>
        <v>357683.47856172005</v>
      </c>
      <c r="H75" s="13">
        <f t="shared" si="7"/>
        <v>205331.05196854685</v>
      </c>
      <c r="I75" s="14"/>
      <c r="J75" s="45" t="s">
        <v>107</v>
      </c>
      <c r="K75" s="65">
        <f t="shared" si="9"/>
        <v>-2868.3795865336001</v>
      </c>
      <c r="L75" s="66">
        <f t="shared" si="8"/>
        <v>-15890.388528815267</v>
      </c>
      <c r="M75" s="34"/>
      <c r="N75" s="66"/>
      <c r="O75" s="66"/>
      <c r="P75" s="34"/>
      <c r="Q75" s="66"/>
      <c r="R75" s="34"/>
      <c r="S75" s="45" t="s">
        <v>108</v>
      </c>
      <c r="T75" s="66">
        <f t="shared" si="5"/>
        <v>341793.09003290476</v>
      </c>
      <c r="U75" s="34">
        <f t="shared" si="6"/>
        <v>202462.67238201323</v>
      </c>
    </row>
    <row r="76" spans="1:21" ht="9.9499999999999993" customHeight="1" x14ac:dyDescent="0.15">
      <c r="A76" s="2" t="s">
        <v>40</v>
      </c>
      <c r="B76" s="63">
        <v>67.417000000000002</v>
      </c>
      <c r="C76" s="63">
        <v>20.7</v>
      </c>
      <c r="D76" s="63">
        <v>11.883000000000001</v>
      </c>
      <c r="E76" s="64"/>
      <c r="F76" s="13">
        <f t="shared" si="7"/>
        <v>1084310.2416815148</v>
      </c>
      <c r="G76" s="13">
        <f t="shared" si="7"/>
        <v>332931.18950424006</v>
      </c>
      <c r="H76" s="13">
        <f t="shared" si="7"/>
        <v>191121.80313424565</v>
      </c>
      <c r="I76" s="14"/>
      <c r="J76" s="45" t="s">
        <v>40</v>
      </c>
      <c r="K76" s="65">
        <f t="shared" si="9"/>
        <v>-2669.8829689712006</v>
      </c>
      <c r="L76" s="66">
        <f t="shared" si="8"/>
        <v>-14790.747327375122</v>
      </c>
      <c r="M76" s="34"/>
      <c r="N76" s="66"/>
      <c r="O76" s="66"/>
      <c r="P76" s="34"/>
      <c r="Q76" s="66"/>
      <c r="R76" s="34"/>
      <c r="S76" s="45" t="s">
        <v>109</v>
      </c>
      <c r="T76" s="66">
        <f t="shared" si="5"/>
        <v>318140.44217686495</v>
      </c>
      <c r="U76" s="34">
        <f t="shared" si="6"/>
        <v>188451.92016527444</v>
      </c>
    </row>
    <row r="77" spans="1:21" ht="9.9499999999999993" customHeight="1" x14ac:dyDescent="0.15">
      <c r="A77" s="2" t="s">
        <v>41</v>
      </c>
      <c r="B77" s="63">
        <v>67.417000000000002</v>
      </c>
      <c r="C77" s="63">
        <v>20.7</v>
      </c>
      <c r="D77" s="63">
        <v>11.883000000000001</v>
      </c>
      <c r="E77" s="64"/>
      <c r="F77" s="13">
        <f t="shared" si="7"/>
        <v>60215.11062090371</v>
      </c>
      <c r="G77" s="13">
        <f t="shared" si="7"/>
        <v>18488.70151227</v>
      </c>
      <c r="H77" s="13">
        <f t="shared" si="7"/>
        <v>10613.586476826302</v>
      </c>
      <c r="I77" s="14"/>
      <c r="J77" s="45" t="s">
        <v>41</v>
      </c>
      <c r="K77" s="65">
        <f t="shared" si="9"/>
        <v>-148.26688169260001</v>
      </c>
      <c r="L77" s="66">
        <f t="shared" si="8"/>
        <v>-821.37607139315855</v>
      </c>
      <c r="M77" s="34"/>
      <c r="N77" s="66"/>
      <c r="O77" s="66"/>
      <c r="P77" s="34"/>
      <c r="Q77" s="66"/>
      <c r="R77" s="34"/>
      <c r="S77" s="45" t="s">
        <v>110</v>
      </c>
      <c r="T77" s="66">
        <f t="shared" si="5"/>
        <v>17667.325440876841</v>
      </c>
      <c r="U77" s="34">
        <f t="shared" si="6"/>
        <v>10465.319595133702</v>
      </c>
    </row>
    <row r="78" spans="1:21" ht="9.9499999999999993" customHeight="1" x14ac:dyDescent="0.15">
      <c r="A78" s="2" t="s">
        <v>42</v>
      </c>
      <c r="B78" s="63">
        <v>67.417000000000002</v>
      </c>
      <c r="C78" s="63">
        <v>20.7</v>
      </c>
      <c r="D78" s="63">
        <v>11.883000000000001</v>
      </c>
      <c r="E78" s="64"/>
      <c r="F78" s="13">
        <f t="shared" ref="F78:H87" si="10">B78*$F34/100</f>
        <v>0</v>
      </c>
      <c r="G78" s="13">
        <f t="shared" si="10"/>
        <v>0</v>
      </c>
      <c r="H78" s="13">
        <f t="shared" si="10"/>
        <v>0</v>
      </c>
      <c r="I78" s="14"/>
      <c r="J78" s="45" t="s">
        <v>111</v>
      </c>
      <c r="K78" s="65">
        <f t="shared" si="9"/>
        <v>0</v>
      </c>
      <c r="L78" s="66">
        <f t="shared" si="8"/>
        <v>0</v>
      </c>
      <c r="M78" s="34"/>
      <c r="N78" s="66"/>
      <c r="O78" s="66"/>
      <c r="P78" s="34"/>
      <c r="Q78" s="66"/>
      <c r="R78" s="34"/>
      <c r="S78" s="45" t="s">
        <v>112</v>
      </c>
      <c r="T78" s="66">
        <f>G78+L78+O78+Q78</f>
        <v>0</v>
      </c>
      <c r="U78" s="34">
        <f>H78+K78+M78+N78+P78+R78</f>
        <v>0</v>
      </c>
    </row>
    <row r="79" spans="1:21" ht="9.9499999999999993" customHeight="1" x14ac:dyDescent="0.15">
      <c r="A79" s="2" t="s">
        <v>43</v>
      </c>
      <c r="B79" s="63">
        <v>67.417000000000002</v>
      </c>
      <c r="C79" s="63">
        <v>20.7</v>
      </c>
      <c r="D79" s="63">
        <v>11.883000000000001</v>
      </c>
      <c r="E79" s="64"/>
      <c r="F79" s="13">
        <f t="shared" si="10"/>
        <v>344615.79297557793</v>
      </c>
      <c r="G79" s="13">
        <f t="shared" si="10"/>
        <v>105812.28643509001</v>
      </c>
      <c r="H79" s="13">
        <f t="shared" si="10"/>
        <v>60742.386459332105</v>
      </c>
      <c r="I79" s="14"/>
      <c r="J79" s="45" t="s">
        <v>43</v>
      </c>
      <c r="K79" s="65">
        <f t="shared" si="9"/>
        <v>-848.54297334420005</v>
      </c>
      <c r="L79" s="66">
        <f t="shared" si="8"/>
        <v>-4700.7995709976185</v>
      </c>
      <c r="M79" s="34"/>
      <c r="N79" s="66"/>
      <c r="O79" s="66"/>
      <c r="P79" s="34"/>
      <c r="Q79" s="66"/>
      <c r="R79" s="34"/>
      <c r="S79" s="45" t="s">
        <v>113</v>
      </c>
      <c r="T79" s="66">
        <f>G79+L79+O79+Q79</f>
        <v>101111.48686409238</v>
      </c>
      <c r="U79" s="34">
        <f>H79+K79+M79+N79+P79+R79</f>
        <v>59893.843485987905</v>
      </c>
    </row>
    <row r="80" spans="1:21" ht="9.9499999999999993" customHeight="1" x14ac:dyDescent="0.15">
      <c r="A80" s="2" t="s">
        <v>44</v>
      </c>
      <c r="B80" s="63">
        <v>67.417000000000002</v>
      </c>
      <c r="C80" s="63">
        <v>20.7</v>
      </c>
      <c r="D80" s="63">
        <v>11.883000000000001</v>
      </c>
      <c r="E80" s="64"/>
      <c r="F80" s="13">
        <f t="shared" si="10"/>
        <v>72217.598312936316</v>
      </c>
      <c r="G80" s="13">
        <f t="shared" si="10"/>
        <v>22173.995951730005</v>
      </c>
      <c r="H80" s="13">
        <f t="shared" si="10"/>
        <v>12729.159125333703</v>
      </c>
      <c r="I80" s="14"/>
      <c r="J80" s="45" t="s">
        <v>44</v>
      </c>
      <c r="K80" s="65">
        <f t="shared" si="9"/>
        <v>-177.82045062740002</v>
      </c>
      <c r="L80" s="66">
        <f t="shared" si="8"/>
        <v>-985.0983677697775</v>
      </c>
      <c r="M80" s="34"/>
      <c r="N80" s="66"/>
      <c r="O80" s="66"/>
      <c r="P80" s="34"/>
      <c r="Q80" s="66"/>
      <c r="R80" s="34"/>
      <c r="S80" s="45" t="s">
        <v>114</v>
      </c>
      <c r="T80" s="66">
        <f>G80+L80+O80+Q80</f>
        <v>21188.897583960228</v>
      </c>
      <c r="U80" s="34">
        <f>H80+K80+M80+N80+P80+R80</f>
        <v>12551.338674706303</v>
      </c>
    </row>
    <row r="81" spans="1:34" ht="9.9499999999999993" customHeight="1" x14ac:dyDescent="0.15">
      <c r="A81" s="2" t="s">
        <v>45</v>
      </c>
      <c r="B81" s="63">
        <v>67.417000000000002</v>
      </c>
      <c r="C81" s="63">
        <v>20.7</v>
      </c>
      <c r="D81" s="63">
        <v>11.883000000000001</v>
      </c>
      <c r="E81" s="64"/>
      <c r="F81" s="13">
        <f t="shared" si="10"/>
        <v>560227.19136695634</v>
      </c>
      <c r="G81" s="13">
        <f t="shared" si="10"/>
        <v>172014.51950243997</v>
      </c>
      <c r="H81" s="13">
        <f t="shared" si="10"/>
        <v>98746.306050603598</v>
      </c>
      <c r="I81" s="14"/>
      <c r="J81" s="45" t="s">
        <v>45</v>
      </c>
      <c r="K81" s="65">
        <f t="shared" si="9"/>
        <v>-1379.4401080871999</v>
      </c>
      <c r="L81" s="66">
        <f t="shared" si="8"/>
        <v>-7641.8892996747245</v>
      </c>
      <c r="M81" s="34"/>
      <c r="N81" s="66"/>
      <c r="O81" s="66"/>
      <c r="P81" s="34"/>
      <c r="Q81" s="66"/>
      <c r="R81" s="34"/>
      <c r="S81" s="45" t="s">
        <v>115</v>
      </c>
      <c r="T81" s="66">
        <f t="shared" si="5"/>
        <v>164372.63020276526</v>
      </c>
      <c r="U81" s="34">
        <f t="shared" si="6"/>
        <v>97366.865942516393</v>
      </c>
    </row>
    <row r="82" spans="1:34" ht="9.9499999999999993" customHeight="1" x14ac:dyDescent="0.15">
      <c r="A82" s="2" t="s">
        <v>46</v>
      </c>
      <c r="B82" s="63">
        <v>67.417000000000002</v>
      </c>
      <c r="C82" s="63">
        <v>20.7</v>
      </c>
      <c r="D82" s="63">
        <v>11.883000000000001</v>
      </c>
      <c r="E82" s="64"/>
      <c r="F82" s="13">
        <f t="shared" si="10"/>
        <v>342106.83884809387</v>
      </c>
      <c r="G82" s="13">
        <f t="shared" si="10"/>
        <v>105041.92657869001</v>
      </c>
      <c r="H82" s="13">
        <f t="shared" si="10"/>
        <v>60300.155243216112</v>
      </c>
      <c r="I82" s="14"/>
      <c r="J82" s="45" t="s">
        <v>46</v>
      </c>
      <c r="K82" s="65">
        <f t="shared" si="9"/>
        <v>-842.36520831220002</v>
      </c>
      <c r="L82" s="66">
        <f t="shared" si="8"/>
        <v>-4666.5756882663782</v>
      </c>
      <c r="M82" s="34"/>
      <c r="N82" s="66"/>
      <c r="O82" s="66"/>
      <c r="P82" s="34"/>
      <c r="Q82" s="66"/>
      <c r="R82" s="34"/>
      <c r="S82" s="45" t="s">
        <v>116</v>
      </c>
      <c r="T82" s="66">
        <f t="shared" si="5"/>
        <v>100375.35089042362</v>
      </c>
      <c r="U82" s="34">
        <f t="shared" si="6"/>
        <v>59457.790034903912</v>
      </c>
    </row>
    <row r="83" spans="1:34" ht="9.9499999999999993" customHeight="1" x14ac:dyDescent="0.15">
      <c r="A83" s="2" t="s">
        <v>47</v>
      </c>
      <c r="B83" s="63">
        <v>67.417000000000002</v>
      </c>
      <c r="C83" s="63">
        <v>20.7</v>
      </c>
      <c r="D83" s="63">
        <v>11.883000000000001</v>
      </c>
      <c r="E83" s="64"/>
      <c r="F83" s="13">
        <f t="shared" si="10"/>
        <v>709684.35069943534</v>
      </c>
      <c r="G83" s="13">
        <f t="shared" si="10"/>
        <v>217904.47601463003</v>
      </c>
      <c r="H83" s="13">
        <f t="shared" si="10"/>
        <v>125089.80137593471</v>
      </c>
      <c r="I83" s="14"/>
      <c r="J83" s="45" t="s">
        <v>47</v>
      </c>
      <c r="K83" s="65">
        <f t="shared" si="9"/>
        <v>-1747.4465226294001</v>
      </c>
      <c r="L83" s="66">
        <f t="shared" si="8"/>
        <v>-9680.5891062225619</v>
      </c>
      <c r="M83" s="34"/>
      <c r="N83" s="66"/>
      <c r="O83" s="66"/>
      <c r="P83" s="34"/>
      <c r="Q83" s="66"/>
      <c r="R83" s="34"/>
      <c r="S83" s="45" t="s">
        <v>117</v>
      </c>
      <c r="T83" s="66">
        <f t="shared" si="5"/>
        <v>208223.88690840747</v>
      </c>
      <c r="U83" s="34">
        <f t="shared" si="6"/>
        <v>123342.35485330531</v>
      </c>
    </row>
    <row r="84" spans="1:34" ht="9.9499999999999993" customHeight="1" x14ac:dyDescent="0.15">
      <c r="A84" s="2" t="s">
        <v>48</v>
      </c>
      <c r="B84" s="63">
        <v>67.417000000000002</v>
      </c>
      <c r="C84" s="63">
        <v>20.7</v>
      </c>
      <c r="D84" s="63">
        <v>11.883000000000001</v>
      </c>
      <c r="E84" s="64"/>
      <c r="F84" s="13">
        <f t="shared" si="10"/>
        <v>173085.42690516001</v>
      </c>
      <c r="G84" s="13">
        <f t="shared" si="10"/>
        <v>53144.879435999996</v>
      </c>
      <c r="H84" s="13">
        <f t="shared" si="10"/>
        <v>30508.241658840001</v>
      </c>
      <c r="I84" s="14"/>
      <c r="J84" s="45" t="s">
        <v>48</v>
      </c>
      <c r="K84" s="65">
        <f t="shared" si="9"/>
        <v>-426.18598968000003</v>
      </c>
      <c r="L84" s="66">
        <f t="shared" si="8"/>
        <v>-2361.0058422347938</v>
      </c>
      <c r="M84" s="34"/>
      <c r="N84" s="66"/>
      <c r="O84" s="66"/>
      <c r="P84" s="34"/>
      <c r="Q84" s="66"/>
      <c r="R84" s="34"/>
      <c r="S84" s="45" t="s">
        <v>118</v>
      </c>
      <c r="T84" s="66">
        <f t="shared" si="5"/>
        <v>50783.873593765202</v>
      </c>
      <c r="U84" s="34">
        <f t="shared" si="6"/>
        <v>30082.05566916</v>
      </c>
    </row>
    <row r="85" spans="1:34" ht="9.9499999999999993" customHeight="1" x14ac:dyDescent="0.15">
      <c r="A85" s="2" t="s">
        <v>119</v>
      </c>
      <c r="B85" s="63">
        <v>67.417000000000002</v>
      </c>
      <c r="C85" s="63">
        <v>20.7</v>
      </c>
      <c r="D85" s="63">
        <v>11.883000000000001</v>
      </c>
      <c r="E85" s="64"/>
      <c r="F85" s="13">
        <f t="shared" si="10"/>
        <v>11782.326462594801</v>
      </c>
      <c r="G85" s="13">
        <f t="shared" si="10"/>
        <v>3617.6952070799998</v>
      </c>
      <c r="H85" s="13">
        <f t="shared" si="10"/>
        <v>2076.7667703252</v>
      </c>
      <c r="I85" s="14"/>
      <c r="J85" s="45" t="s">
        <v>120</v>
      </c>
      <c r="K85" s="65">
        <f t="shared" si="9"/>
        <v>-29.0114688104</v>
      </c>
      <c r="L85" s="67"/>
      <c r="M85" s="68"/>
      <c r="N85" s="67"/>
      <c r="O85" s="67"/>
      <c r="P85" s="68"/>
      <c r="Q85" s="67"/>
      <c r="R85" s="68"/>
      <c r="S85" s="45" t="s">
        <v>121</v>
      </c>
      <c r="T85" s="66">
        <f t="shared" si="5"/>
        <v>3617.6952070799998</v>
      </c>
      <c r="U85" s="34">
        <f t="shared" si="6"/>
        <v>2047.7553015148001</v>
      </c>
    </row>
    <row r="86" spans="1:34" ht="9.9499999999999993" customHeight="1" x14ac:dyDescent="0.15">
      <c r="A86" s="2" t="s">
        <v>122</v>
      </c>
      <c r="B86" s="63">
        <v>49</v>
      </c>
      <c r="C86" s="63">
        <v>7</v>
      </c>
      <c r="D86" s="63">
        <v>44</v>
      </c>
      <c r="E86" s="64"/>
      <c r="F86" s="13">
        <f t="shared" si="10"/>
        <v>3802.6595775000001</v>
      </c>
      <c r="G86" s="13">
        <f t="shared" si="10"/>
        <v>543.23708249999993</v>
      </c>
      <c r="H86" s="13">
        <f t="shared" si="10"/>
        <v>3414.6330900000003</v>
      </c>
      <c r="I86" s="14"/>
      <c r="J86" s="45" t="s">
        <v>123</v>
      </c>
      <c r="K86" s="69"/>
      <c r="L86" s="67"/>
      <c r="M86" s="68"/>
      <c r="N86" s="67"/>
      <c r="O86" s="67"/>
      <c r="P86" s="68"/>
      <c r="Q86" s="67"/>
      <c r="R86" s="68"/>
      <c r="S86" s="45" t="s">
        <v>124</v>
      </c>
      <c r="T86" s="66">
        <f t="shared" si="5"/>
        <v>543.23708249999993</v>
      </c>
      <c r="U86" s="34">
        <f t="shared" si="6"/>
        <v>3414.6330900000003</v>
      </c>
    </row>
    <row r="87" spans="1:34" ht="9.9499999999999993" customHeight="1" x14ac:dyDescent="0.15">
      <c r="A87" s="2" t="s">
        <v>125</v>
      </c>
      <c r="B87" s="63">
        <v>61</v>
      </c>
      <c r="C87" s="63">
        <v>20</v>
      </c>
      <c r="D87" s="63">
        <v>19</v>
      </c>
      <c r="E87" s="64"/>
      <c r="F87" s="13">
        <f t="shared" si="10"/>
        <v>23793.500619200004</v>
      </c>
      <c r="G87" s="13">
        <f t="shared" si="10"/>
        <v>7801.1477439999999</v>
      </c>
      <c r="H87" s="13">
        <f t="shared" si="10"/>
        <v>7411.0903567999994</v>
      </c>
      <c r="I87" s="14"/>
      <c r="J87" s="45" t="s">
        <v>126</v>
      </c>
      <c r="K87" s="69"/>
      <c r="L87" s="67"/>
      <c r="M87" s="68"/>
      <c r="N87" s="67"/>
      <c r="O87" s="67"/>
      <c r="P87" s="68"/>
      <c r="Q87" s="67"/>
      <c r="R87" s="68"/>
      <c r="S87" s="45" t="s">
        <v>127</v>
      </c>
      <c r="T87" s="66">
        <f t="shared" si="5"/>
        <v>7801.1477439999999</v>
      </c>
      <c r="U87" s="34">
        <f t="shared" si="6"/>
        <v>7411.0903567999994</v>
      </c>
    </row>
    <row r="88" spans="1:34" ht="9.9499999999999993" customHeight="1" x14ac:dyDescent="0.15">
      <c r="F88" s="13"/>
      <c r="G88" s="13"/>
      <c r="H88" s="13"/>
      <c r="K88" s="46"/>
      <c r="L88" s="66"/>
      <c r="M88" s="34"/>
      <c r="N88" s="66"/>
      <c r="O88" s="66"/>
      <c r="P88" s="34"/>
      <c r="Q88" s="66"/>
      <c r="R88" s="34"/>
      <c r="S88" s="45"/>
      <c r="T88" s="66"/>
      <c r="U88" s="34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  <c r="AG88" s="70"/>
    </row>
    <row r="89" spans="1:34" ht="9.9499999999999993" customHeight="1" x14ac:dyDescent="0.15">
      <c r="A89" s="2" t="s">
        <v>52</v>
      </c>
      <c r="F89" s="13">
        <f>SUM(F53:F87)</f>
        <v>45541302.644162506</v>
      </c>
      <c r="G89" s="13">
        <f>SUM(G53:G87)</f>
        <v>14387958.782357153</v>
      </c>
      <c r="H89" s="13">
        <f>SUM(H53:H87)</f>
        <v>8854022.8014603537</v>
      </c>
      <c r="I89" s="13"/>
      <c r="J89" s="2" t="s">
        <v>52</v>
      </c>
      <c r="K89" s="71">
        <f>SUM(K53:K87)</f>
        <v>-110903.3146223426</v>
      </c>
      <c r="L89" s="72">
        <f>SUM(L53:L85)</f>
        <v>-646024.88899999973</v>
      </c>
      <c r="M89" s="39">
        <f>SUM(M53:M85)</f>
        <v>0</v>
      </c>
      <c r="N89" s="72">
        <f>SUM(N53:N85)</f>
        <v>-144686.553642435</v>
      </c>
      <c r="O89" s="72">
        <f>SUM(O53:O87)</f>
        <v>20000</v>
      </c>
      <c r="P89" s="39">
        <f>SUM(P53:P87)</f>
        <v>0</v>
      </c>
      <c r="Q89" s="72">
        <f>SUM(Q53:Q87)</f>
        <v>-34221</v>
      </c>
      <c r="R89" s="71">
        <f>SUM(R53:R87)</f>
        <v>-41952</v>
      </c>
      <c r="S89" s="14" t="s">
        <v>128</v>
      </c>
      <c r="T89" s="72">
        <f>SUM(T53:T87)</f>
        <v>13727712.893357148</v>
      </c>
      <c r="U89" s="39">
        <f>SUM(U53:U87)</f>
        <v>8556480.9331955779</v>
      </c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</row>
    <row r="90" spans="1:34" ht="9.9499999999999993" customHeight="1" x14ac:dyDescent="0.15">
      <c r="F90" s="13"/>
      <c r="G90" s="13"/>
      <c r="H90" s="13"/>
      <c r="K90" s="14"/>
      <c r="L90" s="14"/>
      <c r="M90" s="14"/>
      <c r="N90" s="14"/>
      <c r="O90" s="14"/>
      <c r="P90" s="14"/>
      <c r="Q90" s="14"/>
      <c r="R90" s="14"/>
      <c r="S90" s="14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14"/>
    </row>
    <row r="91" spans="1:34" ht="9.9499999999999993" customHeight="1" x14ac:dyDescent="0.15">
      <c r="F91" s="13"/>
      <c r="G91" s="13"/>
      <c r="H91" s="13"/>
      <c r="K91" s="14"/>
      <c r="L91" s="14"/>
      <c r="M91" s="14"/>
      <c r="N91" s="14"/>
      <c r="O91" s="14"/>
      <c r="P91" s="14"/>
      <c r="Q91" s="14"/>
      <c r="R91" s="51"/>
      <c r="S91" s="51"/>
      <c r="T91" s="8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</row>
    <row r="92" spans="1:34" ht="9.9499999999999993" customHeight="1" x14ac:dyDescent="0.2">
      <c r="A92" s="103"/>
      <c r="B92" s="103"/>
      <c r="F92" s="13"/>
      <c r="G92" s="13"/>
      <c r="H92" s="13"/>
      <c r="K92" s="14"/>
      <c r="L92" s="14"/>
      <c r="M92" s="14"/>
      <c r="N92" s="14"/>
      <c r="O92" s="14"/>
      <c r="P92" s="14"/>
      <c r="Q92" s="14"/>
      <c r="R92" s="75"/>
      <c r="S92" s="8"/>
      <c r="T92" s="8"/>
      <c r="U92" s="14"/>
      <c r="V92" s="14"/>
      <c r="X92" s="94"/>
      <c r="Y92" s="94"/>
      <c r="AB92" s="94"/>
      <c r="AC92" s="94"/>
      <c r="AF92" s="94"/>
      <c r="AG92" s="94"/>
    </row>
    <row r="93" spans="1:34" ht="9.9499999999999993" customHeight="1" x14ac:dyDescent="0.2">
      <c r="A93" s="103"/>
      <c r="B93" s="103"/>
      <c r="F93" s="76"/>
      <c r="G93" s="14"/>
      <c r="H93" s="14"/>
      <c r="I93" s="14"/>
      <c r="P93" s="14"/>
      <c r="R93" s="77"/>
      <c r="S93" s="17"/>
    </row>
    <row r="94" spans="1:34" ht="9.9499999999999993" customHeight="1" x14ac:dyDescent="0.2">
      <c r="A94" s="103"/>
      <c r="B94" s="103"/>
      <c r="G94" s="14"/>
      <c r="H94" s="14"/>
      <c r="I94" s="14"/>
      <c r="Q94" s="14"/>
      <c r="R94" s="77"/>
      <c r="S94" s="13"/>
    </row>
    <row r="95" spans="1:34" ht="9.9499999999999993" customHeight="1" x14ac:dyDescent="0.15">
      <c r="H95" s="14"/>
      <c r="I95" s="14"/>
      <c r="J95" s="14"/>
      <c r="L95" s="1" t="s">
        <v>129</v>
      </c>
    </row>
    <row r="96" spans="1:34" ht="9.9499999999999993" customHeight="1" x14ac:dyDescent="0.15">
      <c r="H96" s="14"/>
      <c r="I96" s="14"/>
      <c r="J96" s="14"/>
    </row>
    <row r="97" spans="1:22" ht="9.9499999999999993" customHeight="1" x14ac:dyDescent="0.15">
      <c r="A97" s="1" t="s">
        <v>129</v>
      </c>
      <c r="H97" s="14"/>
      <c r="I97" s="14"/>
      <c r="J97" s="14"/>
      <c r="M97" s="20" t="s">
        <v>130</v>
      </c>
      <c r="N97" s="20" t="s">
        <v>131</v>
      </c>
      <c r="O97" s="20" t="s">
        <v>132</v>
      </c>
      <c r="P97" s="20" t="s">
        <v>133</v>
      </c>
      <c r="Q97" s="20" t="s">
        <v>134</v>
      </c>
      <c r="R97" s="20" t="s">
        <v>135</v>
      </c>
      <c r="S97" s="20" t="s">
        <v>136</v>
      </c>
      <c r="T97" s="20" t="s">
        <v>137</v>
      </c>
      <c r="U97" s="20" t="s">
        <v>138</v>
      </c>
      <c r="V97" s="51" t="s">
        <v>52</v>
      </c>
    </row>
    <row r="98" spans="1:22" ht="9.9499999999999993" customHeight="1" x14ac:dyDescent="0.15">
      <c r="E98" s="77" t="s">
        <v>139</v>
      </c>
      <c r="F98" s="78" t="s">
        <v>140</v>
      </c>
      <c r="G98" s="77"/>
      <c r="I98" s="77"/>
      <c r="J98" s="77"/>
      <c r="L98" s="79" t="s">
        <v>141</v>
      </c>
    </row>
    <row r="99" spans="1:22" ht="9.9499999999999993" customHeight="1" x14ac:dyDescent="0.2">
      <c r="A99" s="2" t="s">
        <v>141</v>
      </c>
      <c r="B99" s="80">
        <v>0.17235</v>
      </c>
      <c r="C99" s="81" t="s">
        <v>142</v>
      </c>
      <c r="D99" s="81"/>
      <c r="E99" s="14">
        <f>(U89-U60-U61-U63-U66-U70-U71-U72-U73-U86-U87)*B99</f>
        <v>1316995.0174848989</v>
      </c>
      <c r="F99" s="82">
        <f t="shared" ref="F99:F104" si="11">E99/$E$146</f>
        <v>0.1516639516711196</v>
      </c>
      <c r="G99" s="103"/>
      <c r="J99" s="83"/>
      <c r="L99" s="79" t="s">
        <v>142</v>
      </c>
      <c r="M99" s="14">
        <f>$E99/100*B237</f>
        <v>44715.818138953553</v>
      </c>
      <c r="N99" s="14">
        <f>$E99/100*C237</f>
        <v>87665.519383209248</v>
      </c>
      <c r="O99" s="14">
        <f>$E99/100*D237</f>
        <v>252950.03085721887</v>
      </c>
      <c r="P99" s="14">
        <f>$E99/100*E237</f>
        <v>221775.90811868719</v>
      </c>
      <c r="Q99" s="14">
        <f>$E99/100*F237</f>
        <v>83334.64580639347</v>
      </c>
      <c r="R99" s="14">
        <f>$E99/100*G237</f>
        <v>189896.4380280801</v>
      </c>
      <c r="S99" s="14">
        <f>$E99/100*H237</f>
        <v>111129.980394135</v>
      </c>
      <c r="T99" s="14">
        <f>$E99/100*I237</f>
        <v>58014.701914724217</v>
      </c>
      <c r="U99" s="14">
        <f>$E99/100*J237</f>
        <v>267511.97484349727</v>
      </c>
      <c r="V99" s="14">
        <f t="shared" ref="V99:V104" si="12">SUM(M99:U99)</f>
        <v>1316995.0174848987</v>
      </c>
    </row>
    <row r="100" spans="1:22" ht="9.9499999999999993" customHeight="1" x14ac:dyDescent="0.2">
      <c r="B100" s="80">
        <v>0.58514999999999995</v>
      </c>
      <c r="C100" s="81" t="s">
        <v>143</v>
      </c>
      <c r="D100" s="103"/>
      <c r="E100" s="14">
        <f>(U89-U60-U61-U63-U66-U70-U71-U72-U73-U86-U87)*B100</f>
        <v>4471364.2847768404</v>
      </c>
      <c r="F100" s="82">
        <f t="shared" si="11"/>
        <v>0.5149182554125652</v>
      </c>
      <c r="G100" s="84"/>
      <c r="J100" s="83"/>
      <c r="L100" s="79" t="s">
        <v>143</v>
      </c>
      <c r="M100" s="14">
        <f>$E100/100*B238</f>
        <v>132516.56407228913</v>
      </c>
      <c r="N100" s="14">
        <f>$E100/100*C238</f>
        <v>291904.41963896633</v>
      </c>
      <c r="O100" s="14">
        <f>$E100/100*D238</f>
        <v>773156.54533109255</v>
      </c>
      <c r="P100" s="14">
        <f>$E100/100*E238</f>
        <v>711567.36631657253</v>
      </c>
      <c r="Q100" s="14">
        <f>$E100/100*F238</f>
        <v>277277.18439893192</v>
      </c>
      <c r="R100" s="14">
        <f>$E100/100*G238</f>
        <v>615058.37836009345</v>
      </c>
      <c r="S100" s="14">
        <f>$E100/100*H238</f>
        <v>351266.05028729886</v>
      </c>
      <c r="T100" s="14">
        <f>$E100/100*I238</f>
        <v>185277.45659154575</v>
      </c>
      <c r="U100" s="14">
        <f>$E100/100*J238</f>
        <v>1133340.3197800496</v>
      </c>
      <c r="V100" s="14">
        <f t="shared" si="12"/>
        <v>4471364.2847768404</v>
      </c>
    </row>
    <row r="101" spans="1:22" ht="9.9499999999999993" customHeight="1" x14ac:dyDescent="0.15">
      <c r="B101" s="80">
        <v>0.24249999999999999</v>
      </c>
      <c r="C101" s="81" t="s">
        <v>144</v>
      </c>
      <c r="D101" s="81"/>
      <c r="E101" s="14">
        <f>(U89-U60-U61-U63-U66-U70-U71-U72-U73-U86-U87)*B101-E102</f>
        <v>1427543.4572557993</v>
      </c>
      <c r="F101" s="82">
        <f t="shared" si="11"/>
        <v>0.16439460972535461</v>
      </c>
      <c r="G101" s="84"/>
      <c r="J101" s="83"/>
      <c r="L101" s="79" t="s">
        <v>144</v>
      </c>
      <c r="M101" s="14">
        <f>$E101/100*B248</f>
        <v>17987.047561423075</v>
      </c>
      <c r="N101" s="14">
        <f>$E101/100*C248</f>
        <v>75531.324323404333</v>
      </c>
      <c r="O101" s="14">
        <f>$E101/100*D248</f>
        <v>193417.86302358826</v>
      </c>
      <c r="P101" s="14">
        <f>$E101/100*E248</f>
        <v>235530.39501263437</v>
      </c>
      <c r="Q101" s="14">
        <f>$E101/100*F248</f>
        <v>117786.610658176</v>
      </c>
      <c r="R101" s="14">
        <f>$E101/100*G248</f>
        <v>133304.00803854657</v>
      </c>
      <c r="S101" s="14">
        <f>$E101/100*H248</f>
        <v>127608.10964409592</v>
      </c>
      <c r="T101" s="14">
        <f>$E101/100*I248</f>
        <v>85381.37417846937</v>
      </c>
      <c r="U101" s="14">
        <f>$E101/100*J248</f>
        <v>440996.72481546155</v>
      </c>
      <c r="V101" s="14">
        <f t="shared" si="12"/>
        <v>1427543.4572557993</v>
      </c>
    </row>
    <row r="102" spans="1:22" ht="9.9499999999999993" customHeight="1" x14ac:dyDescent="0.15">
      <c r="B102" s="85">
        <v>1.8880000000000001E-2</v>
      </c>
      <c r="C102" s="2" t="s">
        <v>145</v>
      </c>
      <c r="D102" s="81"/>
      <c r="E102" s="14">
        <f>D17*B102</f>
        <v>425495.65930984</v>
      </c>
      <c r="F102" s="82">
        <f t="shared" si="11"/>
        <v>4.899969419252468E-2</v>
      </c>
      <c r="G102" s="84"/>
      <c r="J102" s="83"/>
      <c r="L102" s="79" t="s">
        <v>146</v>
      </c>
      <c r="M102" s="14">
        <f>$E102/100*B245</f>
        <v>10658.666265711492</v>
      </c>
      <c r="N102" s="14">
        <f>$E102/100*C245</f>
        <v>36150.11121496401</v>
      </c>
      <c r="O102" s="14">
        <f>$E102/100*D245</f>
        <v>64611.515866199203</v>
      </c>
      <c r="P102" s="14">
        <f>$E102/100*E245</f>
        <v>62067.051823526359</v>
      </c>
      <c r="Q102" s="14">
        <f>$E102/100*F245</f>
        <v>40107.220846545519</v>
      </c>
      <c r="R102" s="14">
        <f>$E102/100*G245</f>
        <v>55680.361977285669</v>
      </c>
      <c r="S102" s="14">
        <f>$E102/100*H245</f>
        <v>61747.930079043981</v>
      </c>
      <c r="T102" s="14">
        <f>$E102/100*I245</f>
        <v>20470.596169396402</v>
      </c>
      <c r="U102" s="14">
        <f>$E102/100*J245</f>
        <v>74002.205067167364</v>
      </c>
      <c r="V102" s="14">
        <f t="shared" si="12"/>
        <v>425495.65930983995</v>
      </c>
    </row>
    <row r="103" spans="1:22" ht="9.9499999999999993" customHeight="1" x14ac:dyDescent="0.15">
      <c r="B103" s="85"/>
      <c r="C103" s="2" t="s">
        <v>77</v>
      </c>
      <c r="D103" s="81"/>
      <c r="E103" s="14">
        <f>U60</f>
        <v>32345.738000000001</v>
      </c>
      <c r="F103" s="82">
        <f t="shared" si="11"/>
        <v>3.7249058498089165E-3</v>
      </c>
      <c r="G103" s="84"/>
      <c r="J103" s="83"/>
      <c r="L103" s="79" t="s">
        <v>78</v>
      </c>
      <c r="M103" s="14">
        <f>B230</f>
        <v>671.29899999999998</v>
      </c>
      <c r="N103" s="14">
        <f t="shared" ref="N103:U103" si="13">C230</f>
        <v>3004.4290000000001</v>
      </c>
      <c r="O103" s="14">
        <f t="shared" si="13"/>
        <v>6184.1880000000001</v>
      </c>
      <c r="P103" s="14">
        <f t="shared" si="13"/>
        <v>7013.6</v>
      </c>
      <c r="Q103" s="14">
        <f t="shared" si="13"/>
        <v>4155.6000000000004</v>
      </c>
      <c r="R103" s="14">
        <f t="shared" si="13"/>
        <v>5338.1880000000001</v>
      </c>
      <c r="S103" s="14">
        <f t="shared" si="13"/>
        <v>3010.0160000000001</v>
      </c>
      <c r="T103" s="14">
        <f t="shared" si="13"/>
        <v>2968.4180000000001</v>
      </c>
      <c r="U103" s="14">
        <f t="shared" si="13"/>
        <v>0</v>
      </c>
      <c r="V103" s="14">
        <f t="shared" si="12"/>
        <v>32345.738000000005</v>
      </c>
    </row>
    <row r="104" spans="1:22" ht="9.9499999999999993" customHeight="1" x14ac:dyDescent="0.15">
      <c r="B104" s="85"/>
      <c r="C104" s="2" t="s">
        <v>80</v>
      </c>
      <c r="D104" s="81"/>
      <c r="E104" s="14">
        <f>U61</f>
        <v>-127158.145</v>
      </c>
      <c r="F104" s="82">
        <f t="shared" si="11"/>
        <v>-1.4643416643062849E-2</v>
      </c>
      <c r="G104" s="84"/>
      <c r="J104" s="83"/>
      <c r="L104" s="79" t="s">
        <v>147</v>
      </c>
      <c r="M104" s="14">
        <f>-B232</f>
        <v>-6376</v>
      </c>
      <c r="N104" s="14">
        <f t="shared" ref="N104:U104" si="14">-C232</f>
        <v>-12324.5</v>
      </c>
      <c r="O104" s="14">
        <f t="shared" si="14"/>
        <v>-35492</v>
      </c>
      <c r="P104" s="14">
        <f t="shared" si="14"/>
        <v>-19788.580000000002</v>
      </c>
      <c r="Q104" s="14">
        <f t="shared" si="14"/>
        <v>-9267.5</v>
      </c>
      <c r="R104" s="14">
        <f t="shared" si="14"/>
        <v>-27473.764999999999</v>
      </c>
      <c r="S104" s="14">
        <f t="shared" si="14"/>
        <v>-10549</v>
      </c>
      <c r="T104" s="14">
        <f t="shared" si="14"/>
        <v>-5886.8</v>
      </c>
      <c r="U104" s="14">
        <f t="shared" si="14"/>
        <v>0</v>
      </c>
      <c r="V104" s="14">
        <f t="shared" si="12"/>
        <v>-127158.145</v>
      </c>
    </row>
    <row r="105" spans="1:22" ht="9.9499999999999993" customHeight="1" x14ac:dyDescent="0.15">
      <c r="B105" s="80"/>
      <c r="C105" s="81"/>
      <c r="D105" s="81"/>
      <c r="E105" s="14"/>
      <c r="F105" s="82"/>
      <c r="G105" s="84"/>
      <c r="J105" s="83"/>
      <c r="M105" s="14"/>
      <c r="N105" s="14"/>
      <c r="O105" s="14"/>
      <c r="P105" s="14"/>
      <c r="Q105" s="14"/>
      <c r="R105" s="14"/>
      <c r="S105" s="14"/>
      <c r="T105" s="14"/>
      <c r="U105" s="14"/>
      <c r="V105" s="14"/>
    </row>
    <row r="106" spans="1:22" ht="9.9499999999999993" customHeight="1" x14ac:dyDescent="0.15">
      <c r="A106" s="63"/>
      <c r="B106" s="80"/>
      <c r="C106" s="81"/>
      <c r="D106" s="81"/>
      <c r="E106" s="14"/>
      <c r="F106" s="82"/>
      <c r="G106" s="84"/>
      <c r="J106" s="83"/>
      <c r="L106" s="63" t="s">
        <v>52</v>
      </c>
      <c r="M106" s="14">
        <f>SUM(M99:M105)</f>
        <v>200173.39503837723</v>
      </c>
      <c r="N106" s="14">
        <f t="shared" ref="N106:U106" si="15">SUM(N99:N105)</f>
        <v>481931.30356054392</v>
      </c>
      <c r="O106" s="14">
        <f t="shared" si="15"/>
        <v>1254828.143078099</v>
      </c>
      <c r="P106" s="14">
        <f t="shared" si="15"/>
        <v>1218165.7412714206</v>
      </c>
      <c r="Q106" s="14">
        <f t="shared" si="15"/>
        <v>513393.76171004691</v>
      </c>
      <c r="R106" s="14">
        <f t="shared" si="15"/>
        <v>971803.60940400569</v>
      </c>
      <c r="S106" s="14">
        <f t="shared" si="15"/>
        <v>644213.08640457364</v>
      </c>
      <c r="T106" s="14">
        <f t="shared" si="15"/>
        <v>346225.74685413577</v>
      </c>
      <c r="U106" s="14">
        <f t="shared" si="15"/>
        <v>1915851.2245061756</v>
      </c>
      <c r="V106" s="14">
        <f>SUM(M106:U106)</f>
        <v>7546586.0118273776</v>
      </c>
    </row>
    <row r="107" spans="1:22" ht="9.9499999999999993" customHeight="1" x14ac:dyDescent="0.15">
      <c r="A107" s="63"/>
      <c r="B107" s="80"/>
      <c r="C107" s="81"/>
      <c r="D107" s="81"/>
      <c r="E107" s="14"/>
      <c r="F107" s="82"/>
      <c r="G107" s="84"/>
      <c r="I107" s="82"/>
      <c r="J107" s="83"/>
      <c r="L107" s="63"/>
      <c r="M107" s="14"/>
      <c r="N107" s="14"/>
      <c r="O107" s="14"/>
      <c r="P107" s="14"/>
      <c r="Q107" s="14"/>
      <c r="R107" s="14"/>
      <c r="S107" s="14"/>
      <c r="T107" s="14"/>
      <c r="U107" s="14"/>
      <c r="V107" s="74"/>
    </row>
    <row r="108" spans="1:22" ht="9.9499999999999993" customHeight="1" x14ac:dyDescent="0.15">
      <c r="A108" s="1" t="s">
        <v>148</v>
      </c>
      <c r="B108" s="80"/>
      <c r="C108" s="81"/>
      <c r="D108" s="81"/>
      <c r="E108" s="14"/>
      <c r="F108" s="82"/>
      <c r="G108" s="84"/>
      <c r="H108" s="15"/>
      <c r="I108" s="41"/>
      <c r="J108" s="86"/>
      <c r="L108" s="1" t="s">
        <v>148</v>
      </c>
      <c r="M108" s="20" t="s">
        <v>130</v>
      </c>
      <c r="N108" s="20" t="s">
        <v>131</v>
      </c>
      <c r="O108" s="20" t="s">
        <v>132</v>
      </c>
      <c r="P108" s="20" t="s">
        <v>133</v>
      </c>
      <c r="Q108" s="20" t="s">
        <v>134</v>
      </c>
      <c r="R108" s="20" t="s">
        <v>135</v>
      </c>
      <c r="S108" s="20" t="s">
        <v>136</v>
      </c>
      <c r="T108" s="20" t="s">
        <v>137</v>
      </c>
      <c r="U108" s="20" t="s">
        <v>138</v>
      </c>
      <c r="V108" s="51" t="s">
        <v>52</v>
      </c>
    </row>
    <row r="109" spans="1:22" ht="9.9499999999999993" customHeight="1" x14ac:dyDescent="0.15">
      <c r="B109" s="80"/>
      <c r="C109" s="81"/>
      <c r="D109" s="81"/>
      <c r="E109" s="14"/>
      <c r="F109" s="82"/>
      <c r="G109" s="84"/>
      <c r="H109" s="15"/>
      <c r="I109" s="41"/>
      <c r="J109" s="86"/>
      <c r="M109" s="14"/>
      <c r="N109" s="14"/>
      <c r="O109" s="14"/>
      <c r="P109" s="14"/>
      <c r="Q109" s="14"/>
      <c r="R109" s="14"/>
      <c r="S109" s="14"/>
      <c r="T109" s="14"/>
      <c r="U109" s="14"/>
      <c r="V109" s="14"/>
    </row>
    <row r="110" spans="1:22" ht="9.9499999999999993" customHeight="1" x14ac:dyDescent="0.15">
      <c r="A110" s="2" t="s">
        <v>10</v>
      </c>
      <c r="B110" s="80"/>
      <c r="C110" s="81"/>
      <c r="D110" s="81"/>
      <c r="E110" s="14">
        <f t="shared" ref="E110:E117" si="16">U53</f>
        <v>276273.2996313686</v>
      </c>
      <c r="F110" s="82"/>
      <c r="G110" s="84"/>
      <c r="H110" s="81"/>
      <c r="I110" s="82"/>
      <c r="J110" s="86"/>
      <c r="L110" s="2" t="s">
        <v>10</v>
      </c>
      <c r="M110" s="14">
        <f>$E110*$B$99*B$237/100+$E110*$B$100*B$238/100+$E110*$B$101*B$248/100</f>
        <v>7251.9559783841851</v>
      </c>
      <c r="N110" s="14">
        <f>$E110*$B$99*C$237/100+$E110*$B$100*C$238/100+$E110*$B$101*C$248/100</f>
        <v>17268.051531751378</v>
      </c>
      <c r="O110" s="14">
        <f>$E110*$B$99*D$237/100+$E110*$B$100*D$238/100+$E110*$B$101*D$248/100</f>
        <v>46176.012504019003</v>
      </c>
      <c r="P110" s="14">
        <f>$E110*$B$99*E$237/100+$E110*$B$100*E$238/100+$E110*$B$101*E$248/100</f>
        <v>44798.563172593706</v>
      </c>
      <c r="Q110" s="14">
        <f>$E110*$B$99*F$237/100+$E110*$B$100*F$238/100+$E110*$B$101*F$248/100</f>
        <v>18565.714474953289</v>
      </c>
      <c r="R110" s="14">
        <f>$E110*$B$99*G$237/100+$E110*$B$100*G$238/100+$E110*$B$101*G$248/100</f>
        <v>35359.099741510101</v>
      </c>
      <c r="S110" s="14">
        <f>$E110*$B$99*H$237/100+$E110*$B$100*H$238/100+$E110*$B$101*H$248/100</f>
        <v>22706.637166242363</v>
      </c>
      <c r="T110" s="14">
        <f>$E110*$B$99*I$237/100+$E110*$B$100*I$238/100+$E110*$B$101*I$248/100</f>
        <v>12803.228717244203</v>
      </c>
      <c r="U110" s="14">
        <f>$E110*$B$99*J$237/100+$E110*$B$100*J$238/100+$E110*$B$101*J$248/100</f>
        <v>71344.036344670341</v>
      </c>
      <c r="V110" s="14">
        <f>SUM(M110:U110)</f>
        <v>276273.2996313686</v>
      </c>
    </row>
    <row r="111" spans="1:22" ht="9.9499999999999993" customHeight="1" x14ac:dyDescent="0.15">
      <c r="A111" s="2" t="s">
        <v>12</v>
      </c>
      <c r="B111" s="80"/>
      <c r="C111" s="81"/>
      <c r="D111" s="81"/>
      <c r="E111" s="14">
        <f t="shared" si="16"/>
        <v>2661363.2414416955</v>
      </c>
      <c r="F111" s="82"/>
      <c r="G111" s="84"/>
      <c r="I111" s="82"/>
      <c r="J111" s="86"/>
      <c r="L111" s="2" t="s">
        <v>12</v>
      </c>
      <c r="M111" s="14">
        <f>$E111*$B$99*B$237/100+$E111*$B$100*B$238/100+$E111*$B$101*B$248/100</f>
        <v>69858.683756907107</v>
      </c>
      <c r="N111" s="14">
        <f>$E111*$B$99*C$237/100+$E111*$B$100*C$238/100+$E111*$B$101*C$248/100</f>
        <v>166344.54961534071</v>
      </c>
      <c r="O111" s="14">
        <f>$E111*$B$99*D$237/100+$E111*$B$100*D$238/100+$E111*$B$101*D$248/100</f>
        <v>444817.29678011563</v>
      </c>
      <c r="P111" s="14">
        <f>$E111*$B$99*E$237/100+$E111*$B$100*E$238/100+$E111*$B$101*E$248/100</f>
        <v>431548.21495970397</v>
      </c>
      <c r="Q111" s="14">
        <f>$E111*$B$99*F$237/100+$E111*$B$100*F$238/100+$E111*$B$101*F$248/100</f>
        <v>178845.04264679429</v>
      </c>
      <c r="R111" s="14">
        <f>$E111*$B$99*G$237/100+$E111*$B$100*G$238/100+$E111*$B$101*G$248/100</f>
        <v>340617.09339298331</v>
      </c>
      <c r="S111" s="14">
        <f>$E111*$B$99*H$237/100+$E111*$B$100*H$238/100+$E111*$B$101*H$248/100</f>
        <v>218734.8888641205</v>
      </c>
      <c r="T111" s="14">
        <f>$E111*$B$99*I$237/100+$E111*$B$100*I$238/100+$E111*$B$101*I$248/100</f>
        <v>123334.54707823531</v>
      </c>
      <c r="U111" s="14">
        <f>$E111*$B$99*J$237/100+$E111*$B$100*J$238/100+$E111*$B$101*J$248/100</f>
        <v>687262.92434749461</v>
      </c>
      <c r="V111" s="14">
        <f t="shared" ref="V111:V144" si="17">SUM(M111:U111)</f>
        <v>2661363.2414416955</v>
      </c>
    </row>
    <row r="112" spans="1:22" ht="9.9499999999999993" customHeight="1" x14ac:dyDescent="0.15">
      <c r="A112" s="2" t="s">
        <v>14</v>
      </c>
      <c r="B112" s="80"/>
      <c r="C112" s="81"/>
      <c r="D112" s="81"/>
      <c r="E112" s="14">
        <f t="shared" si="16"/>
        <v>136256.44341451619</v>
      </c>
      <c r="F112" s="82"/>
      <c r="G112" s="84"/>
      <c r="I112" s="82"/>
      <c r="J112" s="86"/>
      <c r="L112" s="2" t="s">
        <v>14</v>
      </c>
      <c r="M112" s="14">
        <f>$E112*$B$99*B$237/100+$E112*$B$100*B$238/100+$E112*$B$101*B$248/100</f>
        <v>3576.6240557148412</v>
      </c>
      <c r="N112" s="14">
        <f>$E112*$B$99*C$237/100+$E112*$B$100*C$238/100+$E112*$B$101*C$248/100</f>
        <v>8516.5062622934729</v>
      </c>
      <c r="O112" s="14">
        <f>$E112*$B$99*D$237/100+$E112*$B$100*D$238/100+$E112*$B$101*D$248/100</f>
        <v>22773.750642052553</v>
      </c>
      <c r="P112" s="14">
        <f>$E112*$B$99*E$237/100+$E112*$B$100*E$238/100+$E112*$B$101*E$248/100</f>
        <v>22094.400349664025</v>
      </c>
      <c r="Q112" s="14">
        <f>$E112*$B$99*F$237/100+$E112*$B$100*F$238/100+$E112*$B$101*F$248/100</f>
        <v>9156.5063550546256</v>
      </c>
      <c r="R112" s="14">
        <f>$E112*$B$99*G$237/100+$E112*$B$100*G$238/100+$E112*$B$101*G$248/100</f>
        <v>17438.909874916742</v>
      </c>
      <c r="S112" s="14">
        <f>$E112*$B$99*H$237/100+$E112*$B$100*H$238/100+$E112*$B$101*H$248/100</f>
        <v>11198.786224742955</v>
      </c>
      <c r="T112" s="14">
        <f>$E112*$B$99*I$237/100+$E112*$B$100*I$238/100+$E112*$B$101*I$248/100</f>
        <v>6314.4806666514996</v>
      </c>
      <c r="U112" s="14">
        <f>$E112*$B$99*J$237/100+$E112*$B$100*J$238/100+$E112*$B$101*J$248/100</f>
        <v>35186.478983425477</v>
      </c>
      <c r="V112" s="14">
        <f t="shared" si="17"/>
        <v>136256.44341451619</v>
      </c>
    </row>
    <row r="113" spans="1:22" ht="9.9499999999999993" customHeight="1" x14ac:dyDescent="0.15">
      <c r="A113" s="2" t="s">
        <v>15</v>
      </c>
      <c r="B113" s="80"/>
      <c r="C113" s="81"/>
      <c r="D113" s="81"/>
      <c r="E113" s="14">
        <f t="shared" si="16"/>
        <v>156106.55854416371</v>
      </c>
      <c r="F113" s="82"/>
      <c r="G113" s="84"/>
      <c r="I113" s="82"/>
      <c r="J113" s="86"/>
      <c r="L113" s="2" t="s">
        <v>15</v>
      </c>
      <c r="M113" s="14">
        <f>$E113*$B$99*B$237/100+$E113*$B$100*B$238/100+$E113*$B$101*B$248/100</f>
        <v>4097.6739048248965</v>
      </c>
      <c r="N113" s="14">
        <f>$E113*$B$99*C$237/100+$E113*$B$100*C$238/100+$E113*$B$101*C$248/100</f>
        <v>9757.2081738691213</v>
      </c>
      <c r="O113" s="14">
        <f>$E113*$B$99*D$237/100+$E113*$B$100*D$238/100+$E113*$B$101*D$248/100</f>
        <v>26091.476841637672</v>
      </c>
      <c r="P113" s="14">
        <f>$E113*$B$99*E$237/100+$E113*$B$100*E$238/100+$E113*$B$101*E$248/100</f>
        <v>25313.157420308587</v>
      </c>
      <c r="Q113" s="14">
        <f>$E113*$B$99*F$237/100+$E113*$B$100*F$238/100+$E113*$B$101*F$248/100</f>
        <v>10490.444778650819</v>
      </c>
      <c r="R113" s="14">
        <f>$E113*$B$99*G$237/100+$E113*$B$100*G$238/100+$E113*$B$101*G$248/100</f>
        <v>19979.445647596134</v>
      </c>
      <c r="S113" s="14">
        <f>$E113*$B$99*H$237/100+$E113*$B$100*H$238/100+$E113*$B$101*H$248/100</f>
        <v>12830.248123371784</v>
      </c>
      <c r="T113" s="14">
        <f>$E113*$B$99*I$237/100+$E113*$B$100*I$238/100+$E113*$B$101*I$248/100</f>
        <v>7234.3870217267568</v>
      </c>
      <c r="U113" s="14">
        <f>$E113*$B$99*J$237/100+$E113*$B$100*J$238/100+$E113*$B$101*J$248/100</f>
        <v>40312.516632177932</v>
      </c>
      <c r="V113" s="14">
        <f t="shared" si="17"/>
        <v>156106.55854416371</v>
      </c>
    </row>
    <row r="114" spans="1:22" ht="9.9499999999999993" customHeight="1" x14ac:dyDescent="0.15">
      <c r="A114" s="2" t="s">
        <v>17</v>
      </c>
      <c r="B114" s="80"/>
      <c r="C114" s="81"/>
      <c r="D114" s="81"/>
      <c r="E114" s="14">
        <f t="shared" si="16"/>
        <v>0</v>
      </c>
      <c r="F114" s="82"/>
      <c r="G114" s="84"/>
      <c r="I114" s="82"/>
      <c r="J114" s="86"/>
      <c r="L114" s="2" t="s">
        <v>149</v>
      </c>
      <c r="M114" s="14">
        <f>$E114*$B$99*B$237/100+$E114*$B$100*B$238/100+$E114*$B$101*B$248/100</f>
        <v>0</v>
      </c>
      <c r="N114" s="14">
        <f>$E114*$B$99*C$237/100+$E114*$B$100*C$238/100+$E114*$B$101*C$248/100</f>
        <v>0</v>
      </c>
      <c r="O114" s="14">
        <f>$E114*$B$99*D$237/100+$E114*$B$100*D$238/100+$E114*$B$101*D$248/100</f>
        <v>0</v>
      </c>
      <c r="P114" s="14">
        <f>$E114*$B$99*E$237/100+$E114*$B$100*E$238/100+$E114*$B$101*E$248/100</f>
        <v>0</v>
      </c>
      <c r="Q114" s="14">
        <f>$E114*$B$99*F$237/100+$E114*$B$100*F$238/100+$E114*$B$101*F$248/100</f>
        <v>0</v>
      </c>
      <c r="R114" s="14">
        <f>$E114*$B$99*G$237/100+$E114*$B$100*G$238/100+$E114*$B$101*G$248/100</f>
        <v>0</v>
      </c>
      <c r="S114" s="14">
        <f>$E114*$B$99*H$237/100+$E114*$B$100*H$238/100+$E114*$B$101*H$248/100</f>
        <v>0</v>
      </c>
      <c r="T114" s="14">
        <f>$E114*$B$99*I$237/100+$E114*$B$100*I$238/100+$E114*$B$101*I$248/100</f>
        <v>0</v>
      </c>
      <c r="U114" s="14">
        <f>$E114*$B$99*J$237/100+$E114*$B$100*J$238/100+$E114*$B$101*J$248/100</f>
        <v>0</v>
      </c>
      <c r="V114" s="14">
        <f t="shared" si="17"/>
        <v>0</v>
      </c>
    </row>
    <row r="115" spans="1:22" ht="9.9499999999999993" customHeight="1" x14ac:dyDescent="0.15">
      <c r="A115" s="2" t="s">
        <v>19</v>
      </c>
      <c r="B115" s="80"/>
      <c r="C115" s="81"/>
      <c r="D115" s="81"/>
      <c r="E115" s="14">
        <f t="shared" si="16"/>
        <v>624121.16960070643</v>
      </c>
      <c r="F115" s="82"/>
      <c r="G115" s="84"/>
      <c r="I115" s="82"/>
      <c r="J115" s="86"/>
      <c r="L115" s="2" t="s">
        <v>19</v>
      </c>
      <c r="M115" s="14">
        <f>$E115*$B$99*B$237/100+$E115*$B$100*B$238/100+$E115*$B$101*B$248/100</f>
        <v>16382.687915050588</v>
      </c>
      <c r="N115" s="14">
        <f>$E115*$B$99*C$237/100+$E115*$B$100*C$238/100+$E115*$B$101*C$248/100</f>
        <v>39009.76508805652</v>
      </c>
      <c r="O115" s="14">
        <f>$E115*$B$99*D$237/100+$E115*$B$100*D$238/100+$E115*$B$101*D$248/100</f>
        <v>104314.91921209521</v>
      </c>
      <c r="P115" s="14">
        <f>$E115*$B$99*E$237/100+$E115*$B$100*E$238/100+$E115*$B$101*E$248/100</f>
        <v>101203.16252427211</v>
      </c>
      <c r="Q115" s="14">
        <f>$E115*$B$99*F$237/100+$E115*$B$100*F$238/100+$E115*$B$101*F$248/100</f>
        <v>41941.278610859197</v>
      </c>
      <c r="R115" s="14">
        <f>$E115*$B$99*G$237/100+$E115*$B$100*G$238/100+$E115*$B$101*G$248/100</f>
        <v>79878.738611893117</v>
      </c>
      <c r="S115" s="14">
        <f>$E115*$B$99*H$237/100+$E115*$B$100*H$238/100+$E115*$B$101*H$248/100</f>
        <v>51295.919528971288</v>
      </c>
      <c r="T115" s="14">
        <f>$E115*$B$99*I$237/100+$E115*$B$100*I$238/100+$E115*$B$101*I$248/100</f>
        <v>28923.410594993733</v>
      </c>
      <c r="U115" s="14">
        <f>$E115*$B$99*J$237/100+$E115*$B$100*J$238/100+$E115*$B$101*J$248/100</f>
        <v>161171.28751451464</v>
      </c>
      <c r="V115" s="14">
        <f t="shared" si="17"/>
        <v>624121.16960070643</v>
      </c>
    </row>
    <row r="116" spans="1:22" ht="9.9499999999999993" customHeight="1" x14ac:dyDescent="0.15">
      <c r="A116" s="2" t="s">
        <v>21</v>
      </c>
      <c r="B116" s="80"/>
      <c r="C116" s="81"/>
      <c r="D116" s="81"/>
      <c r="E116" s="14">
        <f t="shared" si="16"/>
        <v>2466339.3115248163</v>
      </c>
      <c r="F116" s="82"/>
      <c r="G116" s="84"/>
      <c r="I116" s="82"/>
      <c r="J116" s="86"/>
      <c r="L116" s="2" t="s">
        <v>21</v>
      </c>
      <c r="M116" s="14">
        <f>$E116*$B$99*B$237/100+$E116*$B$100*B$238/100+($E116*$B$101-$E$102)*B$248/100+M102</f>
        <v>70036.880539920894</v>
      </c>
      <c r="N116" s="14">
        <f>$E116*$B$99*C$237/100+$E116*$B$100*C$238/100+($E116*$B$101-$E$102)*C$248/100+N102</f>
        <v>167792.00492910572</v>
      </c>
      <c r="O116" s="14">
        <f>$E116*$B$99*D$237/100+$E116*$B$100*D$238/100+($E116*$B$101-$E$102)*D$248/100+O102</f>
        <v>419182.32269056933</v>
      </c>
      <c r="P116" s="14">
        <f>$E116*$B$99*E$237/100+$E116*$B$100*E$238/100+($E116*$B$101-$E$102)*E$248/100+P102</f>
        <v>391789.00936245953</v>
      </c>
      <c r="Q116" s="14">
        <f>$E116*$B$99*F$237/100+$E116*$B$100*F$238/100+($E116*$B$101-$E$102)*F$248/100+Q102</f>
        <v>170738.90355649462</v>
      </c>
      <c r="R116" s="14">
        <f>$E116*$B$99*G$237/100+$E116*$B$100*G$238/100+($E116*$B$101-$E$102)*G$248/100+R102</f>
        <v>331604.34844652325</v>
      </c>
      <c r="S116" s="14">
        <f>$E116*$B$99*H$237/100+$E116*$B$100*H$238/100+($E116*$B$101-$E$102)*H$248/100+S102</f>
        <v>226418.93245686556</v>
      </c>
      <c r="T116" s="14">
        <f>$E116*$B$99*I$237/100+$E116*$B$100*I$238/100+($E116*$B$101-$E$102)*I$248/100+T102</f>
        <v>109318.32786482679</v>
      </c>
      <c r="U116" s="14">
        <f>$E116*$B$99*J$237/100+$E116*$B$100*J$238/100+($E116*$B$101-$E$102)*J$248/100+U102</f>
        <v>579458.58167805045</v>
      </c>
      <c r="V116" s="14">
        <f t="shared" si="17"/>
        <v>2466339.3115248159</v>
      </c>
    </row>
    <row r="117" spans="1:22" ht="9.9499999999999993" customHeight="1" x14ac:dyDescent="0.15">
      <c r="A117" s="2" t="s">
        <v>77</v>
      </c>
      <c r="B117" s="80"/>
      <c r="C117" s="81"/>
      <c r="D117" s="81"/>
      <c r="E117" s="14">
        <f t="shared" si="16"/>
        <v>32345.738000000001</v>
      </c>
      <c r="F117" s="82"/>
      <c r="G117" s="84"/>
      <c r="J117" s="86"/>
      <c r="L117" s="2" t="s">
        <v>77</v>
      </c>
      <c r="M117" s="14">
        <f>B230</f>
        <v>671.29899999999998</v>
      </c>
      <c r="N117" s="14">
        <f t="shared" ref="N117:U117" si="18">C230</f>
        <v>3004.4290000000001</v>
      </c>
      <c r="O117" s="14">
        <f t="shared" si="18"/>
        <v>6184.1880000000001</v>
      </c>
      <c r="P117" s="14">
        <f t="shared" si="18"/>
        <v>7013.6</v>
      </c>
      <c r="Q117" s="14">
        <f t="shared" si="18"/>
        <v>4155.6000000000004</v>
      </c>
      <c r="R117" s="14">
        <f t="shared" si="18"/>
        <v>5338.1880000000001</v>
      </c>
      <c r="S117" s="14">
        <f t="shared" si="18"/>
        <v>3010.0160000000001</v>
      </c>
      <c r="T117" s="14">
        <f t="shared" si="18"/>
        <v>2968.4180000000001</v>
      </c>
      <c r="U117" s="14">
        <f t="shared" si="18"/>
        <v>0</v>
      </c>
      <c r="V117" s="14">
        <f t="shared" si="17"/>
        <v>32345.738000000005</v>
      </c>
    </row>
    <row r="118" spans="1:22" ht="9.9499999999999993" customHeight="1" x14ac:dyDescent="0.15">
      <c r="A118" s="2" t="s">
        <v>23</v>
      </c>
      <c r="B118" s="80"/>
      <c r="C118" s="81"/>
      <c r="D118" s="81"/>
      <c r="E118" s="14">
        <f>U62</f>
        <v>22414.469123074301</v>
      </c>
      <c r="F118" s="82"/>
      <c r="G118" s="84"/>
      <c r="H118" s="15"/>
      <c r="I118" s="41"/>
      <c r="J118" s="86"/>
      <c r="L118" s="2" t="s">
        <v>23</v>
      </c>
      <c r="M118" s="14">
        <f>$E118*$B$99*B$237/100+$E118*$B$100*B$238/100+$E118*$B$101*B$248/100</f>
        <v>588.36211670210321</v>
      </c>
      <c r="N118" s="14">
        <f>$E118*$B$99*C$237/100+$E118*$B$100*C$238/100+$E118*$B$101*C$248/100</f>
        <v>1400.9830424820043</v>
      </c>
      <c r="O118" s="14">
        <f>$E118*$B$99*D$237/100+$E118*$B$100*D$238/100+$E118*$B$101*D$248/100</f>
        <v>3746.3294783789879</v>
      </c>
      <c r="P118" s="14">
        <f>$E118*$B$99*E$237/100+$E118*$B$100*E$238/100+$E118*$B$101*E$248/100</f>
        <v>3634.5749384034343</v>
      </c>
      <c r="Q118" s="14">
        <f>$E118*$B$99*F$237/100+$E118*$B$100*F$238/100+$E118*$B$101*F$248/100</f>
        <v>1506.2643925486484</v>
      </c>
      <c r="R118" s="14">
        <f>$E118*$B$99*G$237/100+$E118*$B$100*G$238/100+$E118*$B$101*G$248/100</f>
        <v>2868.7370456475132</v>
      </c>
      <c r="S118" s="14">
        <f>$E118*$B$99*H$237/100+$E118*$B$100*H$238/100+$E118*$B$101*H$248/100</f>
        <v>1842.2236905654379</v>
      </c>
      <c r="T118" s="14">
        <f>$E118*$B$99*I$237/100+$E118*$B$100*I$238/100+$E118*$B$101*I$248/100</f>
        <v>1038.7452393743533</v>
      </c>
      <c r="U118" s="14">
        <f>$E118*$B$99*J$237/100+$E118*$B$100*J$238/100+$E118*$B$101*J$248/100</f>
        <v>5788.249178971816</v>
      </c>
      <c r="V118" s="14">
        <f t="shared" si="17"/>
        <v>22414.469123074294</v>
      </c>
    </row>
    <row r="119" spans="1:22" ht="9.9499999999999993" customHeight="1" x14ac:dyDescent="0.15">
      <c r="A119" s="2" t="s">
        <v>27</v>
      </c>
      <c r="B119" s="80"/>
      <c r="C119" s="81"/>
      <c r="D119" s="81"/>
      <c r="E119" s="14">
        <f>U64</f>
        <v>134.29658657900001</v>
      </c>
      <c r="F119" s="82"/>
      <c r="G119" s="84"/>
      <c r="H119" s="15"/>
      <c r="I119" s="41"/>
      <c r="J119" s="86"/>
      <c r="L119" s="2" t="s">
        <v>27</v>
      </c>
      <c r="M119" s="14">
        <f>$E119*$B$99*B$237/100+$E119*$B$100*B$238/100+$E119*$B$101*B$248/100</f>
        <v>3.5251793612254971</v>
      </c>
      <c r="N119" s="14">
        <f>$E119*$B$99*C$237/100+$E119*$B$100*C$238/100+$E119*$B$101*C$248/100</f>
        <v>8.3940083268226715</v>
      </c>
      <c r="O119" s="14">
        <f>$E119*$B$99*D$237/100+$E119*$B$100*D$238/100+$E119*$B$101*D$248/100</f>
        <v>22.446182346948991</v>
      </c>
      <c r="P119" s="14">
        <f>$E119*$B$99*E$237/100+$E119*$B$100*E$238/100+$E119*$B$101*E$248/100</f>
        <v>21.776603550725213</v>
      </c>
      <c r="Q119" s="14">
        <f>$E119*$B$99*F$237/100+$E119*$B$100*F$238/100+$E119*$B$101*F$248/100</f>
        <v>9.0248029205622977</v>
      </c>
      <c r="R119" s="14">
        <f>$E119*$B$99*G$237/100+$E119*$B$100*G$238/100+$E119*$B$101*G$248/100</f>
        <v>17.188075742850547</v>
      </c>
      <c r="S119" s="14">
        <f>$E119*$B$99*H$237/100+$E119*$B$100*H$238/100+$E119*$B$101*H$248/100</f>
        <v>11.037707473661236</v>
      </c>
      <c r="T119" s="14">
        <f>$E119*$B$99*I$237/100+$E119*$B$100*I$238/100+$E119*$B$101*I$248/100</f>
        <v>6.2236557648182451</v>
      </c>
      <c r="U119" s="14">
        <f>$E119*$B$99*J$237/100+$E119*$B$100*J$238/100+$E119*$B$101*J$248/100</f>
        <v>34.680371091385297</v>
      </c>
      <c r="V119" s="14">
        <f t="shared" si="17"/>
        <v>134.29658657900001</v>
      </c>
    </row>
    <row r="120" spans="1:22" ht="9.9499999999999993" customHeight="1" x14ac:dyDescent="0.15">
      <c r="A120" s="2" t="s">
        <v>29</v>
      </c>
      <c r="B120" s="80"/>
      <c r="C120" s="81"/>
      <c r="D120" s="81"/>
      <c r="E120" s="14">
        <f>U65</f>
        <v>15006.712618735299</v>
      </c>
      <c r="F120" s="82"/>
      <c r="G120" s="84"/>
      <c r="H120" s="15"/>
      <c r="I120" s="41"/>
      <c r="J120" s="86"/>
      <c r="L120" s="2" t="s">
        <v>29</v>
      </c>
      <c r="M120" s="14">
        <f>$E120*$B$99*B$237/100+$E120*$B$100*B$238/100+$E120*$B$101*B$248/100</f>
        <v>393.91435740095056</v>
      </c>
      <c r="N120" s="14">
        <f>$E120*$B$99*C$237/100+$E120*$B$100*C$238/100+$E120*$B$101*C$248/100</f>
        <v>937.97224403614405</v>
      </c>
      <c r="O120" s="14">
        <f>$E120*$B$99*D$237/100+$E120*$B$100*D$238/100+$E120*$B$101*D$248/100</f>
        <v>2508.2052824197785</v>
      </c>
      <c r="P120" s="14">
        <f>$E120*$B$99*E$237/100+$E120*$B$100*E$238/100+$E120*$B$101*E$248/100</f>
        <v>2433.3844933998121</v>
      </c>
      <c r="Q120" s="14">
        <f>$E120*$B$99*F$237/100+$E120*$B$100*F$238/100+$E120*$B$101*F$248/100</f>
        <v>1008.4591672769967</v>
      </c>
      <c r="R120" s="14">
        <f>$E120*$B$99*G$237/100+$E120*$B$100*G$238/100+$E120*$B$101*G$248/100</f>
        <v>1920.6483181185113</v>
      </c>
      <c r="S120" s="14">
        <f>$E120*$B$99*H$237/100+$E120*$B$100*H$238/100+$E120*$B$101*H$248/100</f>
        <v>1233.3872978183506</v>
      </c>
      <c r="T120" s="14">
        <f>$E120*$B$99*I$237/100+$E120*$B$100*I$238/100+$E120*$B$101*I$248/100</f>
        <v>695.45038991457955</v>
      </c>
      <c r="U120" s="14">
        <f>$E120*$B$99*J$237/100+$E120*$B$100*J$238/100+$E120*$B$101*J$248/100</f>
        <v>3875.2910683501741</v>
      </c>
      <c r="V120" s="14">
        <f t="shared" si="17"/>
        <v>15006.712618735299</v>
      </c>
    </row>
    <row r="121" spans="1:22" ht="9.9499999999999993" customHeight="1" x14ac:dyDescent="0.15">
      <c r="A121" s="2" t="s">
        <v>31</v>
      </c>
      <c r="B121" s="80"/>
      <c r="C121" s="81"/>
      <c r="D121" s="81"/>
      <c r="E121" s="14">
        <f>U67</f>
        <v>489931.7303069366</v>
      </c>
      <c r="F121" s="82"/>
      <c r="G121" s="84"/>
      <c r="H121" s="15"/>
      <c r="I121" s="41"/>
      <c r="J121" s="86"/>
      <c r="L121" s="2" t="s">
        <v>31</v>
      </c>
      <c r="M121" s="14">
        <f>$E121*$B$99*B$237/100+$E121*$B$100*B$238/100+$E121*$B$101*B$248/100</f>
        <v>12860.321085462168</v>
      </c>
      <c r="N121" s="14">
        <f>$E121*$B$99*C$237/100+$E121*$B$100*C$238/100+$E121*$B$101*C$248/100</f>
        <v>30622.45384287478</v>
      </c>
      <c r="O121" s="14">
        <f>$E121*$B$99*D$237/100+$E121*$B$100*D$238/100+$E121*$B$101*D$248/100</f>
        <v>81886.645343414537</v>
      </c>
      <c r="P121" s="14">
        <f>$E121*$B$99*E$237/100+$E121*$B$100*E$238/100+$E121*$B$101*E$248/100</f>
        <v>79443.933234586802</v>
      </c>
      <c r="Q121" s="14">
        <f>$E121*$B$99*F$237/100+$E121*$B$100*F$238/100+$E121*$B$101*F$248/100</f>
        <v>32923.676045550208</v>
      </c>
      <c r="R121" s="14">
        <f>$E121*$B$99*G$237/100+$E121*$B$100*G$238/100+$E121*$B$101*G$248/100</f>
        <v>62704.376215755918</v>
      </c>
      <c r="S121" s="14">
        <f>$E121*$B$99*H$237/100+$E121*$B$100*H$238/100+$E121*$B$101*H$248/100</f>
        <v>40267.018387779812</v>
      </c>
      <c r="T121" s="14">
        <f>$E121*$B$99*I$237/100+$E121*$B$100*I$238/100+$E121*$B$101*I$248/100</f>
        <v>22704.72031616731</v>
      </c>
      <c r="U121" s="14">
        <f>$E121*$B$99*J$237/100+$E121*$B$100*J$238/100+$E121*$B$101*J$248/100</f>
        <v>126518.58583534506</v>
      </c>
      <c r="V121" s="14">
        <f t="shared" si="17"/>
        <v>489931.73030693666</v>
      </c>
    </row>
    <row r="122" spans="1:22" ht="9.9499999999999993" customHeight="1" x14ac:dyDescent="0.15">
      <c r="A122" s="2" t="s">
        <v>32</v>
      </c>
      <c r="B122" s="80"/>
      <c r="C122" s="81"/>
      <c r="D122" s="81"/>
      <c r="E122" s="14">
        <f>U68</f>
        <v>2475.3647360259006</v>
      </c>
      <c r="F122" s="82"/>
      <c r="G122" s="84"/>
      <c r="H122" s="15"/>
      <c r="I122" s="41"/>
      <c r="J122" s="86"/>
      <c r="L122" s="2" t="s">
        <v>32</v>
      </c>
      <c r="M122" s="14">
        <f>$E122*$B$99*B$237/100+$E122*$B$100*B$238/100+$E122*$B$101*B$248/100</f>
        <v>64.976369848467982</v>
      </c>
      <c r="N122" s="14">
        <f>$E122*$B$99*C$237/100+$E122*$B$100*C$238/100+$E122*$B$101*C$248/100</f>
        <v>154.71898977791079</v>
      </c>
      <c r="O122" s="14">
        <f>$E122*$B$99*D$237/100+$E122*$B$100*D$238/100+$E122*$B$101*D$248/100</f>
        <v>413.72971313280533</v>
      </c>
      <c r="P122" s="14">
        <f>$E122*$B$99*E$237/100+$E122*$B$100*E$238/100+$E122*$B$101*E$248/100</f>
        <v>401.38798664232581</v>
      </c>
      <c r="Q122" s="14">
        <f>$E122*$B$99*F$237/100+$E122*$B$100*F$238/100+$E122*$B$101*F$248/100</f>
        <v>166.34584294517532</v>
      </c>
      <c r="R122" s="14">
        <f>$E122*$B$99*G$237/100+$E122*$B$100*G$238/100+$E122*$B$101*G$248/100</f>
        <v>316.81189863277939</v>
      </c>
      <c r="S122" s="14">
        <f>$E122*$B$99*H$237/100+$E122*$B$100*H$238/100+$E122*$B$101*H$248/100</f>
        <v>203.44785033533356</v>
      </c>
      <c r="T122" s="14">
        <f>$E122*$B$99*I$237/100+$E122*$B$100*I$238/100+$E122*$B$101*I$248/100</f>
        <v>114.71488890250322</v>
      </c>
      <c r="U122" s="14">
        <f>$E122*$B$99*J$237/100+$E122*$B$100*J$238/100+$E122*$B$101*J$248/100</f>
        <v>639.23119580859918</v>
      </c>
      <c r="V122" s="14">
        <f t="shared" si="17"/>
        <v>2475.3647360259001</v>
      </c>
    </row>
    <row r="123" spans="1:22" ht="9.9499999999999993" customHeight="1" x14ac:dyDescent="0.15">
      <c r="A123" s="2" t="s">
        <v>33</v>
      </c>
      <c r="B123" s="80"/>
      <c r="C123" s="81"/>
      <c r="D123" s="81"/>
      <c r="E123" s="14">
        <f>U69</f>
        <v>1235.2790572344002</v>
      </c>
      <c r="F123" s="82"/>
      <c r="G123" s="84"/>
      <c r="H123" s="15"/>
      <c r="I123" s="41"/>
      <c r="J123" s="86"/>
      <c r="L123" s="2" t="s">
        <v>33</v>
      </c>
      <c r="M123" s="14">
        <f>$E123*$B$99*B$237/100+$E123*$B$100*B$238/100+$E123*$B$101*B$248/100</f>
        <v>32.425099913877666</v>
      </c>
      <c r="N123" s="14">
        <f>$E123*$B$99*C$237/100+$E123*$B$100*C$238/100+$E123*$B$101*C$248/100</f>
        <v>77.209279524581802</v>
      </c>
      <c r="O123" s="14">
        <f>$E123*$B$99*D$237/100+$E123*$B$100*D$238/100+$E123*$B$101*D$248/100</f>
        <v>206.46316987170778</v>
      </c>
      <c r="P123" s="14">
        <f>$E123*$B$99*E$237/100+$E123*$B$100*E$238/100+$E123*$B$101*E$248/100</f>
        <v>200.30428910479486</v>
      </c>
      <c r="Q123" s="14">
        <f>$E123*$B$99*F$237/100+$E123*$B$100*F$238/100+$E123*$B$101*F$248/100</f>
        <v>83.011417694377172</v>
      </c>
      <c r="R123" s="14">
        <f>$E123*$B$99*G$237/100+$E123*$B$100*G$238/100+$E123*$B$101*G$248/100</f>
        <v>158.09835931170235</v>
      </c>
      <c r="S123" s="14">
        <f>$E123*$B$99*H$237/100+$E123*$B$100*H$238/100+$E123*$B$101*H$248/100</f>
        <v>101.5263993628964</v>
      </c>
      <c r="T123" s="14">
        <f>$E123*$B$99*I$237/100+$E123*$B$100*I$238/100+$E123*$B$101*I$248/100</f>
        <v>57.24606873156587</v>
      </c>
      <c r="U123" s="14">
        <f>$E123*$B$99*J$237/100+$E123*$B$100*J$238/100+$E123*$B$101*J$248/100</f>
        <v>318.99497371889623</v>
      </c>
      <c r="V123" s="14">
        <f>SUM(M123:U123)</f>
        <v>1235.2790572344002</v>
      </c>
    </row>
    <row r="124" spans="1:22" ht="9.9499999999999993" customHeight="1" x14ac:dyDescent="0.15">
      <c r="A124" s="2" t="s">
        <v>38</v>
      </c>
      <c r="B124" s="80"/>
      <c r="C124" s="81"/>
      <c r="D124" s="81"/>
      <c r="E124" s="14">
        <f t="shared" ref="E124:E135" si="19">U74</f>
        <v>3618.6261370065995</v>
      </c>
      <c r="F124" s="82"/>
      <c r="G124" s="84"/>
      <c r="H124" s="15"/>
      <c r="I124" s="41"/>
      <c r="J124" s="86"/>
      <c r="L124" s="2" t="s">
        <v>38</v>
      </c>
      <c r="M124" s="14">
        <f>$E124*$B$99*B$237/100+$E124*$B$100*B$238/100+$E124*$B$101*B$248/100</f>
        <v>94.986078940010231</v>
      </c>
      <c r="N124" s="14">
        <f>$E124*$B$99*C$237/100+$E124*$B$100*C$238/100+$E124*$B$101*C$248/100</f>
        <v>226.17684260964873</v>
      </c>
      <c r="O124" s="14">
        <f>$E124*$B$99*D$237/100+$E124*$B$100*D$238/100+$E124*$B$101*D$248/100</f>
        <v>604.81315412216759</v>
      </c>
      <c r="P124" s="14">
        <f>$E124*$B$99*E$237/100+$E124*$B$100*E$238/100+$E124*$B$101*E$248/100</f>
        <v>586.77133046512722</v>
      </c>
      <c r="Q124" s="14">
        <f>$E124*$B$99*F$237/100+$E124*$B$100*F$238/100+$E124*$B$101*F$248/100</f>
        <v>243.17362459893579</v>
      </c>
      <c r="R124" s="14">
        <f>$E124*$B$99*G$237/100+$E124*$B$100*G$238/100+$E124*$B$101*G$248/100</f>
        <v>463.13329111563519</v>
      </c>
      <c r="S124" s="14">
        <f>$E124*$B$99*H$237/100+$E124*$B$100*H$238/100+$E124*$B$101*H$248/100</f>
        <v>297.41140690369025</v>
      </c>
      <c r="T124" s="14">
        <f>$E124*$B$99*I$237/100+$E124*$B$100*I$238/100+$E124*$B$101*I$248/100</f>
        <v>167.69661829829954</v>
      </c>
      <c r="U124" s="14">
        <f>$E124*$B$99*J$237/100+$E124*$B$100*J$238/100+$E124*$B$101*J$248/100</f>
        <v>934.46378995308464</v>
      </c>
      <c r="V124" s="14">
        <f t="shared" si="17"/>
        <v>3618.6261370065986</v>
      </c>
    </row>
    <row r="125" spans="1:22" ht="9.9499999999999993" customHeight="1" x14ac:dyDescent="0.15">
      <c r="A125" s="2" t="s">
        <v>39</v>
      </c>
      <c r="B125" s="80"/>
      <c r="C125" s="81"/>
      <c r="D125" s="81"/>
      <c r="E125" s="14">
        <f t="shared" si="19"/>
        <v>202462.67238201323</v>
      </c>
      <c r="F125" s="82"/>
      <c r="G125" s="84"/>
      <c r="H125" s="15"/>
      <c r="I125" s="41"/>
      <c r="J125" s="86"/>
      <c r="L125" s="2" t="s">
        <v>39</v>
      </c>
      <c r="M125" s="14">
        <f>$E125*$B$99*B$237/100+$E125*$B$100*B$238/100+$E125*$B$101*B$248/100</f>
        <v>5314.485291700159</v>
      </c>
      <c r="N125" s="14">
        <f>$E125*$B$99*C$237/100+$E125*$B$100*C$238/100+$E125*$B$101*C$248/100</f>
        <v>12654.628096937324</v>
      </c>
      <c r="O125" s="14">
        <f>$E125*$B$99*D$237/100+$E125*$B$100*D$238/100+$E125*$B$101*D$248/100</f>
        <v>33839.386230892407</v>
      </c>
      <c r="P125" s="14">
        <f>$E125*$B$99*E$237/100+$E125*$B$100*E$238/100+$E125*$B$101*E$248/100</f>
        <v>32829.943504855197</v>
      </c>
      <c r="Q125" s="14">
        <f>$E125*$B$99*F$237/100+$E125*$B$100*F$238/100+$E125*$B$101*F$248/100</f>
        <v>13605.600585709586</v>
      </c>
      <c r="R125" s="14">
        <f>$E125*$B$99*G$237/100+$E125*$B$100*G$238/100+$E125*$B$101*G$248/100</f>
        <v>25912.376752441887</v>
      </c>
      <c r="S125" s="14">
        <f>$E125*$B$99*H$237/100+$E125*$B$100*H$238/100+$E125*$B$101*H$248/100</f>
        <v>16640.212599698483</v>
      </c>
      <c r="T125" s="14">
        <f>$E125*$B$99*I$237/100+$E125*$B$100*I$238/100+$E125*$B$101*I$248/100</f>
        <v>9382.6508195693787</v>
      </c>
      <c r="U125" s="14">
        <f>$E125*$B$99*J$237/100+$E125*$B$100*J$238/100+$E125*$B$101*J$248/100</f>
        <v>52283.388500208799</v>
      </c>
      <c r="V125" s="14">
        <f t="shared" si="17"/>
        <v>202462.67238201323</v>
      </c>
    </row>
    <row r="126" spans="1:22" ht="9.9499999999999993" customHeight="1" x14ac:dyDescent="0.15">
      <c r="A126" s="2" t="s">
        <v>40</v>
      </c>
      <c r="B126" s="80"/>
      <c r="C126" s="81"/>
      <c r="D126" s="81"/>
      <c r="E126" s="14">
        <f t="shared" si="19"/>
        <v>188451.92016527444</v>
      </c>
      <c r="F126" s="82"/>
      <c r="G126" s="84"/>
      <c r="H126" s="15"/>
      <c r="I126" s="41"/>
      <c r="J126" s="86"/>
      <c r="L126" s="2" t="s">
        <v>40</v>
      </c>
      <c r="M126" s="14">
        <f>$E126*$B$99*B$237/100+$E126*$B$100*B$238/100+$E126*$B$101*B$248/100</f>
        <v>4946.7141084717741</v>
      </c>
      <c r="N126" s="14">
        <f>$E126*$B$99*C$237/100+$E126*$B$100*C$238/100+$E126*$B$101*C$248/100</f>
        <v>11778.906875957724</v>
      </c>
      <c r="O126" s="14">
        <f>$E126*$B$99*D$237/100+$E126*$B$100*D$238/100+$E126*$B$101*D$248/100</f>
        <v>31497.644664066796</v>
      </c>
      <c r="P126" s="14">
        <f>$E126*$B$99*E$237/100+$E126*$B$100*E$238/100+$E126*$B$101*E$248/100</f>
        <v>30558.057046356967</v>
      </c>
      <c r="Q126" s="14">
        <f>$E126*$B$99*F$237/100+$E126*$B$100*F$238/100+$E126*$B$101*F$248/100</f>
        <v>12664.070493650859</v>
      </c>
      <c r="R126" s="14">
        <f>$E126*$B$99*G$237/100+$E126*$B$100*G$238/100+$E126*$B$101*G$248/100</f>
        <v>24119.197369033238</v>
      </c>
      <c r="S126" s="14">
        <f>$E126*$B$99*H$237/100+$E126*$B$100*H$238/100+$E126*$B$101*H$248/100</f>
        <v>15488.682330808568</v>
      </c>
      <c r="T126" s="14">
        <f>$E126*$B$99*I$237/100+$E126*$B$100*I$238/100+$E126*$B$101*I$248/100</f>
        <v>8733.3558447350606</v>
      </c>
      <c r="U126" s="14">
        <f>$E126*$B$99*J$237/100+$E126*$B$100*J$238/100+$E126*$B$101*J$248/100</f>
        <v>48665.291432193437</v>
      </c>
      <c r="V126" s="14">
        <f t="shared" si="17"/>
        <v>188451.92016527441</v>
      </c>
    </row>
    <row r="127" spans="1:22" ht="9.9499999999999993" customHeight="1" x14ac:dyDescent="0.15">
      <c r="A127" s="2" t="s">
        <v>41</v>
      </c>
      <c r="B127" s="80"/>
      <c r="C127" s="81"/>
      <c r="D127" s="81"/>
      <c r="E127" s="14">
        <f t="shared" si="19"/>
        <v>10465.319595133702</v>
      </c>
      <c r="F127" s="82"/>
      <c r="G127" s="84"/>
      <c r="H127" s="15"/>
      <c r="I127" s="41"/>
      <c r="J127" s="86"/>
      <c r="L127" s="2" t="s">
        <v>41</v>
      </c>
      <c r="M127" s="14">
        <f>$E127*$B$99*B$237/100+$E127*$B$100*B$238/100+$E127*$B$101*B$248/100</f>
        <v>274.7063762763047</v>
      </c>
      <c r="N127" s="14">
        <f>$E127*$B$99*C$237/100+$E127*$B$100*C$238/100+$E127*$B$101*C$248/100</f>
        <v>654.11923014690569</v>
      </c>
      <c r="O127" s="14">
        <f>$E127*$B$99*D$237/100+$E127*$B$100*D$238/100+$E127*$B$101*D$248/100</f>
        <v>1749.161895587612</v>
      </c>
      <c r="P127" s="14">
        <f>$E127*$B$99*E$237/100+$E127*$B$100*E$238/100+$E127*$B$101*E$248/100</f>
        <v>1696.9836811213438</v>
      </c>
      <c r="Q127" s="14">
        <f>$E127*$B$99*F$237/100+$E127*$B$100*F$238/100+$E127*$B$101*F$248/100</f>
        <v>703.27511110062164</v>
      </c>
      <c r="R127" s="14">
        <f>$E127*$B$99*G$237/100+$E127*$B$100*G$238/100+$E127*$B$101*G$248/100</f>
        <v>1339.4138336381498</v>
      </c>
      <c r="S127" s="14">
        <f>$E127*$B$99*H$237/100+$E127*$B$100*H$238/100+$E127*$B$101*H$248/100</f>
        <v>860.13456672266216</v>
      </c>
      <c r="T127" s="14">
        <f>$E127*$B$99*I$237/100+$E127*$B$100*I$238/100+$E127*$B$101*I$248/100</f>
        <v>484.99033585343562</v>
      </c>
      <c r="U127" s="14">
        <f>$E127*$B$99*J$237/100+$E127*$B$100*J$238/100+$E127*$B$101*J$248/100</f>
        <v>2702.5345646866658</v>
      </c>
      <c r="V127" s="14">
        <f t="shared" si="17"/>
        <v>10465.319595133702</v>
      </c>
    </row>
    <row r="128" spans="1:22" ht="9.9499999999999993" customHeight="1" x14ac:dyDescent="0.15">
      <c r="A128" s="2" t="s">
        <v>42</v>
      </c>
      <c r="B128" s="80"/>
      <c r="C128" s="81"/>
      <c r="D128" s="81"/>
      <c r="E128" s="14">
        <f t="shared" si="19"/>
        <v>0</v>
      </c>
      <c r="F128" s="82"/>
      <c r="G128" s="84"/>
      <c r="H128" s="15"/>
      <c r="I128" s="41"/>
      <c r="J128" s="86"/>
      <c r="L128" s="2" t="s">
        <v>150</v>
      </c>
      <c r="M128" s="14">
        <f>$E128*$B$99*B$237/100+$E128*$B$100*B$238/100+$E128*$B$101*B$248/100</f>
        <v>0</v>
      </c>
      <c r="N128" s="14">
        <f>$E128*$B$99*C$237/100+$E128*$B$100*C$238/100+$E128*$B$101*C$248/100</f>
        <v>0</v>
      </c>
      <c r="O128" s="14">
        <f>$E128*$B$99*D$237/100+$E128*$B$100*D$238/100+$E128*$B$101*D$248/100</f>
        <v>0</v>
      </c>
      <c r="P128" s="14">
        <f>$E128*$B$99*E$237/100+$E128*$B$100*E$238/100+$E128*$B$101*E$248/100</f>
        <v>0</v>
      </c>
      <c r="Q128" s="14">
        <f>$E128*$B$99*F$237/100+$E128*$B$100*F$238/100+$E128*$B$101*F$248/100</f>
        <v>0</v>
      </c>
      <c r="R128" s="14">
        <f>$E128*$B$99*G$237/100+$E128*$B$100*G$238/100+$E128*$B$101*G$248/100</f>
        <v>0</v>
      </c>
      <c r="S128" s="14">
        <f>$E128*$B$99*H$237/100+$E128*$B$100*H$238/100+$E128*$B$101*H$248/100</f>
        <v>0</v>
      </c>
      <c r="T128" s="14">
        <f>$E128*$B$99*I$237/100+$E128*$B$100*I$238/100+$E128*$B$101*I$248/100</f>
        <v>0</v>
      </c>
      <c r="U128" s="14">
        <f>$E128*$B$99*J$237/100+$E128*$B$100*J$238/100+$E128*$B$101*J$248/100</f>
        <v>0</v>
      </c>
      <c r="V128" s="14">
        <f>SUM(M128:U128)</f>
        <v>0</v>
      </c>
    </row>
    <row r="129" spans="1:23" ht="9.9499999999999993" customHeight="1" x14ac:dyDescent="0.15">
      <c r="A129" s="2" t="s">
        <v>43</v>
      </c>
      <c r="B129" s="80"/>
      <c r="C129" s="81"/>
      <c r="D129" s="81"/>
      <c r="E129" s="14">
        <f t="shared" si="19"/>
        <v>59893.843485987905</v>
      </c>
      <c r="F129" s="82"/>
      <c r="G129" s="84"/>
      <c r="H129" s="15"/>
      <c r="I129" s="41"/>
      <c r="J129" s="86"/>
      <c r="L129" s="2" t="s">
        <v>43</v>
      </c>
      <c r="M129" s="14">
        <f>$E129*$B$99*B$237/100+$E129*$B$100*B$238/100+$E129*$B$101*B$248/100</f>
        <v>1572.1661011620249</v>
      </c>
      <c r="N129" s="14">
        <f>$E129*$B$99*C$237/100+$E129*$B$100*C$238/100+$E129*$B$101*C$248/100</f>
        <v>3743.5755721985815</v>
      </c>
      <c r="O129" s="14">
        <f>$E129*$B$99*D$237/100+$E129*$B$100*D$238/100+$E129*$B$101*D$248/100</f>
        <v>10010.590489247254</v>
      </c>
      <c r="P129" s="14">
        <f>$E129*$B$99*E$237/100+$E129*$B$100*E$238/100+$E129*$B$101*E$248/100</f>
        <v>9711.9704822601634</v>
      </c>
      <c r="Q129" s="14">
        <f>$E129*$B$99*F$237/100+$E129*$B$100*F$238/100+$E129*$B$101*F$248/100</f>
        <v>4024.8985278421642</v>
      </c>
      <c r="R129" s="14">
        <f>$E129*$B$99*G$237/100+$E129*$B$100*G$238/100+$E129*$B$101*G$248/100</f>
        <v>7665.5702471039049</v>
      </c>
      <c r="S129" s="14">
        <f>$E129*$B$99*H$237/100+$E129*$B$100*H$238/100+$E129*$B$101*H$248/100</f>
        <v>4922.6174745900807</v>
      </c>
      <c r="T129" s="14">
        <f>$E129*$B$99*I$237/100+$E129*$B$100*I$238/100+$E129*$B$101*I$248/100</f>
        <v>2775.6376672270439</v>
      </c>
      <c r="U129" s="14">
        <f>$E129*$B$99*J$237/100+$E129*$B$100*J$238/100+$E129*$B$101*J$248/100</f>
        <v>15466.816924356688</v>
      </c>
      <c r="V129" s="14">
        <f>SUM(M129:U129)</f>
        <v>59893.843485987905</v>
      </c>
    </row>
    <row r="130" spans="1:23" ht="9.9499999999999993" customHeight="1" x14ac:dyDescent="0.15">
      <c r="A130" s="2" t="s">
        <v>44</v>
      </c>
      <c r="B130" s="80"/>
      <c r="C130" s="81"/>
      <c r="D130" s="81"/>
      <c r="E130" s="14">
        <f t="shared" si="19"/>
        <v>12551.338674706303</v>
      </c>
      <c r="F130" s="82"/>
      <c r="G130" s="84"/>
      <c r="H130" s="15"/>
      <c r="I130" s="41"/>
      <c r="J130" s="86"/>
      <c r="L130" s="2" t="s">
        <v>44</v>
      </c>
      <c r="M130" s="14">
        <f>$E130*$B$99*B$237/100+$E130*$B$100*B$238/100+$E130*$B$101*B$248/100</f>
        <v>329.46273005828402</v>
      </c>
      <c r="N130" s="14">
        <f>$E130*$B$99*C$237/100+$E130*$B$100*C$238/100+$E130*$B$101*C$248/100</f>
        <v>784.50274896808651</v>
      </c>
      <c r="O130" s="14">
        <f>$E130*$B$99*D$237/100+$E130*$B$100*D$238/100+$E130*$B$101*D$248/100</f>
        <v>2097.816808061933</v>
      </c>
      <c r="P130" s="14">
        <f>$E130*$B$99*E$237/100+$E130*$B$100*E$238/100+$E130*$B$101*E$248/100</f>
        <v>2035.238075013769</v>
      </c>
      <c r="Q130" s="14">
        <f>$E130*$B$99*F$237/100+$E130*$B$100*F$238/100+$E130*$B$101*F$248/100</f>
        <v>843.45671631663481</v>
      </c>
      <c r="R130" s="14">
        <f>$E130*$B$99*G$237/100+$E130*$B$100*G$238/100+$E130*$B$101*G$248/100</f>
        <v>1606.3949599204157</v>
      </c>
      <c r="S130" s="14">
        <f>$E130*$B$99*H$237/100+$E130*$B$100*H$238/100+$E130*$B$101*H$248/100</f>
        <v>1031.5824714782611</v>
      </c>
      <c r="T130" s="14">
        <f>$E130*$B$99*I$237/100+$E130*$B$100*I$238/100+$E130*$B$101*I$248/100</f>
        <v>581.66192670184341</v>
      </c>
      <c r="U130" s="14">
        <f>$E130*$B$99*J$237/100+$E130*$B$100*J$238/100+$E130*$B$101*J$248/100</f>
        <v>3241.2222381870756</v>
      </c>
      <c r="V130" s="14">
        <f>SUM(M130:U130)</f>
        <v>12551.338674706303</v>
      </c>
    </row>
    <row r="131" spans="1:23" ht="9.9499999999999993" customHeight="1" x14ac:dyDescent="0.15">
      <c r="A131" s="2" t="s">
        <v>45</v>
      </c>
      <c r="B131" s="80"/>
      <c r="C131" s="81"/>
      <c r="D131" s="81"/>
      <c r="E131" s="14">
        <f t="shared" si="19"/>
        <v>97366.865942516393</v>
      </c>
      <c r="F131" s="82"/>
      <c r="G131" s="84"/>
      <c r="H131" s="15"/>
      <c r="I131" s="41"/>
      <c r="J131" s="86"/>
      <c r="L131" s="2" t="s">
        <v>45</v>
      </c>
      <c r="M131" s="14">
        <f>$E131*$B$99*B$237/100+$E131*$B$100*B$238/100+$E131*$B$101*B$248/100</f>
        <v>2555.8033530946082</v>
      </c>
      <c r="N131" s="14">
        <f>$E131*$B$99*C$237/100+$E131*$B$100*C$238/100+$E131*$B$101*C$248/100</f>
        <v>6085.7710854574361</v>
      </c>
      <c r="O131" s="14">
        <f>$E131*$B$99*D$237/100+$E131*$B$100*D$238/100+$E131*$B$101*D$248/100</f>
        <v>16273.789849535982</v>
      </c>
      <c r="P131" s="14">
        <f>$E131*$B$99*E$237/100+$E131*$B$100*E$238/100+$E131*$B$101*E$248/100</f>
        <v>15788.336045008185</v>
      </c>
      <c r="Q131" s="14">
        <f>$E131*$B$99*F$237/100+$E131*$B$100*F$238/100+$E131*$B$101*F$248/100</f>
        <v>6543.1058116068671</v>
      </c>
      <c r="R131" s="14">
        <f>$E131*$B$99*G$237/100+$E131*$B$100*G$238/100+$E131*$B$101*G$248/100</f>
        <v>12461.590493809621</v>
      </c>
      <c r="S131" s="14">
        <f>$E131*$B$99*H$237/100+$E131*$B$100*H$238/100+$E131*$B$101*H$248/100</f>
        <v>8002.4892015292462</v>
      </c>
      <c r="T131" s="14">
        <f>$E131*$B$99*I$237/100+$E131*$B$100*I$238/100+$E131*$B$101*I$248/100</f>
        <v>4512.2357310918005</v>
      </c>
      <c r="U131" s="14">
        <f>$E131*$B$99*J$237/100+$E131*$B$100*J$238/100+$E131*$B$101*J$248/100</f>
        <v>25143.744371382643</v>
      </c>
      <c r="V131" s="14">
        <f t="shared" si="17"/>
        <v>97366.865942516393</v>
      </c>
    </row>
    <row r="132" spans="1:23" ht="9.9499999999999993" customHeight="1" x14ac:dyDescent="0.15">
      <c r="A132" s="2" t="s">
        <v>46</v>
      </c>
      <c r="B132" s="80"/>
      <c r="C132" s="81"/>
      <c r="D132" s="81"/>
      <c r="E132" s="14">
        <f t="shared" si="19"/>
        <v>59457.790034903912</v>
      </c>
      <c r="F132" s="82"/>
      <c r="G132" s="84"/>
      <c r="H132" s="15"/>
      <c r="I132" s="41"/>
      <c r="J132" s="86"/>
      <c r="L132" s="2" t="s">
        <v>46</v>
      </c>
      <c r="M132" s="14">
        <f>$E132*$B$99*B$237/100+$E132*$B$100*B$238/100+$E132*$B$101*B$248/100</f>
        <v>1560.7200423655254</v>
      </c>
      <c r="N132" s="14">
        <f>$E132*$B$99*C$237/100+$E132*$B$100*C$238/100+$E132*$B$101*C$248/100</f>
        <v>3716.3207000340858</v>
      </c>
      <c r="O132" s="14">
        <f>$E132*$B$99*D$237/100+$E132*$B$100*D$238/100+$E132*$B$101*D$248/100</f>
        <v>9937.7089996623345</v>
      </c>
      <c r="P132" s="14">
        <f>$E132*$B$99*E$237/100+$E132*$B$100*E$238/100+$E132*$B$101*E$248/100</f>
        <v>9641.263077306161</v>
      </c>
      <c r="Q132" s="14">
        <f>$E132*$B$99*F$237/100+$E132*$B$100*F$238/100+$E132*$B$101*F$248/100</f>
        <v>3995.5955011673268</v>
      </c>
      <c r="R132" s="14">
        <f>$E132*$B$99*G$237/100+$E132*$B$100*G$238/100+$E132*$B$101*G$248/100</f>
        <v>7609.761533449413</v>
      </c>
      <c r="S132" s="14">
        <f>$E132*$B$99*H$237/100+$E132*$B$100*H$238/100+$E132*$B$101*H$248/100</f>
        <v>4886.7786602274064</v>
      </c>
      <c r="T132" s="14">
        <f>$E132*$B$99*I$237/100+$E132*$B$100*I$238/100+$E132*$B$101*I$248/100</f>
        <v>2755.4298075655374</v>
      </c>
      <c r="U132" s="14">
        <f>$E132*$B$99*J$237/100+$E132*$B$100*J$238/100+$E132*$B$101*J$248/100</f>
        <v>15354.211713126124</v>
      </c>
      <c r="V132" s="14">
        <f t="shared" si="17"/>
        <v>59457.790034903919</v>
      </c>
    </row>
    <row r="133" spans="1:23" ht="9.9499999999999993" customHeight="1" x14ac:dyDescent="0.15">
      <c r="A133" s="2" t="s">
        <v>47</v>
      </c>
      <c r="B133" s="80"/>
      <c r="C133" s="81"/>
      <c r="D133" s="81"/>
      <c r="E133" s="14">
        <f t="shared" si="19"/>
        <v>123342.35485330531</v>
      </c>
      <c r="F133" s="82"/>
      <c r="G133" s="84"/>
      <c r="H133" s="15"/>
      <c r="I133" s="41"/>
      <c r="J133" s="86"/>
      <c r="L133" s="2" t="s">
        <v>47</v>
      </c>
      <c r="M133" s="14">
        <f>$E133*$B$99*B$237/100+$E133*$B$100*B$238/100+$E133*$B$101*B$248/100</f>
        <v>3237.6394275520165</v>
      </c>
      <c r="N133" s="14">
        <f>$E133*$B$99*C$237/100+$E133*$B$100*C$238/100+$E133*$B$101*C$248/100</f>
        <v>7709.3303713979676</v>
      </c>
      <c r="O133" s="14">
        <f>$E133*$B$99*D$237/100+$E133*$B$100*D$238/100+$E133*$B$101*D$248/100</f>
        <v>20615.30422078726</v>
      </c>
      <c r="P133" s="14">
        <f>$E133*$B$99*E$237/100+$E133*$B$100*E$238/100+$E133*$B$101*E$248/100</f>
        <v>20000.34126759633</v>
      </c>
      <c r="Q133" s="14">
        <f>$E133*$B$99*F$237/100+$E133*$B$100*F$238/100+$E133*$B$101*F$248/100</f>
        <v>8288.6726510679855</v>
      </c>
      <c r="R133" s="14">
        <f>$E133*$B$99*G$237/100+$E133*$B$100*G$238/100+$E133*$B$101*G$248/100</f>
        <v>15786.08802743516</v>
      </c>
      <c r="S133" s="14">
        <f>$E133*$B$99*H$237/100+$E133*$B$100*H$238/100+$E133*$B$101*H$248/100</f>
        <v>10137.389688474699</v>
      </c>
      <c r="T133" s="14">
        <f>$E133*$B$99*I$237/100+$E133*$B$100*I$238/100+$E133*$B$101*I$248/100</f>
        <v>5716.0079595728703</v>
      </c>
      <c r="U133" s="14">
        <f>$E133*$B$99*J$237/100+$E133*$B$100*J$238/100+$E133*$B$101*J$248/100</f>
        <v>31851.581239421015</v>
      </c>
      <c r="V133" s="14">
        <f t="shared" si="17"/>
        <v>123342.3548533053</v>
      </c>
    </row>
    <row r="134" spans="1:23" ht="9.9499999999999993" customHeight="1" x14ac:dyDescent="0.15">
      <c r="A134" s="2" t="s">
        <v>48</v>
      </c>
      <c r="B134" s="80"/>
      <c r="C134" s="81"/>
      <c r="D134" s="81"/>
      <c r="E134" s="14">
        <f t="shared" si="19"/>
        <v>30082.05566916</v>
      </c>
      <c r="F134" s="82"/>
      <c r="G134" s="84"/>
      <c r="H134" s="15"/>
      <c r="I134" s="41"/>
      <c r="J134" s="86"/>
      <c r="L134" s="2" t="s">
        <v>48</v>
      </c>
      <c r="M134" s="14">
        <f>$E134*$B$99*B$237/100+$E134*$B$100*B$238/100+$E134*$B$101*B$248/100</f>
        <v>789.63020944526011</v>
      </c>
      <c r="N134" s="14">
        <f>$E134*$B$99*C$237/100+$E134*$B$100*C$238/100+$E134*$B$101*C$248/100</f>
        <v>1880.2341310911399</v>
      </c>
      <c r="O134" s="14">
        <f>$E134*$B$99*D$237/100+$E134*$B$100*D$238/100+$E134*$B$101*D$248/100</f>
        <v>5027.8813789793039</v>
      </c>
      <c r="P134" s="14">
        <f>$E134*$B$99*E$237/100+$E134*$B$100*E$238/100+$E134*$B$101*E$248/100</f>
        <v>4877.8976218638973</v>
      </c>
      <c r="Q134" s="14">
        <f>$E134*$B$99*F$237/100+$E134*$B$100*F$238/100+$E134*$B$101*F$248/100</f>
        <v>2021.5303365127002</v>
      </c>
      <c r="R134" s="14">
        <f>$E134*$B$99*G$237/100+$E134*$B$100*G$238/100+$E134*$B$101*G$248/100</f>
        <v>3850.0803669943793</v>
      </c>
      <c r="S134" s="14">
        <f>$E134*$B$99*H$237/100+$E134*$B$100*H$238/100+$E134*$B$101*H$248/100</f>
        <v>2472.4152649051871</v>
      </c>
      <c r="T134" s="14">
        <f>$E134*$B$99*I$237/100+$E134*$B$100*I$238/100+$E134*$B$101*I$248/100</f>
        <v>1394.0812938891679</v>
      </c>
      <c r="U134" s="14">
        <f>$E134*$B$99*J$237/100+$E134*$B$100*J$238/100+$E134*$B$101*J$248/100</f>
        <v>7768.3050654789604</v>
      </c>
      <c r="V134" s="14">
        <f t="shared" si="17"/>
        <v>30082.055669159992</v>
      </c>
    </row>
    <row r="135" spans="1:23" ht="9.9499999999999993" customHeight="1" x14ac:dyDescent="0.15">
      <c r="A135" s="2" t="s">
        <v>151</v>
      </c>
      <c r="B135" s="80"/>
      <c r="C135" s="81"/>
      <c r="D135" s="81"/>
      <c r="E135" s="14">
        <f t="shared" si="19"/>
        <v>2047.7553015148001</v>
      </c>
      <c r="F135" s="82"/>
      <c r="G135" s="84"/>
      <c r="H135" s="15"/>
      <c r="I135" s="41"/>
      <c r="J135" s="86"/>
      <c r="L135" s="2" t="s">
        <v>151</v>
      </c>
      <c r="M135" s="14">
        <f>$E135*$B$99*B$237/100+$E135*$B$100*B$238/100+$E135*$B$101*B$248/100</f>
        <v>53.751959819869754</v>
      </c>
      <c r="N135" s="14">
        <f>$E135*$B$99*C$237/100+$E135*$B$100*C$238/100+$E135*$B$101*C$248/100</f>
        <v>127.99189830561434</v>
      </c>
      <c r="O135" s="14">
        <f>$E135*$B$99*D$237/100+$E135*$B$100*D$238/100+$E135*$B$101*D$248/100</f>
        <v>342.25954710095488</v>
      </c>
      <c r="P135" s="14">
        <f>$E135*$B$99*E$237/100+$E135*$B$100*E$238/100+$E135*$B$101*E$248/100</f>
        <v>332.04980488280421</v>
      </c>
      <c r="Q135" s="14">
        <f>$E135*$B$99*F$237/100+$E135*$B$100*F$238/100+$E135*$B$101*F$248/100</f>
        <v>137.61025873011664</v>
      </c>
      <c r="R135" s="14">
        <f>$E135*$B$99*G$237/100+$E135*$B$100*G$238/100+$E135*$B$101*G$248/100</f>
        <v>262.08390043149393</v>
      </c>
      <c r="S135" s="14">
        <f>$E135*$B$99*H$237/100+$E135*$B$100*H$238/100+$E135*$B$101*H$248/100</f>
        <v>168.30304158522591</v>
      </c>
      <c r="T135" s="14">
        <f>$E135*$B$99*I$237/100+$E135*$B$100*I$238/100+$E135*$B$101*I$248/100</f>
        <v>94.898347097695876</v>
      </c>
      <c r="U135" s="14">
        <f>$E135*$B$99*J$237/100+$E135*$B$100*J$238/100+$E135*$B$101*J$248/100</f>
        <v>528.80654356102445</v>
      </c>
      <c r="V135" s="14">
        <f t="shared" si="17"/>
        <v>2047.7553015148001</v>
      </c>
      <c r="W135" s="14"/>
    </row>
    <row r="136" spans="1:23" ht="9.9499999999999993" customHeight="1" x14ac:dyDescent="0.15">
      <c r="A136" s="2" t="s">
        <v>25</v>
      </c>
      <c r="B136" s="87" t="s">
        <v>152</v>
      </c>
      <c r="C136" s="81" t="s">
        <v>153</v>
      </c>
      <c r="D136" s="81"/>
      <c r="E136" s="14">
        <f>U63</f>
        <v>0</v>
      </c>
      <c r="F136" s="82">
        <f t="shared" ref="F136:F144" si="20">E136/$E$146</f>
        <v>0</v>
      </c>
      <c r="G136" s="84"/>
      <c r="H136" s="15"/>
      <c r="I136" s="41"/>
      <c r="J136" s="83"/>
      <c r="L136" s="2" t="s">
        <v>25</v>
      </c>
      <c r="M136" s="14">
        <f>$E136/100*B237</f>
        <v>0</v>
      </c>
      <c r="N136" s="14">
        <f>$E136/100*C237</f>
        <v>0</v>
      </c>
      <c r="O136" s="14">
        <f>$E136/100*D237</f>
        <v>0</v>
      </c>
      <c r="P136" s="14">
        <f>$E136/100*E237</f>
        <v>0</v>
      </c>
      <c r="Q136" s="14">
        <f>$E136/100*F237</f>
        <v>0</v>
      </c>
      <c r="R136" s="14">
        <f>$E136/100*G237</f>
        <v>0</v>
      </c>
      <c r="S136" s="14">
        <f>$E136/100*H237</f>
        <v>0</v>
      </c>
      <c r="T136" s="14">
        <f>$E136/100*I237</f>
        <v>0</v>
      </c>
      <c r="U136" s="14">
        <f>$E136/100*J237</f>
        <v>0</v>
      </c>
      <c r="V136" s="14">
        <f t="shared" si="17"/>
        <v>0</v>
      </c>
    </row>
    <row r="137" spans="1:23" ht="9.9499999999999993" customHeight="1" x14ac:dyDescent="0.15">
      <c r="A137" s="2" t="s">
        <v>154</v>
      </c>
      <c r="B137" s="87" t="s">
        <v>152</v>
      </c>
      <c r="C137" s="81" t="s">
        <v>153</v>
      </c>
      <c r="D137" s="81"/>
      <c r="E137" s="14">
        <f>U66</f>
        <v>4.8088890000000006</v>
      </c>
      <c r="F137" s="82">
        <f t="shared" si="20"/>
        <v>5.5378729547558175E-7</v>
      </c>
      <c r="G137" s="84"/>
      <c r="H137" s="15"/>
      <c r="I137" s="41"/>
      <c r="J137" s="78"/>
      <c r="L137" s="2" t="s">
        <v>154</v>
      </c>
      <c r="M137" s="14">
        <f>$E137/100*B237</f>
        <v>0.16327579308923232</v>
      </c>
      <c r="N137" s="14">
        <f>$E137/100*C237</f>
        <v>0.3201027689886729</v>
      </c>
      <c r="O137" s="14">
        <f>$E137/100*D237</f>
        <v>0.92362431504254972</v>
      </c>
      <c r="P137" s="14">
        <f>$E137/100*E237</f>
        <v>0.80979480625043032</v>
      </c>
      <c r="Q137" s="14">
        <f>$E137/100*F237</f>
        <v>0.30428897316755177</v>
      </c>
      <c r="R137" s="14">
        <f>$E137/100*G237</f>
        <v>0.69338978496392611</v>
      </c>
      <c r="S137" s="14">
        <f>$E137/100*H237</f>
        <v>0.40578114054535463</v>
      </c>
      <c r="T137" s="14">
        <f>$E137/100*I237</f>
        <v>0.21183547255082552</v>
      </c>
      <c r="U137" s="14">
        <f>$E137/100*J237</f>
        <v>0.97679594540145764</v>
      </c>
      <c r="V137" s="14">
        <f t="shared" si="17"/>
        <v>4.8088890000000006</v>
      </c>
    </row>
    <row r="138" spans="1:23" ht="9.9499999999999993" customHeight="1" x14ac:dyDescent="0.15">
      <c r="A138" s="2" t="s">
        <v>34</v>
      </c>
      <c r="B138" s="80">
        <v>0.4</v>
      </c>
      <c r="C138" s="81" t="s">
        <v>142</v>
      </c>
      <c r="D138" s="81"/>
      <c r="E138" s="14">
        <f>$U$70*B138</f>
        <v>38224.342594079928</v>
      </c>
      <c r="F138" s="82">
        <f t="shared" si="20"/>
        <v>4.4018806228439886E-3</v>
      </c>
      <c r="G138" s="84"/>
      <c r="H138" s="15"/>
      <c r="I138" s="88"/>
      <c r="J138" s="89"/>
      <c r="L138" s="2" t="s">
        <v>34</v>
      </c>
      <c r="M138" s="14">
        <f>$E138/100*B237</f>
        <v>1297.8278043770449</v>
      </c>
      <c r="N138" s="14">
        <f>$E138/100*C237</f>
        <v>2544.3959939887682</v>
      </c>
      <c r="O138" s="14">
        <f>$E138/100*D237</f>
        <v>7341.5984952883764</v>
      </c>
      <c r="P138" s="14">
        <f>$E138/100*E237</f>
        <v>6436.8036161830769</v>
      </c>
      <c r="Q138" s="14">
        <f>$E138/100*F237</f>
        <v>2418.6971165184495</v>
      </c>
      <c r="R138" s="14">
        <f>$E138/100*G237</f>
        <v>5511.5368002248579</v>
      </c>
      <c r="S138" s="14">
        <f>$E138/100*H237</f>
        <v>3225.4263582341223</v>
      </c>
      <c r="T138" s="14">
        <f>$E138/100*I237</f>
        <v>1683.8133873253403</v>
      </c>
      <c r="U138" s="14">
        <f>$E138/100*J237</f>
        <v>7764.2430219398921</v>
      </c>
      <c r="V138" s="14">
        <f t="shared" si="17"/>
        <v>38224.342594079935</v>
      </c>
    </row>
    <row r="139" spans="1:23" ht="9.9499999999999993" customHeight="1" x14ac:dyDescent="0.15">
      <c r="B139" s="80">
        <v>0.6</v>
      </c>
      <c r="C139" s="81" t="s">
        <v>155</v>
      </c>
      <c r="D139" s="81"/>
      <c r="E139" s="14">
        <f>$U$70*B139</f>
        <v>57336.513891119896</v>
      </c>
      <c r="F139" s="82">
        <f t="shared" si="20"/>
        <v>6.6028209342659828E-3</v>
      </c>
      <c r="G139" s="84"/>
      <c r="H139" s="15"/>
      <c r="I139" s="88"/>
      <c r="J139" s="89"/>
      <c r="M139" s="14">
        <f>$E139/100*B246</f>
        <v>67.657086391521474</v>
      </c>
      <c r="N139" s="14">
        <f>$E139/100*C246</f>
        <v>584.25907655051174</v>
      </c>
      <c r="O139" s="14">
        <f>$E139/100*D246</f>
        <v>8297.1669251839594</v>
      </c>
      <c r="P139" s="14">
        <f>$E139/100*E246</f>
        <v>4155.7505268283712</v>
      </c>
      <c r="Q139" s="14">
        <f>$E139/100*F246</f>
        <v>2830.7036908045893</v>
      </c>
      <c r="R139" s="14">
        <f>$E139/100*G246</f>
        <v>1421.9455444997734</v>
      </c>
      <c r="S139" s="14">
        <f>$E139/100*H246</f>
        <v>617.51425460736129</v>
      </c>
      <c r="T139" s="14">
        <f>$E139/100*I246</f>
        <v>456.97201571222564</v>
      </c>
      <c r="U139" s="14">
        <f>$E139/100*J246</f>
        <v>38904.544770541579</v>
      </c>
      <c r="V139" s="14">
        <f t="shared" si="17"/>
        <v>57336.513891119888</v>
      </c>
    </row>
    <row r="140" spans="1:23" ht="9.9499999999999993" customHeight="1" x14ac:dyDescent="0.15">
      <c r="A140" s="2" t="s">
        <v>99</v>
      </c>
      <c r="B140" s="80"/>
      <c r="C140" s="81"/>
      <c r="D140" s="81"/>
      <c r="E140" s="14">
        <f>U71</f>
        <v>0</v>
      </c>
      <c r="F140" s="82">
        <f t="shared" si="20"/>
        <v>0</v>
      </c>
      <c r="G140" s="84"/>
      <c r="H140" s="15"/>
      <c r="I140" s="88"/>
      <c r="J140" s="89"/>
      <c r="L140" s="2" t="s">
        <v>99</v>
      </c>
      <c r="M140" s="14">
        <f>$E$140*B237/100</f>
        <v>0</v>
      </c>
      <c r="N140" s="14">
        <f>$E$140*C237/100</f>
        <v>0</v>
      </c>
      <c r="O140" s="14">
        <f>$E$140*D237/100</f>
        <v>0</v>
      </c>
      <c r="P140" s="14">
        <f>$E$140*E237/100</f>
        <v>0</v>
      </c>
      <c r="Q140" s="14">
        <f>$E$140*F237/100</f>
        <v>0</v>
      </c>
      <c r="R140" s="14">
        <f>$E$140*G237/100</f>
        <v>0</v>
      </c>
      <c r="S140" s="14">
        <f>$E$140*H237/100</f>
        <v>0</v>
      </c>
      <c r="T140" s="14">
        <f>$E$140*I237/100</f>
        <v>0</v>
      </c>
      <c r="U140" s="14">
        <f>$E$140*J237/100</f>
        <v>0</v>
      </c>
      <c r="V140" s="14">
        <f t="shared" si="17"/>
        <v>0</v>
      </c>
    </row>
    <row r="141" spans="1:23" ht="9.9499999999999993" customHeight="1" x14ac:dyDescent="0.15">
      <c r="A141" s="2" t="s">
        <v>36</v>
      </c>
      <c r="B141" s="87" t="s">
        <v>152</v>
      </c>
      <c r="C141" s="81" t="s">
        <v>156</v>
      </c>
      <c r="D141" s="81"/>
      <c r="E141" s="14">
        <f>U72</f>
        <v>897972.08200320008</v>
      </c>
      <c r="F141" s="82">
        <f t="shared" si="20"/>
        <v>0.10340965048374572</v>
      </c>
      <c r="G141" s="84"/>
      <c r="H141" s="15"/>
      <c r="I141" s="88"/>
      <c r="J141" s="89"/>
      <c r="L141" s="2" t="s">
        <v>36</v>
      </c>
      <c r="M141" s="14">
        <f>$E141/100*B239</f>
        <v>18193.124725427504</v>
      </c>
      <c r="N141" s="14">
        <f>$E141/100*C239</f>
        <v>53367.653440347291</v>
      </c>
      <c r="O141" s="14">
        <f>$E141/100*D239</f>
        <v>117477.57207692038</v>
      </c>
      <c r="P141" s="14">
        <f>$E141/100*E239</f>
        <v>116253.17760338582</v>
      </c>
      <c r="Q141" s="14">
        <f>$E141/100*F239</f>
        <v>74481.831404018667</v>
      </c>
      <c r="R141" s="14">
        <f>$E141/100*G239</f>
        <v>107140.97735427289</v>
      </c>
      <c r="S141" s="14">
        <f>$E141/100*H239</f>
        <v>93369.709799809032</v>
      </c>
      <c r="T141" s="14">
        <f>$E141/100*I239</f>
        <v>47508.505312660491</v>
      </c>
      <c r="U141" s="14">
        <f>$E141/100*J239</f>
        <v>270179.53028635785</v>
      </c>
      <c r="V141" s="14">
        <f t="shared" si="17"/>
        <v>897972.08200319996</v>
      </c>
    </row>
    <row r="142" spans="1:23" ht="9.9499999999999993" customHeight="1" x14ac:dyDescent="0.15">
      <c r="A142" s="2" t="s">
        <v>37</v>
      </c>
      <c r="B142" s="87" t="s">
        <v>152</v>
      </c>
      <c r="C142" s="81" t="s">
        <v>157</v>
      </c>
      <c r="D142" s="81"/>
      <c r="E142" s="14">
        <f>U73</f>
        <v>5531.4505440000003</v>
      </c>
      <c r="F142" s="82">
        <f t="shared" si="20"/>
        <v>6.3699682750396089E-4</v>
      </c>
      <c r="G142" s="84"/>
      <c r="H142" s="15"/>
      <c r="I142" s="15"/>
      <c r="J142" s="89"/>
      <c r="L142" s="2" t="s">
        <v>37</v>
      </c>
      <c r="M142" s="14">
        <f>$E142/100*B240</f>
        <v>159.0590466252431</v>
      </c>
      <c r="N142" s="14">
        <f>$E142/100*C240</f>
        <v>519.0503448198624</v>
      </c>
      <c r="O142" s="14">
        <f>$E142/100*D240</f>
        <v>856.3639460698937</v>
      </c>
      <c r="P142" s="14">
        <f>$E142/100*E240</f>
        <v>1121.3890739089134</v>
      </c>
      <c r="Q142" s="14">
        <f>$E142/100*F240</f>
        <v>419.44550227104907</v>
      </c>
      <c r="R142" s="14">
        <f>$E142/100*G240</f>
        <v>765.57287348819784</v>
      </c>
      <c r="S142" s="14">
        <f>$E142/100*H240</f>
        <v>655.46355690184464</v>
      </c>
      <c r="T142" s="14">
        <f>$E142/100*I240</f>
        <v>133.61803756555565</v>
      </c>
      <c r="U142" s="14">
        <f>$E142/100*J240</f>
        <v>901.48816234944047</v>
      </c>
      <c r="V142" s="14">
        <f t="shared" si="17"/>
        <v>5531.4505440000003</v>
      </c>
    </row>
    <row r="143" spans="1:23" ht="9.9499999999999993" customHeight="1" x14ac:dyDescent="0.15">
      <c r="A143" s="2" t="s">
        <v>122</v>
      </c>
      <c r="B143" s="87" t="s">
        <v>152</v>
      </c>
      <c r="C143" s="81" t="s">
        <v>158</v>
      </c>
      <c r="D143" s="81"/>
      <c r="E143" s="14">
        <f>U86</f>
        <v>3414.6330900000003</v>
      </c>
      <c r="F143" s="82">
        <f t="shared" si="20"/>
        <v>3.9322604949969291E-4</v>
      </c>
      <c r="G143" s="90"/>
      <c r="J143" s="89"/>
      <c r="L143" s="2" t="s">
        <v>122</v>
      </c>
      <c r="M143" s="14">
        <f>$E143/100*B242</f>
        <v>0</v>
      </c>
      <c r="N143" s="14">
        <f>$E143/100*C242</f>
        <v>319</v>
      </c>
      <c r="O143" s="14">
        <f>$E143/100*D242</f>
        <v>319</v>
      </c>
      <c r="P143" s="14">
        <f>$E143/100*E242</f>
        <v>319</v>
      </c>
      <c r="Q143" s="14">
        <f>$E143/100*F242</f>
        <v>363.60742440000001</v>
      </c>
      <c r="R143" s="14">
        <f>$E143/100*G242</f>
        <v>319</v>
      </c>
      <c r="S143" s="14">
        <f>$E143/100*H242</f>
        <v>957.00000000000011</v>
      </c>
      <c r="T143" s="14">
        <f>$E143/100*I242</f>
        <v>499.02566560000008</v>
      </c>
      <c r="U143" s="14">
        <f>$E143/100*J242</f>
        <v>319</v>
      </c>
      <c r="V143" s="14">
        <f t="shared" si="17"/>
        <v>3414.6330900000003</v>
      </c>
    </row>
    <row r="144" spans="1:23" ht="9.9499999999999993" customHeight="1" x14ac:dyDescent="0.15">
      <c r="A144" s="2" t="s">
        <v>125</v>
      </c>
      <c r="B144" s="87" t="s">
        <v>152</v>
      </c>
      <c r="C144" s="81" t="s">
        <v>159</v>
      </c>
      <c r="D144" s="81"/>
      <c r="E144" s="14">
        <f>U87</f>
        <v>7411.0903567999994</v>
      </c>
      <c r="F144" s="82">
        <f t="shared" si="20"/>
        <v>8.534544434727929E-4</v>
      </c>
      <c r="G144" s="90"/>
      <c r="J144" s="89"/>
      <c r="L144" s="2" t="s">
        <v>125</v>
      </c>
      <c r="M144" s="14">
        <f>$E144/100*B243</f>
        <v>0</v>
      </c>
      <c r="N144" s="14">
        <f>$E144/100*C243</f>
        <v>693.68672630000015</v>
      </c>
      <c r="O144" s="14">
        <f>$E144/100*D243</f>
        <v>527.97792609999988</v>
      </c>
      <c r="P144" s="14">
        <f>$E144/100*E243</f>
        <v>573.09060269999986</v>
      </c>
      <c r="Q144" s="14">
        <f>$E144/100*F243</f>
        <v>569.3437533</v>
      </c>
      <c r="R144" s="14">
        <f>$E144/100*G243</f>
        <v>272.85496820000003</v>
      </c>
      <c r="S144" s="14">
        <f>$E144/100*H243</f>
        <v>1124.0530510999997</v>
      </c>
      <c r="T144" s="14">
        <f>$E144/100*I243</f>
        <v>2139.3026458999998</v>
      </c>
      <c r="U144" s="14">
        <f>$E144/100*J243</f>
        <v>1510.7806832000001</v>
      </c>
      <c r="V144" s="14">
        <f t="shared" si="17"/>
        <v>7411.0903567999994</v>
      </c>
    </row>
    <row r="145" spans="1:22" ht="9.9499999999999993" customHeight="1" x14ac:dyDescent="0.15">
      <c r="E145" s="14"/>
      <c r="F145" s="78"/>
      <c r="J145" s="89"/>
      <c r="M145" s="14"/>
      <c r="N145" s="14"/>
      <c r="O145" s="14"/>
      <c r="P145" s="14"/>
      <c r="Q145" s="14"/>
      <c r="R145" s="14"/>
      <c r="S145" s="14"/>
      <c r="T145" s="14"/>
      <c r="U145" s="14"/>
      <c r="V145" s="14"/>
    </row>
    <row r="146" spans="1:22" ht="9.9499999999999993" customHeight="1" x14ac:dyDescent="0.15">
      <c r="A146" s="2" t="s">
        <v>160</v>
      </c>
      <c r="E146" s="14">
        <f>SUM(E110:E144)</f>
        <v>8683639.0781955738</v>
      </c>
      <c r="F146" s="82">
        <f>SUM(F99:F144)</f>
        <v>0.98535658335693765</v>
      </c>
      <c r="J146" s="89"/>
      <c r="L146" s="2" t="s">
        <v>161</v>
      </c>
      <c r="M146" s="74">
        <f t="shared" ref="M146:U146" si="21">SUM(M110:M144)</f>
        <v>226267.2269769916</v>
      </c>
      <c r="N146" s="74">
        <f t="shared" si="21"/>
        <v>552284.16924531921</v>
      </c>
      <c r="O146" s="74">
        <f t="shared" si="21"/>
        <v>1425140.7460719754</v>
      </c>
      <c r="P146" s="74">
        <f t="shared" si="21"/>
        <v>1366814.3424892325</v>
      </c>
      <c r="Q146" s="74">
        <f t="shared" si="21"/>
        <v>603745.19489033252</v>
      </c>
      <c r="R146" s="74">
        <f t="shared" si="21"/>
        <v>1114709.955334476</v>
      </c>
      <c r="S146" s="74">
        <f t="shared" si="21"/>
        <v>754711.65920636663</v>
      </c>
      <c r="T146" s="74">
        <f t="shared" si="21"/>
        <v>404533.99575437175</v>
      </c>
      <c r="U146" s="74">
        <f t="shared" si="21"/>
        <v>2235431.788226509</v>
      </c>
      <c r="V146" s="74">
        <f>SUM(M146:U146)</f>
        <v>8683639.0781955738</v>
      </c>
    </row>
    <row r="147" spans="1:22" ht="9.9499999999999993" customHeight="1" x14ac:dyDescent="0.15">
      <c r="E147" s="14"/>
      <c r="F147" s="78"/>
      <c r="J147" s="89"/>
      <c r="L147" s="91"/>
      <c r="M147" s="91"/>
      <c r="N147" s="91"/>
      <c r="O147" s="91"/>
      <c r="P147" s="91"/>
      <c r="Q147" s="91"/>
      <c r="R147" s="91"/>
      <c r="S147" s="91"/>
      <c r="T147" s="91"/>
      <c r="U147" s="14"/>
      <c r="V147" s="14"/>
    </row>
    <row r="148" spans="1:22" ht="9.9499999999999993" customHeight="1" x14ac:dyDescent="0.15">
      <c r="E148" s="14"/>
      <c r="F148" s="82"/>
      <c r="J148" s="89"/>
      <c r="L148" s="2" t="s">
        <v>162</v>
      </c>
      <c r="M148" s="14">
        <f>M146-M117-M138-M139-M143-M144</f>
        <v>224230.44308622304</v>
      </c>
      <c r="N148" s="14">
        <f t="shared" ref="N148:U148" si="22">N146-N117-N138-N139-N143-N144</f>
        <v>545138.39844847994</v>
      </c>
      <c r="O148" s="14">
        <f t="shared" si="22"/>
        <v>1402470.8147254032</v>
      </c>
      <c r="P148" s="14">
        <f t="shared" si="22"/>
        <v>1348316.097743521</v>
      </c>
      <c r="Q148" s="14">
        <f t="shared" si="22"/>
        <v>593407.24290530954</v>
      </c>
      <c r="R148" s="14">
        <f t="shared" si="22"/>
        <v>1101846.4300215514</v>
      </c>
      <c r="S148" s="14">
        <f t="shared" si="22"/>
        <v>745777.64954242518</v>
      </c>
      <c r="T148" s="14">
        <f t="shared" si="22"/>
        <v>396786.46403983416</v>
      </c>
      <c r="U148" s="14">
        <f t="shared" si="22"/>
        <v>2186933.2197508276</v>
      </c>
      <c r="V148" s="14">
        <f>SUM(M148:U148)</f>
        <v>8544906.7602635752</v>
      </c>
    </row>
    <row r="149" spans="1:22" ht="9.9499999999999993" customHeight="1" x14ac:dyDescent="0.15">
      <c r="F149" s="89"/>
      <c r="I149" s="89"/>
      <c r="L149" s="92">
        <v>7.5999999999999998E-2</v>
      </c>
      <c r="M149" s="14">
        <f>M$148*$L149</f>
        <v>17041.513674552949</v>
      </c>
      <c r="N149" s="14">
        <f t="shared" ref="N149:U150" si="23">N$148*$L149</f>
        <v>41430.518282084471</v>
      </c>
      <c r="O149" s="14">
        <f t="shared" si="23"/>
        <v>106587.78191913065</v>
      </c>
      <c r="P149" s="14">
        <f t="shared" si="23"/>
        <v>102472.02342850759</v>
      </c>
      <c r="Q149" s="14">
        <f t="shared" si="23"/>
        <v>45098.95046080352</v>
      </c>
      <c r="R149" s="14">
        <f t="shared" si="23"/>
        <v>83740.328681637911</v>
      </c>
      <c r="S149" s="14">
        <f t="shared" si="23"/>
        <v>56679.101365224313</v>
      </c>
      <c r="T149" s="14">
        <f t="shared" si="23"/>
        <v>30155.771267027394</v>
      </c>
      <c r="U149" s="14">
        <f t="shared" si="23"/>
        <v>166206.9247010629</v>
      </c>
      <c r="V149" s="14">
        <f>SUM(M149:U149)</f>
        <v>649412.91378003173</v>
      </c>
    </row>
    <row r="150" spans="1:22" ht="9.9499999999999993" customHeight="1" x14ac:dyDescent="0.15">
      <c r="F150" s="89"/>
      <c r="I150" s="89"/>
      <c r="L150" s="92">
        <v>0.127</v>
      </c>
      <c r="M150" s="14">
        <f>M$148*$L150</f>
        <v>28477.266271950328</v>
      </c>
      <c r="N150" s="14">
        <f t="shared" si="23"/>
        <v>69232.57660295695</v>
      </c>
      <c r="O150" s="14">
        <f t="shared" si="23"/>
        <v>178113.7934701262</v>
      </c>
      <c r="P150" s="14">
        <f t="shared" si="23"/>
        <v>171236.14441342716</v>
      </c>
      <c r="Q150" s="14">
        <f t="shared" si="23"/>
        <v>75362.719848974317</v>
      </c>
      <c r="R150" s="14">
        <f t="shared" si="23"/>
        <v>139934.49661273704</v>
      </c>
      <c r="S150" s="14">
        <f t="shared" si="23"/>
        <v>94713.761491887999</v>
      </c>
      <c r="T150" s="14">
        <f t="shared" si="23"/>
        <v>50391.880933058936</v>
      </c>
      <c r="U150" s="14">
        <f t="shared" si="23"/>
        <v>277740.51890835509</v>
      </c>
      <c r="V150" s="14">
        <f>SUM(M150:U150)</f>
        <v>1085203.1585534739</v>
      </c>
    </row>
    <row r="151" spans="1:22" ht="9.9499999999999993" customHeight="1" x14ac:dyDescent="0.15">
      <c r="F151" s="89"/>
      <c r="I151" s="89"/>
      <c r="L151" s="92" t="s">
        <v>163</v>
      </c>
      <c r="M151" s="14">
        <v>-70.570303896532948</v>
      </c>
      <c r="N151" s="14">
        <v>-170.2553517525846</v>
      </c>
      <c r="O151" s="14">
        <v>-443.71172753492084</v>
      </c>
      <c r="P151" s="14">
        <v>-423.98558288867883</v>
      </c>
      <c r="Q151" s="14">
        <v>-186.11960362225125</v>
      </c>
      <c r="R151" s="14">
        <v>-345.61231847766413</v>
      </c>
      <c r="S151" s="14">
        <v>-234.57507331554217</v>
      </c>
      <c r="T151" s="14">
        <v>-125.17003851182518</v>
      </c>
      <c r="U151" s="74">
        <v>0</v>
      </c>
      <c r="V151" s="14">
        <v>-2000</v>
      </c>
    </row>
    <row r="152" spans="1:22" ht="9.9499999999999993" customHeight="1" x14ac:dyDescent="0.15">
      <c r="F152" s="89"/>
      <c r="J152" s="89"/>
      <c r="L152" s="79" t="s">
        <v>147</v>
      </c>
      <c r="M152" s="14">
        <f>-B232</f>
        <v>-6376</v>
      </c>
      <c r="N152" s="14">
        <f t="shared" ref="N152:U152" si="24">-C232</f>
        <v>-12324.5</v>
      </c>
      <c r="O152" s="14">
        <f t="shared" si="24"/>
        <v>-35492</v>
      </c>
      <c r="P152" s="14">
        <f t="shared" si="24"/>
        <v>-19788.580000000002</v>
      </c>
      <c r="Q152" s="14">
        <f t="shared" si="24"/>
        <v>-9267.5</v>
      </c>
      <c r="R152" s="14">
        <f t="shared" si="24"/>
        <v>-27473.764999999999</v>
      </c>
      <c r="S152" s="14">
        <f t="shared" si="24"/>
        <v>-10549</v>
      </c>
      <c r="T152" s="14">
        <f t="shared" si="24"/>
        <v>-5886.8</v>
      </c>
      <c r="U152" s="14">
        <f t="shared" si="24"/>
        <v>0</v>
      </c>
      <c r="V152" s="14">
        <f>SUM(M152:U152)</f>
        <v>-127158.145</v>
      </c>
    </row>
    <row r="153" spans="1:22" ht="9.9499999999999993" customHeight="1" x14ac:dyDescent="0.15">
      <c r="F153" s="89"/>
      <c r="J153" s="89"/>
      <c r="M153" s="14"/>
      <c r="N153" s="14"/>
      <c r="O153" s="14"/>
      <c r="P153" s="14"/>
      <c r="Q153" s="14"/>
      <c r="R153" s="14"/>
      <c r="S153" s="14"/>
      <c r="T153" s="14"/>
      <c r="U153" s="14"/>
      <c r="V153" s="14"/>
    </row>
    <row r="154" spans="1:22" ht="9.9499999999999993" customHeight="1" x14ac:dyDescent="0.15">
      <c r="F154" s="89"/>
      <c r="J154" s="89"/>
      <c r="K154" s="74"/>
      <c r="L154" s="2" t="s">
        <v>164</v>
      </c>
      <c r="M154" s="93">
        <f t="shared" ref="M154:U154" si="25">M146+M151+M152</f>
        <v>219820.65667309507</v>
      </c>
      <c r="N154" s="93">
        <f t="shared" si="25"/>
        <v>539789.41389356658</v>
      </c>
      <c r="O154" s="93">
        <f t="shared" si="25"/>
        <v>1389205.0343444406</v>
      </c>
      <c r="P154" s="93">
        <f t="shared" si="25"/>
        <v>1346601.7769063439</v>
      </c>
      <c r="Q154" s="93">
        <f t="shared" si="25"/>
        <v>594291.57528671029</v>
      </c>
      <c r="R154" s="93">
        <f t="shared" si="25"/>
        <v>1086890.5780159985</v>
      </c>
      <c r="S154" s="93">
        <f t="shared" si="25"/>
        <v>743928.0841330511</v>
      </c>
      <c r="T154" s="93">
        <f t="shared" si="25"/>
        <v>398522.02571585996</v>
      </c>
      <c r="U154" s="93">
        <f t="shared" si="25"/>
        <v>2235431.788226509</v>
      </c>
      <c r="V154" s="74">
        <f>SUM(M154:U154)</f>
        <v>8554480.9331955742</v>
      </c>
    </row>
    <row r="155" spans="1:22" ht="9.9499999999999993" customHeight="1" x14ac:dyDescent="0.15">
      <c r="F155" s="89"/>
      <c r="J155" s="89"/>
      <c r="K155" s="74"/>
    </row>
    <row r="156" spans="1:22" ht="9.9499999999999993" customHeight="1" x14ac:dyDescent="0.15">
      <c r="F156" s="89"/>
      <c r="J156" s="89"/>
      <c r="L156" s="74"/>
      <c r="M156" s="74"/>
      <c r="N156" s="74"/>
      <c r="O156" s="74"/>
      <c r="P156" s="74"/>
      <c r="Q156" s="74"/>
      <c r="R156" s="74"/>
      <c r="S156" s="74"/>
      <c r="T156" s="74"/>
    </row>
    <row r="157" spans="1:22" ht="9.9499999999999993" customHeight="1" x14ac:dyDescent="0.15">
      <c r="E157" s="89"/>
      <c r="J157" s="89"/>
      <c r="L157" s="74"/>
      <c r="M157" s="74"/>
      <c r="N157" s="74"/>
      <c r="O157" s="74"/>
      <c r="P157" s="74"/>
      <c r="Q157" s="74"/>
      <c r="R157" s="74"/>
      <c r="S157" s="74"/>
      <c r="T157" s="74"/>
    </row>
    <row r="158" spans="1:22" ht="9.9499999999999993" customHeight="1" x14ac:dyDescent="0.15">
      <c r="F158" s="89"/>
      <c r="J158" s="89"/>
      <c r="L158" s="1" t="s">
        <v>165</v>
      </c>
      <c r="M158" s="14"/>
      <c r="N158" s="14"/>
      <c r="O158" s="14"/>
      <c r="P158" s="14"/>
      <c r="Q158" s="14"/>
      <c r="R158" s="14"/>
      <c r="S158" s="14"/>
      <c r="T158" s="14"/>
      <c r="U158" s="14"/>
    </row>
    <row r="159" spans="1:22" ht="9.9499999999999993" customHeight="1" x14ac:dyDescent="0.2">
      <c r="F159" s="89"/>
      <c r="G159" s="77"/>
      <c r="H159" s="94"/>
      <c r="I159" s="94"/>
      <c r="J159" s="94"/>
      <c r="L159" s="14"/>
      <c r="M159" s="14"/>
      <c r="N159" s="14"/>
      <c r="O159" s="14"/>
      <c r="P159" s="14"/>
      <c r="Q159" s="14"/>
      <c r="R159" s="14"/>
      <c r="S159" s="14"/>
      <c r="T159" s="14"/>
      <c r="U159" s="14"/>
    </row>
    <row r="160" spans="1:22" ht="9.9499999999999993" customHeight="1" x14ac:dyDescent="0.15">
      <c r="A160" s="1" t="s">
        <v>165</v>
      </c>
      <c r="F160" s="89"/>
      <c r="G160" s="16"/>
      <c r="H160" s="77"/>
      <c r="I160" s="77"/>
      <c r="J160" s="78"/>
      <c r="M160" s="20" t="s">
        <v>130</v>
      </c>
      <c r="N160" s="20" t="s">
        <v>131</v>
      </c>
      <c r="O160" s="20" t="s">
        <v>132</v>
      </c>
      <c r="P160" s="20" t="s">
        <v>133</v>
      </c>
      <c r="Q160" s="20" t="s">
        <v>134</v>
      </c>
      <c r="R160" s="20" t="s">
        <v>135</v>
      </c>
      <c r="S160" s="20" t="s">
        <v>136</v>
      </c>
      <c r="T160" s="20" t="s">
        <v>137</v>
      </c>
      <c r="U160" s="20" t="s">
        <v>138</v>
      </c>
      <c r="V160" s="51" t="s">
        <v>52</v>
      </c>
    </row>
    <row r="161" spans="1:22" ht="9.9499999999999993" customHeight="1" x14ac:dyDescent="0.15">
      <c r="D161" s="79" t="s">
        <v>166</v>
      </c>
      <c r="E161" s="112" t="s">
        <v>139</v>
      </c>
      <c r="F161" s="78" t="s">
        <v>140</v>
      </c>
      <c r="G161" s="16"/>
      <c r="I161" s="14"/>
      <c r="J161" s="83"/>
      <c r="L161" s="79" t="s">
        <v>167</v>
      </c>
    </row>
    <row r="162" spans="1:22" ht="9.9499999999999993" customHeight="1" x14ac:dyDescent="0.15">
      <c r="A162" s="2" t="s">
        <v>141</v>
      </c>
      <c r="B162" s="80">
        <v>0.77017000000000002</v>
      </c>
      <c r="C162" s="81" t="s">
        <v>142</v>
      </c>
      <c r="D162" s="113">
        <v>-1780500</v>
      </c>
      <c r="E162" s="113">
        <f>(T89-T60-T61-T63-T66-T68-T70-T71-T72-T73-T86-T87)*B162+D162</f>
        <v>8383343.3870365098</v>
      </c>
      <c r="F162" s="82">
        <f>E162/$E$208</f>
        <v>0.61068755241036665</v>
      </c>
      <c r="G162" s="16"/>
      <c r="J162" s="83"/>
      <c r="L162" s="79" t="s">
        <v>142</v>
      </c>
      <c r="M162" s="14">
        <f>$E162/100*B237</f>
        <v>284638.9343271922</v>
      </c>
      <c r="N162" s="14">
        <f>$E162/100*C237</f>
        <v>558035.63600101101</v>
      </c>
      <c r="O162" s="14">
        <f>$E162/100*D237</f>
        <v>1610155.6500094063</v>
      </c>
      <c r="P162" s="14">
        <f>$E162/100*E237</f>
        <v>1411716.497061183</v>
      </c>
      <c r="Q162" s="14">
        <f>$E162/100*F237</f>
        <v>530467.42209111596</v>
      </c>
      <c r="R162" s="14">
        <f>$E162/100*G237</f>
        <v>1208787.4493289399</v>
      </c>
      <c r="S162" s="14">
        <f>$E162/100*H237</f>
        <v>707398.86929705192</v>
      </c>
      <c r="T162" s="14">
        <f>$E162/100*I237</f>
        <v>369293.0961701792</v>
      </c>
      <c r="U162" s="14">
        <f>$E162/100*J237</f>
        <v>1702849.8327504303</v>
      </c>
      <c r="V162" s="14">
        <f>SUM(M162:U162)</f>
        <v>8383343.3870365098</v>
      </c>
    </row>
    <row r="163" spans="1:22" ht="9.9499999999999993" customHeight="1" x14ac:dyDescent="0.15">
      <c r="A163" s="91" t="s">
        <v>168</v>
      </c>
      <c r="B163" s="80">
        <v>0.22983000000000001</v>
      </c>
      <c r="C163" s="81" t="s">
        <v>144</v>
      </c>
      <c r="D163" s="113">
        <v>1780500</v>
      </c>
      <c r="E163" s="113">
        <f>(T89-T60-T61-T63-T66-T68-T70-T71-T72-T73-T86-T87)*B163-E164+D163</f>
        <v>4599664.9499839637</v>
      </c>
      <c r="F163" s="82">
        <f>E163/$E$208</f>
        <v>0.33506418627168005</v>
      </c>
      <c r="G163" s="16"/>
      <c r="J163" s="83"/>
      <c r="L163" s="95" t="s">
        <v>144</v>
      </c>
      <c r="M163" s="14">
        <f>$E163/100*B249</f>
        <v>149489.11087447882</v>
      </c>
      <c r="N163" s="14">
        <f>$E163/100*C249</f>
        <v>316502.94520839653</v>
      </c>
      <c r="O163" s="14">
        <f>$E163/100*D249</f>
        <v>823248.0327481298</v>
      </c>
      <c r="P163" s="14">
        <f>$E163/100*E249</f>
        <v>728080.96493296162</v>
      </c>
      <c r="Q163" s="14">
        <f>$E163/100*F249</f>
        <v>320872.62691088131</v>
      </c>
      <c r="R163" s="14">
        <f>$E163/100*G249</f>
        <v>632177.95072579605</v>
      </c>
      <c r="S163" s="14">
        <f>$E163/100*H249</f>
        <v>405368.47204208677</v>
      </c>
      <c r="T163" s="14">
        <f>$E163/100*I249</f>
        <v>226441.50548771053</v>
      </c>
      <c r="U163" s="14">
        <f>$E163/100*J249</f>
        <v>997483.34105352242</v>
      </c>
      <c r="V163" s="14">
        <f>SUM(M163:U163)</f>
        <v>4599664.9499839647</v>
      </c>
    </row>
    <row r="164" spans="1:22" ht="9.9499999999999993" customHeight="1" x14ac:dyDescent="0.15">
      <c r="A164" s="2" t="s">
        <v>169</v>
      </c>
      <c r="B164" s="85">
        <v>9.4900000000000002E-3</v>
      </c>
      <c r="C164" s="2" t="s">
        <v>145</v>
      </c>
      <c r="E164" s="14">
        <f>D17*B164</f>
        <v>213874.6719730075</v>
      </c>
      <c r="F164" s="82">
        <f>E164/$E$208</f>
        <v>1.557977455053723E-2</v>
      </c>
      <c r="G164" s="16"/>
      <c r="J164" s="83"/>
      <c r="L164" s="79" t="s">
        <v>170</v>
      </c>
      <c r="M164" s="14">
        <f>$E164/100*B244</f>
        <v>5500.8565631457514</v>
      </c>
      <c r="N164" s="14">
        <f>$E164/100*C244</f>
        <v>14750.936125978324</v>
      </c>
      <c r="O164" s="14">
        <f>$E164/100*D244</f>
        <v>30907.028846819307</v>
      </c>
      <c r="P164" s="14">
        <f>$E164/100*E244</f>
        <v>29283.720086544181</v>
      </c>
      <c r="Q164" s="14">
        <f>$E164/100*F244</f>
        <v>13750.002661144648</v>
      </c>
      <c r="R164" s="14">
        <f>$E164/100*G244</f>
        <v>27555.61273700228</v>
      </c>
      <c r="S164" s="14">
        <f>$E164/100*H244</f>
        <v>17071.476316885455</v>
      </c>
      <c r="T164" s="14">
        <f>$E164/100*I244</f>
        <v>7949.7215572366867</v>
      </c>
      <c r="U164" s="14">
        <f>$E164/100*J244</f>
        <v>67105.31707825081</v>
      </c>
      <c r="V164" s="14">
        <f>SUM(M164:U164)</f>
        <v>213874.67197300744</v>
      </c>
    </row>
    <row r="165" spans="1:22" ht="9.9499999999999993" customHeight="1" x14ac:dyDescent="0.15">
      <c r="B165" s="85"/>
      <c r="C165" s="2" t="s">
        <v>77</v>
      </c>
      <c r="E165" s="14">
        <f>T60</f>
        <v>79005</v>
      </c>
      <c r="F165" s="82">
        <f>E165/$E$208</f>
        <v>5.7551465865978728E-3</v>
      </c>
      <c r="G165" s="16"/>
      <c r="J165" s="83"/>
      <c r="L165" s="79" t="s">
        <v>77</v>
      </c>
      <c r="M165" s="14">
        <f>B231</f>
        <v>841</v>
      </c>
      <c r="N165" s="14">
        <f t="shared" ref="N165:U165" si="26">C231</f>
        <v>2231</v>
      </c>
      <c r="O165" s="14">
        <f t="shared" si="26"/>
        <v>26585</v>
      </c>
      <c r="P165" s="14">
        <f t="shared" si="26"/>
        <v>2045</v>
      </c>
      <c r="Q165" s="14">
        <f t="shared" si="26"/>
        <v>1832</v>
      </c>
      <c r="R165" s="14">
        <f t="shared" si="26"/>
        <v>3085</v>
      </c>
      <c r="S165" s="14">
        <f t="shared" si="26"/>
        <v>1825</v>
      </c>
      <c r="T165" s="14">
        <f t="shared" si="26"/>
        <v>1449</v>
      </c>
      <c r="U165" s="14">
        <f t="shared" si="26"/>
        <v>39112</v>
      </c>
      <c r="V165" s="14">
        <f>SUM(M165:U165)</f>
        <v>79005</v>
      </c>
    </row>
    <row r="166" spans="1:22" ht="9.9499999999999993" customHeight="1" x14ac:dyDescent="0.15">
      <c r="B166" s="85"/>
      <c r="C166" s="2" t="s">
        <v>80</v>
      </c>
      <c r="E166" s="14">
        <f>T61</f>
        <v>-244655.85499999998</v>
      </c>
      <c r="F166" s="82">
        <f>E166/$E$208</f>
        <v>-1.7822040488506222E-2</v>
      </c>
      <c r="G166" s="16"/>
      <c r="J166" s="83"/>
      <c r="L166" s="79" t="s">
        <v>171</v>
      </c>
      <c r="M166" s="14">
        <f>-B233</f>
        <v>-6376</v>
      </c>
      <c r="N166" s="14">
        <f t="shared" ref="N166:U166" si="27">-C233</f>
        <v>-12324.5</v>
      </c>
      <c r="O166" s="14">
        <f t="shared" si="27"/>
        <v>-37304</v>
      </c>
      <c r="P166" s="14">
        <f t="shared" si="27"/>
        <v>-37457.42</v>
      </c>
      <c r="Q166" s="14">
        <f t="shared" si="27"/>
        <v>-9267.5</v>
      </c>
      <c r="R166" s="14">
        <f t="shared" si="27"/>
        <v>-38818.235000000001</v>
      </c>
      <c r="S166" s="14">
        <f t="shared" si="27"/>
        <v>-19591</v>
      </c>
      <c r="T166" s="14">
        <f t="shared" si="27"/>
        <v>-8830.2000000000007</v>
      </c>
      <c r="U166" s="14">
        <f t="shared" si="27"/>
        <v>-74687</v>
      </c>
      <c r="V166" s="14">
        <f>SUM(M166:U166)</f>
        <v>-244655.85500000001</v>
      </c>
    </row>
    <row r="167" spans="1:22" ht="9.9499999999999993" customHeight="1" x14ac:dyDescent="0.15">
      <c r="B167" s="80"/>
      <c r="D167" s="14"/>
      <c r="E167" s="14"/>
      <c r="F167" s="82"/>
      <c r="G167" s="16"/>
      <c r="J167" s="83"/>
      <c r="M167" s="14"/>
      <c r="N167" s="14"/>
      <c r="O167" s="14"/>
      <c r="P167" s="14"/>
      <c r="Q167" s="14"/>
      <c r="R167" s="14"/>
      <c r="S167" s="14"/>
      <c r="T167" s="14"/>
      <c r="U167" s="14"/>
      <c r="V167" s="14"/>
    </row>
    <row r="168" spans="1:22" ht="9.9499999999999993" customHeight="1" x14ac:dyDescent="0.15">
      <c r="B168" s="96"/>
      <c r="E168" s="14"/>
      <c r="F168" s="82"/>
      <c r="G168" s="16"/>
      <c r="J168" s="83"/>
      <c r="L168" s="2" t="s">
        <v>52</v>
      </c>
      <c r="M168" s="14">
        <f>SUM(M162:M167)</f>
        <v>434093.90176481678</v>
      </c>
      <c r="N168" s="14">
        <f t="shared" ref="N168:U168" si="28">SUM(N162:N167)</f>
        <v>879196.0173353859</v>
      </c>
      <c r="O168" s="14">
        <f t="shared" si="28"/>
        <v>2453591.7116043554</v>
      </c>
      <c r="P168" s="14">
        <f t="shared" si="28"/>
        <v>2133668.762080689</v>
      </c>
      <c r="Q168" s="14">
        <f t="shared" si="28"/>
        <v>857654.55166314193</v>
      </c>
      <c r="R168" s="14">
        <f t="shared" si="28"/>
        <v>1832787.7777917383</v>
      </c>
      <c r="S168" s="14">
        <f t="shared" si="28"/>
        <v>1112072.8176560244</v>
      </c>
      <c r="T168" s="14">
        <f t="shared" si="28"/>
        <v>596303.12321512657</v>
      </c>
      <c r="U168" s="14">
        <f t="shared" si="28"/>
        <v>2731863.4908822034</v>
      </c>
      <c r="V168" s="14">
        <f>SUM(M168:U168)</f>
        <v>13031232.153993482</v>
      </c>
    </row>
    <row r="169" spans="1:22" ht="9.9499999999999993" customHeight="1" x14ac:dyDescent="0.2">
      <c r="A169" s="103"/>
      <c r="B169" s="97"/>
      <c r="E169" s="14"/>
      <c r="F169" s="82"/>
      <c r="G169" s="16"/>
      <c r="J169" s="83"/>
      <c r="L169" s="103"/>
      <c r="M169" s="14"/>
      <c r="N169" s="14"/>
      <c r="O169" s="14"/>
      <c r="P169" s="14"/>
      <c r="Q169" s="14"/>
      <c r="R169" s="14"/>
      <c r="S169" s="14"/>
      <c r="T169" s="14"/>
      <c r="U169" s="14"/>
      <c r="V169" s="14"/>
    </row>
    <row r="170" spans="1:22" ht="9.9499999999999993" customHeight="1" x14ac:dyDescent="0.15">
      <c r="A170" s="1" t="s">
        <v>148</v>
      </c>
      <c r="B170" s="80"/>
      <c r="E170" s="14"/>
      <c r="F170" s="82"/>
      <c r="G170" s="16"/>
      <c r="I170" s="14"/>
      <c r="J170" s="83"/>
      <c r="L170" s="1" t="s">
        <v>148</v>
      </c>
      <c r="M170" s="20" t="s">
        <v>130</v>
      </c>
      <c r="N170" s="20" t="s">
        <v>131</v>
      </c>
      <c r="O170" s="20" t="s">
        <v>132</v>
      </c>
      <c r="P170" s="20" t="s">
        <v>133</v>
      </c>
      <c r="Q170" s="20" t="s">
        <v>134</v>
      </c>
      <c r="R170" s="20" t="s">
        <v>135</v>
      </c>
      <c r="S170" s="20" t="s">
        <v>136</v>
      </c>
      <c r="T170" s="20" t="s">
        <v>137</v>
      </c>
      <c r="U170" s="20" t="s">
        <v>138</v>
      </c>
      <c r="V170" s="51" t="s">
        <v>52</v>
      </c>
    </row>
    <row r="171" spans="1:22" ht="9.9499999999999993" customHeight="1" x14ac:dyDescent="0.15">
      <c r="B171" s="80"/>
      <c r="E171" s="14"/>
      <c r="F171" s="82"/>
      <c r="G171" s="16"/>
      <c r="I171" s="14"/>
      <c r="J171" s="83"/>
      <c r="M171" s="14"/>
      <c r="N171" s="14"/>
      <c r="O171" s="14"/>
      <c r="P171" s="14"/>
      <c r="Q171" s="14"/>
      <c r="R171" s="14"/>
      <c r="S171" s="14"/>
      <c r="T171" s="14"/>
      <c r="U171" s="14"/>
      <c r="V171" s="14"/>
    </row>
    <row r="172" spans="1:22" ht="9.9499999999999993" customHeight="1" x14ac:dyDescent="0.15">
      <c r="A172" s="2" t="s">
        <v>10</v>
      </c>
      <c r="B172" s="80"/>
      <c r="E172" s="14">
        <f t="shared" ref="E172:E181" si="29">T53</f>
        <v>470678.3943316362</v>
      </c>
      <c r="F172" s="82"/>
      <c r="G172" s="16"/>
      <c r="I172" s="82"/>
      <c r="J172" s="83"/>
      <c r="L172" s="2" t="s">
        <v>10</v>
      </c>
      <c r="M172" s="14">
        <f>$E172*$B$162*B$237/100+$E172*$B$163*B$249/100</f>
        <v>15823.732479360651</v>
      </c>
      <c r="N172" s="14">
        <f>$E172*$B$162*C$237/100+$E172*$B$163*C$249/100</f>
        <v>31573.492571986637</v>
      </c>
      <c r="O172" s="14">
        <f>$E172*$B$162*D$237/100+$E172*$B$163*D$249/100</f>
        <v>88985.743267975602</v>
      </c>
      <c r="P172" s="14">
        <f>$E172*$B$162*E$237/100+$E172*$B$163*E$249/100</f>
        <v>78166.916052067521</v>
      </c>
      <c r="Q172" s="14">
        <f>$E172*$B$162*F$237/100+$E172*$B$163*F$249/100</f>
        <v>30484.188477480049</v>
      </c>
      <c r="R172" s="14">
        <f>$E172*$B$162*G$237/100+$E172*$B$163*G$249/100</f>
        <v>67136.634082614168</v>
      </c>
      <c r="S172" s="14">
        <f>$E172*$B$162*H$237/100+$E172*$B$163*H$249/100</f>
        <v>40122.037180965337</v>
      </c>
      <c r="T172" s="14">
        <f>$E172*$B$162*I$237/100+$E172*$B$163*I$249/100</f>
        <v>21294.0299308549</v>
      </c>
      <c r="U172" s="14">
        <f>$E172*$B$162*J$237/100+$E172*$B$163*J$249/100</f>
        <v>97091.620288331324</v>
      </c>
      <c r="V172" s="14">
        <f t="shared" ref="V172:V206" si="30">SUM(M172:U172)</f>
        <v>470678.39433163626</v>
      </c>
    </row>
    <row r="173" spans="1:22" ht="9.9499999999999993" customHeight="1" x14ac:dyDescent="0.15">
      <c r="A173" s="2" t="s">
        <v>12</v>
      </c>
      <c r="B173" s="80"/>
      <c r="E173" s="14">
        <f t="shared" si="29"/>
        <v>4500619.8649894902</v>
      </c>
      <c r="F173" s="82"/>
      <c r="G173" s="16"/>
      <c r="I173" s="82"/>
      <c r="J173" s="83"/>
      <c r="L173" s="2" t="s">
        <v>12</v>
      </c>
      <c r="M173" s="14">
        <f>$E173*$B$162*B$237/100+$E173*$B$163*B$249/100</f>
        <v>151306.29659773869</v>
      </c>
      <c r="N173" s="14">
        <f>$E173*$B$162*C$237/100+$E173*$B$163*C$249/100</f>
        <v>301905.27032447222</v>
      </c>
      <c r="O173" s="14">
        <f>$E173*$B$162*D$237/100+$E173*$B$163*D$249/100</f>
        <v>850880.36475819862</v>
      </c>
      <c r="P173" s="14">
        <f>$E173*$B$162*E$237/100+$E173*$B$163*E$249/100</f>
        <v>747430.89847677562</v>
      </c>
      <c r="Q173" s="14">
        <f>$E173*$B$162*F$237/100+$E173*$B$163*F$249/100</f>
        <v>291489.36063796043</v>
      </c>
      <c r="R173" s="14">
        <f>$E173*$B$162*G$237/100+$E173*$B$163*G$249/100</f>
        <v>641959.50496050774</v>
      </c>
      <c r="S173" s="14">
        <f>$E173*$B$162*H$237/100+$E173*$B$163*H$249/100</f>
        <v>383646.32780077972</v>
      </c>
      <c r="T173" s="14">
        <f>$E173*$B$162*I$237/100+$E173*$B$163*I$249/100</f>
        <v>203613.20015246086</v>
      </c>
      <c r="U173" s="14">
        <f>$E173*$B$162*J$237/100+$E173*$B$163*J$249/100</f>
        <v>928388.64128059661</v>
      </c>
      <c r="V173" s="14">
        <f t="shared" si="30"/>
        <v>4500619.8649894902</v>
      </c>
    </row>
    <row r="174" spans="1:22" ht="9.9499999999999993" customHeight="1" x14ac:dyDescent="0.15">
      <c r="A174" s="2" t="s">
        <v>14</v>
      </c>
      <c r="B174" s="80"/>
      <c r="E174" s="14">
        <f t="shared" si="29"/>
        <v>232865.90335331621</v>
      </c>
      <c r="F174" s="82"/>
      <c r="G174" s="16"/>
      <c r="I174" s="82"/>
      <c r="J174" s="83"/>
      <c r="L174" s="2" t="s">
        <v>14</v>
      </c>
      <c r="M174" s="14">
        <f>$E174*$B$162*B$237/100+$E174*$B$163*B$249/100</f>
        <v>7828.7165984322673</v>
      </c>
      <c r="N174" s="14">
        <f>$E174*$B$162*C$237/100+$E174*$B$163*C$249/100</f>
        <v>15620.835709349456</v>
      </c>
      <c r="O174" s="14">
        <f>$E174*$B$162*D$237/100+$E174*$B$163*D$249/100</f>
        <v>44025.27445749515</v>
      </c>
      <c r="P174" s="14">
        <f>$E174*$B$162*E$237/100+$E174*$B$163*E$249/100</f>
        <v>38672.711001861426</v>
      </c>
      <c r="Q174" s="14">
        <f>$E174*$B$162*F$237/100+$E174*$B$163*F$249/100</f>
        <v>15081.907674732651</v>
      </c>
      <c r="R174" s="14">
        <f>$E174*$B$162*G$237/100+$E174*$B$163*G$249/100</f>
        <v>33215.531309757796</v>
      </c>
      <c r="S174" s="14">
        <f>$E174*$B$162*H$237/100+$E174*$B$163*H$249/100</f>
        <v>19850.187612261198</v>
      </c>
      <c r="T174" s="14">
        <f>$E174*$B$162*I$237/100+$E174*$B$163*I$249/100</f>
        <v>10535.120319092557</v>
      </c>
      <c r="U174" s="14">
        <f>$E174*$B$162*J$237/100+$E174*$B$163*J$249/100</f>
        <v>48035.618670333708</v>
      </c>
      <c r="V174" s="14">
        <f t="shared" si="30"/>
        <v>232865.90335331619</v>
      </c>
    </row>
    <row r="175" spans="1:22" ht="9.9499999999999993" customHeight="1" x14ac:dyDescent="0.15">
      <c r="A175" s="2" t="s">
        <v>15</v>
      </c>
      <c r="B175" s="80"/>
      <c r="E175" s="14">
        <f t="shared" si="29"/>
        <v>263535.70458922989</v>
      </c>
      <c r="F175" s="82"/>
      <c r="G175" s="16"/>
      <c r="I175" s="82"/>
      <c r="J175" s="83"/>
      <c r="L175" s="2" t="s">
        <v>15</v>
      </c>
      <c r="M175" s="14">
        <f>$E175*$B$162*B$237/100+$E175*$B$163*B$249/100</f>
        <v>8859.8043555862896</v>
      </c>
      <c r="N175" s="14">
        <f>$E175*$B$162*C$237/100+$E175*$B$163*C$249/100</f>
        <v>17678.191120535237</v>
      </c>
      <c r="O175" s="14">
        <f>$E175*$B$162*D$237/100+$E175*$B$163*D$249/100</f>
        <v>49823.66055663678</v>
      </c>
      <c r="P175" s="14">
        <f>$E175*$B$162*E$237/100+$E175*$B$163*E$249/100</f>
        <v>43766.133192921465</v>
      </c>
      <c r="Q175" s="14">
        <f>$E175*$B$162*F$237/100+$E175*$B$163*F$249/100</f>
        <v>17068.28311219046</v>
      </c>
      <c r="R175" s="14">
        <f>$E175*$B$162*G$237/100+$E175*$B$163*G$249/100</f>
        <v>37590.211022613366</v>
      </c>
      <c r="S175" s="14">
        <f>$E175*$B$162*H$237/100+$E175*$B$163*H$249/100</f>
        <v>22464.573401665246</v>
      </c>
      <c r="T175" s="14">
        <f>$E175*$B$162*I$237/100+$E175*$B$163*I$249/100</f>
        <v>11922.65727289367</v>
      </c>
      <c r="U175" s="14">
        <f>$E175*$B$162*J$237/100+$E175*$B$163*J$249/100</f>
        <v>54362.190554187393</v>
      </c>
      <c r="V175" s="14">
        <f t="shared" si="30"/>
        <v>263535.70458922989</v>
      </c>
    </row>
    <row r="176" spans="1:22" ht="9.9499999999999993" customHeight="1" x14ac:dyDescent="0.15">
      <c r="A176" s="2" t="s">
        <v>17</v>
      </c>
      <c r="B176" s="80"/>
      <c r="E176" s="14">
        <f t="shared" si="29"/>
        <v>0</v>
      </c>
      <c r="F176" s="82"/>
      <c r="G176" s="16"/>
      <c r="I176" s="82"/>
      <c r="J176" s="83"/>
      <c r="L176" s="2" t="s">
        <v>71</v>
      </c>
      <c r="M176" s="14">
        <f>$E176*$B$162*B$237/100+$E176*$B$163*B$249/100</f>
        <v>0</v>
      </c>
      <c r="N176" s="14">
        <f>$E176*$B$162*C$237/100+$E176*$B$163*C$249/100</f>
        <v>0</v>
      </c>
      <c r="O176" s="14">
        <f>$E176*$B$162*D$237/100+$E176*$B$163*D$249/100</f>
        <v>0</v>
      </c>
      <c r="P176" s="14">
        <f>$E176*$B$162*E$237/100+$E176*$B$163*E$249/100</f>
        <v>0</v>
      </c>
      <c r="Q176" s="14">
        <f>$E176*$B$162*F$237/100+$E176*$B$163*F$249/100</f>
        <v>0</v>
      </c>
      <c r="R176" s="14">
        <f>$E176*$B$162*G$237/100+$E176*$B$163*G$249/100</f>
        <v>0</v>
      </c>
      <c r="S176" s="14">
        <f>$E176*$B$162*H$237/100+$E176*$B$163*H$249/100</f>
        <v>0</v>
      </c>
      <c r="T176" s="14">
        <f>$E176*$B$162*I$237/100+$E176*$B$163*I$249/100</f>
        <v>0</v>
      </c>
      <c r="U176" s="14">
        <f>$E176*$B$162*J$237/100+$E176*$B$163*J$249/100</f>
        <v>0</v>
      </c>
      <c r="V176" s="14">
        <f>SUM(M176:U176)</f>
        <v>0</v>
      </c>
    </row>
    <row r="177" spans="1:22" ht="9.9499999999999993" customHeight="1" x14ac:dyDescent="0.15">
      <c r="A177" s="2" t="s">
        <v>19</v>
      </c>
      <c r="B177" s="80"/>
      <c r="E177" s="14">
        <f t="shared" si="29"/>
        <v>1053627.8149597684</v>
      </c>
      <c r="F177" s="82"/>
      <c r="G177" s="16"/>
      <c r="I177" s="82"/>
      <c r="J177" s="83"/>
      <c r="L177" s="2" t="s">
        <v>19</v>
      </c>
      <c r="M177" s="14">
        <f>$E177*$B$162*B$237/100+$E177*$B$163*B$249/100</f>
        <v>35421.903528015988</v>
      </c>
      <c r="N177" s="14">
        <f>$E177*$B$162*C$237/100+$E177*$B$163*C$249/100</f>
        <v>70678.217632040498</v>
      </c>
      <c r="O177" s="14">
        <f>$E177*$B$162*D$237/100+$E177*$B$163*D$249/100</f>
        <v>199197.27646548193</v>
      </c>
      <c r="P177" s="14">
        <f>$E177*$B$162*E$237/100+$E177*$B$163*E$249/100</f>
        <v>174979.00467480172</v>
      </c>
      <c r="Q177" s="14">
        <f>$E177*$B$162*F$237/100+$E177*$B$163*F$249/100</f>
        <v>68239.777485342303</v>
      </c>
      <c r="R177" s="14">
        <f>$E177*$B$162*G$237/100+$E177*$B$163*G$249/100</f>
        <v>150287.38502574555</v>
      </c>
      <c r="S177" s="14">
        <f>$E177*$B$162*H$237/100+$E177*$B$163*H$249/100</f>
        <v>89814.393173376477</v>
      </c>
      <c r="T177" s="14">
        <f>$E177*$B$162*I$237/100+$E177*$B$163*I$249/100</f>
        <v>47667.329747722273</v>
      </c>
      <c r="U177" s="14">
        <f>$E177*$B$162*J$237/100+$E177*$B$163*J$249/100</f>
        <v>217342.52722724172</v>
      </c>
      <c r="V177" s="14">
        <f t="shared" si="30"/>
        <v>1053627.8149597684</v>
      </c>
    </row>
    <row r="178" spans="1:22" ht="9.9499999999999993" customHeight="1" x14ac:dyDescent="0.15">
      <c r="A178" s="2" t="s">
        <v>21</v>
      </c>
      <c r="B178" s="80"/>
      <c r="E178" s="14">
        <f t="shared" si="29"/>
        <v>4449593.9314155309</v>
      </c>
      <c r="F178" s="82"/>
      <c r="G178" s="16"/>
      <c r="J178" s="83"/>
      <c r="L178" s="2" t="s">
        <v>21</v>
      </c>
      <c r="M178" s="14">
        <f>($E178*$B$162+$D$162)*B$237/100+($E178*$B$163+$D$163-$E$164)*B$249/100+M164</f>
        <v>145553.87314622893</v>
      </c>
      <c r="N178" s="14">
        <f>($E178*$B$162+$D$162)*C$237/100+($E178*$B$163+$D$163-$E$164)*C$249/100+N164</f>
        <v>302514.19464799837</v>
      </c>
      <c r="O178" s="14">
        <f>($E178*$B$162+$D$162)*D$237/100+($E178*$B$163+$D$163-$E$164)*D$249/100+O164</f>
        <v>810561.50721730315</v>
      </c>
      <c r="P178" s="14">
        <f>($E178*$B$162+$D$162)*E$237/100+($E178*$B$163+$D$163-$E$164)*E$249/100+P164</f>
        <v>716393.70110734494</v>
      </c>
      <c r="Q178" s="14">
        <f>($E178*$B$162+$D$162)*F$237/100+($E178*$B$163+$D$163-$E$164)*F$249/100+Q164</f>
        <v>298558.82329321041</v>
      </c>
      <c r="R178" s="14">
        <f>($E178*$B$162+$D$162)*G$237/100+($E178*$B$163+$D$163-$E$164)*G$249/100+R164</f>
        <v>620825.0210304989</v>
      </c>
      <c r="S178" s="14">
        <f>($E178*$B$162+$D$162)*H$237/100+($E178*$B$163+$D$163-$E$164)*H$249/100+S164</f>
        <v>384193.6768766247</v>
      </c>
      <c r="T178" s="14">
        <f>($E178*$B$162+$D$162)*I$237/100+($E178*$B$163+$D$163-$E$164)*I$249/100+T164</f>
        <v>207946.94143816689</v>
      </c>
      <c r="U178" s="14">
        <f>($E178*$B$162+$D$162)*J$237/100+($E178*$B$163+$D$163-$E$164)*J$249/100+U164</f>
        <v>963046.19265815464</v>
      </c>
      <c r="V178" s="14">
        <f t="shared" si="30"/>
        <v>4449593.9314155309</v>
      </c>
    </row>
    <row r="179" spans="1:22" ht="9.9499999999999993" customHeight="1" x14ac:dyDescent="0.15">
      <c r="A179" s="2" t="s">
        <v>77</v>
      </c>
      <c r="B179" s="80"/>
      <c r="E179" s="14">
        <f t="shared" si="29"/>
        <v>79005</v>
      </c>
      <c r="F179" s="82"/>
      <c r="G179" s="16"/>
      <c r="I179" s="14"/>
      <c r="J179" s="83"/>
      <c r="L179" s="2" t="s">
        <v>77</v>
      </c>
      <c r="M179" s="14">
        <f>B231</f>
        <v>841</v>
      </c>
      <c r="N179" s="14">
        <f t="shared" ref="N179:U179" si="31">C231</f>
        <v>2231</v>
      </c>
      <c r="O179" s="14">
        <f t="shared" si="31"/>
        <v>26585</v>
      </c>
      <c r="P179" s="14">
        <f t="shared" si="31"/>
        <v>2045</v>
      </c>
      <c r="Q179" s="14">
        <f t="shared" si="31"/>
        <v>1832</v>
      </c>
      <c r="R179" s="14">
        <f t="shared" si="31"/>
        <v>3085</v>
      </c>
      <c r="S179" s="14">
        <f t="shared" si="31"/>
        <v>1825</v>
      </c>
      <c r="T179" s="14">
        <f t="shared" si="31"/>
        <v>1449</v>
      </c>
      <c r="U179" s="14">
        <f t="shared" si="31"/>
        <v>39112</v>
      </c>
      <c r="V179" s="14">
        <f t="shared" si="30"/>
        <v>79005</v>
      </c>
    </row>
    <row r="180" spans="1:22" ht="9.9499999999999993" customHeight="1" x14ac:dyDescent="0.15">
      <c r="B180" s="80"/>
      <c r="E180" s="14">
        <f t="shared" si="29"/>
        <v>-244655.85499999998</v>
      </c>
      <c r="F180" s="82"/>
      <c r="G180" s="16"/>
      <c r="I180" s="14"/>
      <c r="J180" s="83"/>
      <c r="L180" s="79" t="s">
        <v>172</v>
      </c>
      <c r="M180" s="14">
        <f>-B233-B232</f>
        <v>-12752</v>
      </c>
      <c r="N180" s="14">
        <f t="shared" ref="N180:U180" si="32">-C233-C232</f>
        <v>-24649</v>
      </c>
      <c r="O180" s="14">
        <f t="shared" si="32"/>
        <v>-72796</v>
      </c>
      <c r="P180" s="14">
        <f t="shared" si="32"/>
        <v>-57246</v>
      </c>
      <c r="Q180" s="14">
        <f t="shared" si="32"/>
        <v>-18535</v>
      </c>
      <c r="R180" s="14">
        <f t="shared" si="32"/>
        <v>-66292</v>
      </c>
      <c r="S180" s="14">
        <f t="shared" si="32"/>
        <v>-30140</v>
      </c>
      <c r="T180" s="14">
        <f t="shared" si="32"/>
        <v>-14717</v>
      </c>
      <c r="U180" s="14">
        <f t="shared" si="32"/>
        <v>-74687</v>
      </c>
      <c r="V180" s="14">
        <f t="shared" si="30"/>
        <v>-371814</v>
      </c>
    </row>
    <row r="181" spans="1:22" ht="9.9499999999999993" customHeight="1" x14ac:dyDescent="0.15">
      <c r="A181" s="2" t="s">
        <v>23</v>
      </c>
      <c r="B181" s="80"/>
      <c r="E181" s="14">
        <f t="shared" si="29"/>
        <v>37839.620374897859</v>
      </c>
      <c r="F181" s="82"/>
      <c r="G181" s="16"/>
      <c r="I181" s="14"/>
      <c r="J181" s="83"/>
      <c r="L181" s="2" t="s">
        <v>23</v>
      </c>
      <c r="M181" s="14">
        <f>$E181*$B$162*B$237/100+$E181*$B$163*B$249/100</f>
        <v>1272.1298388535424</v>
      </c>
      <c r="N181" s="14">
        <f>$E181*$B$162*C$237/100+$E181*$B$163*C$249/100</f>
        <v>2538.3127571218733</v>
      </c>
      <c r="O181" s="14">
        <f>$E181*$B$162*D$237/100+$E181*$B$163*D$249/100</f>
        <v>7153.9012297764984</v>
      </c>
      <c r="P181" s="14">
        <f>$E181*$B$162*E$237/100+$E181*$B$163*E$249/100</f>
        <v>6284.1346977203675</v>
      </c>
      <c r="Q181" s="14">
        <f>$E181*$B$162*F$237/100+$E181*$B$163*F$249/100</f>
        <v>2450.7394716145109</v>
      </c>
      <c r="R181" s="14">
        <f>$E181*$B$162*G$237/100+$E181*$B$163*G$249/100</f>
        <v>5397.3685164409453</v>
      </c>
      <c r="S181" s="14">
        <f>$E181*$B$162*H$237/100+$E181*$B$163*H$249/100</f>
        <v>3225.562664186265</v>
      </c>
      <c r="T181" s="14">
        <f>$E181*$B$162*I$237/100+$E181*$B$163*I$249/100</f>
        <v>1711.9077878631738</v>
      </c>
      <c r="U181" s="14">
        <f>$E181*$B$162*J$237/100+$E181*$B$163*J$249/100</f>
        <v>7805.5634113206834</v>
      </c>
      <c r="V181" s="14">
        <f t="shared" si="30"/>
        <v>37839.620374897859</v>
      </c>
    </row>
    <row r="182" spans="1:22" ht="9.9499999999999993" customHeight="1" x14ac:dyDescent="0.15">
      <c r="A182" s="2" t="s">
        <v>27</v>
      </c>
      <c r="B182" s="80"/>
      <c r="E182" s="14">
        <f>T64</f>
        <v>226.71658319860165</v>
      </c>
      <c r="F182" s="82"/>
      <c r="G182" s="16"/>
      <c r="I182" s="14"/>
      <c r="J182" s="83"/>
      <c r="L182" s="2" t="s">
        <v>27</v>
      </c>
      <c r="M182" s="14">
        <f>$E182*$B$162*B$237/100+$E182*$B$163*B$249/100</f>
        <v>7.6219826624156868</v>
      </c>
      <c r="N182" s="14">
        <f>$E182*$B$162*C$237/100+$E182*$B$163*C$249/100</f>
        <v>15.208334271922425</v>
      </c>
      <c r="O182" s="14">
        <f>$E182*$B$162*D$237/100+$E182*$B$163*D$249/100</f>
        <v>42.862693316848059</v>
      </c>
      <c r="P182" s="14">
        <f>$E182*$B$162*E$237/100+$E182*$B$163*E$249/100</f>
        <v>37.651475699583706</v>
      </c>
      <c r="Q182" s="14">
        <f>$E182*$B$162*F$237/100+$E182*$B$163*F$249/100</f>
        <v>14.683637779912273</v>
      </c>
      <c r="R182" s="14">
        <f>$E182*$B$162*G$237/100+$E182*$B$163*G$249/100</f>
        <v>32.338404460393576</v>
      </c>
      <c r="S182" s="14">
        <f>$E182*$B$162*H$237/100+$E182*$B$163*H$249/100</f>
        <v>19.326001129821389</v>
      </c>
      <c r="T182" s="14">
        <f>$E182*$B$162*I$237/100+$E182*$B$163*I$249/100</f>
        <v>10.256918028513995</v>
      </c>
      <c r="U182" s="14">
        <f>$E182*$B$162*J$237/100+$E182*$B$163*J$249/100</f>
        <v>46.767135849190545</v>
      </c>
      <c r="V182" s="14">
        <f t="shared" si="30"/>
        <v>226.71658319860163</v>
      </c>
    </row>
    <row r="183" spans="1:22" ht="9.9499999999999993" customHeight="1" x14ac:dyDescent="0.15">
      <c r="A183" s="2" t="s">
        <v>29</v>
      </c>
      <c r="B183" s="80"/>
      <c r="E183" s="14">
        <f>T65</f>
        <v>25334.006594140952</v>
      </c>
      <c r="F183" s="82"/>
      <c r="G183" s="16"/>
      <c r="I183" s="14"/>
      <c r="J183" s="83"/>
      <c r="L183" s="2" t="s">
        <v>29</v>
      </c>
      <c r="M183" s="14">
        <f>$E183*$B$162*B$237/100+$E183*$B$163*B$249/100</f>
        <v>851.70372764888248</v>
      </c>
      <c r="N183" s="14">
        <f>$E183*$B$162*C$237/100+$E183*$B$163*C$249/100</f>
        <v>1699.4259321263398</v>
      </c>
      <c r="O183" s="14">
        <f>$E183*$B$162*D$237/100+$E183*$B$163*D$249/100</f>
        <v>4789.6088579477482</v>
      </c>
      <c r="P183" s="14">
        <f>$E183*$B$162*E$237/100+$E183*$B$163*E$249/100</f>
        <v>4207.291412895087</v>
      </c>
      <c r="Q183" s="14">
        <f>$E183*$B$162*F$237/100+$E183*$B$163*F$249/100</f>
        <v>1640.794736291567</v>
      </c>
      <c r="R183" s="14">
        <f>$E183*$B$162*G$237/100+$E183*$B$163*G$249/100</f>
        <v>3613.5925316320718</v>
      </c>
      <c r="S183" s="14">
        <f>$E183*$B$162*H$237/100+$E183*$B$163*H$249/100</f>
        <v>2159.5466602122397</v>
      </c>
      <c r="T183" s="14">
        <f>$E183*$B$162*I$237/100+$E183*$B$163*I$249/100</f>
        <v>1146.1394896830795</v>
      </c>
      <c r="U183" s="14">
        <f>$E183*$B$162*J$237/100+$E183*$B$163*J$249/100</f>
        <v>5225.9032457039366</v>
      </c>
      <c r="V183" s="14">
        <f t="shared" si="30"/>
        <v>25334.006594140952</v>
      </c>
    </row>
    <row r="184" spans="1:22" ht="9.9499999999999993" customHeight="1" x14ac:dyDescent="0.15">
      <c r="A184" s="2" t="s">
        <v>31</v>
      </c>
      <c r="B184" s="80"/>
      <c r="E184" s="14">
        <f>T67</f>
        <v>827092.11548297387</v>
      </c>
      <c r="F184" s="82"/>
      <c r="G184" s="16"/>
      <c r="I184" s="14"/>
      <c r="J184" s="83"/>
      <c r="L184" s="2" t="s">
        <v>31</v>
      </c>
      <c r="M184" s="14">
        <f>$E184*$B$162*B$237/100+$E184*$B$163*B$249/100</f>
        <v>27806.00199372986</v>
      </c>
      <c r="N184" s="14">
        <f>$E184*$B$162*C$237/100+$E184*$B$163*C$249/100</f>
        <v>55482.017188472309</v>
      </c>
      <c r="O184" s="14">
        <f>$E184*$B$162*D$237/100+$E184*$B$163*D$249/100</f>
        <v>156368.78075069917</v>
      </c>
      <c r="P184" s="14">
        <f>$E184*$B$162*E$237/100+$E184*$B$163*E$249/100</f>
        <v>137357.56885567136</v>
      </c>
      <c r="Q184" s="14">
        <f>$E184*$B$162*F$237/100+$E184*$B$163*F$249/100</f>
        <v>53567.854909557689</v>
      </c>
      <c r="R184" s="14">
        <f>$E184*$B$162*G$237/100+$E184*$B$163*G$249/100</f>
        <v>117974.78146122632</v>
      </c>
      <c r="S184" s="14">
        <f>$E184*$B$162*H$237/100+$E184*$B$163*H$249/100</f>
        <v>70503.811114196898</v>
      </c>
      <c r="T184" s="14">
        <f>$E184*$B$162*I$237/100+$E184*$B$163*I$249/100</f>
        <v>37418.595106065528</v>
      </c>
      <c r="U184" s="14">
        <f>$E184*$B$162*J$237/100+$E184*$B$163*J$249/100</f>
        <v>170612.70410335477</v>
      </c>
      <c r="V184" s="14">
        <f t="shared" si="30"/>
        <v>827092.11548297387</v>
      </c>
    </row>
    <row r="185" spans="1:22" ht="9.9499999999999993" customHeight="1" x14ac:dyDescent="0.15">
      <c r="A185" s="2" t="s">
        <v>32</v>
      </c>
      <c r="B185" s="87" t="s">
        <v>152</v>
      </c>
      <c r="C185" s="2" t="s">
        <v>173</v>
      </c>
      <c r="E185" s="14">
        <f>T68</f>
        <v>4178.8570314255239</v>
      </c>
      <c r="F185" s="82">
        <f>E185/$E$208</f>
        <v>3.0441028770696949E-4</v>
      </c>
      <c r="G185" s="16"/>
      <c r="I185" s="14"/>
      <c r="J185" s="83"/>
      <c r="L185" s="2" t="s">
        <v>32</v>
      </c>
      <c r="M185" s="14">
        <f>$E185/100*B241</f>
        <v>4.5730985469991321</v>
      </c>
      <c r="N185" s="14">
        <f>$E185/100*C241</f>
        <v>1704.5490190419569</v>
      </c>
      <c r="O185" s="14">
        <f>$E185/100*D241</f>
        <v>387.04431942960679</v>
      </c>
      <c r="P185" s="14">
        <f>$E185/100*E241</f>
        <v>303.04708028244102</v>
      </c>
      <c r="Q185" s="14">
        <f>$E185/100*F241</f>
        <v>480.66229898858586</v>
      </c>
      <c r="R185" s="14">
        <f>$E185/100*G241</f>
        <v>154.49338602056179</v>
      </c>
      <c r="S185" s="14">
        <f>$E185/100*H241</f>
        <v>86.853892759159251</v>
      </c>
      <c r="T185" s="14">
        <f>$E185/100*I241</f>
        <v>294.69020167186659</v>
      </c>
      <c r="U185" s="14">
        <f>$E185/100*J241</f>
        <v>762.94373468434583</v>
      </c>
      <c r="V185" s="14">
        <f t="shared" si="30"/>
        <v>4178.8570314255239</v>
      </c>
    </row>
    <row r="186" spans="1:22" ht="9.9499999999999993" customHeight="1" x14ac:dyDescent="0.15">
      <c r="A186" s="2" t="s">
        <v>33</v>
      </c>
      <c r="B186" s="87"/>
      <c r="E186" s="14">
        <f>T69</f>
        <v>2085.3712986087608</v>
      </c>
      <c r="F186" s="82"/>
      <c r="G186" s="16"/>
      <c r="I186" s="14"/>
      <c r="J186" s="83"/>
      <c r="L186" s="2" t="s">
        <v>33</v>
      </c>
      <c r="M186" s="14">
        <f>$E186*$B$162*B$237/100+$E186*$B$163*B$249/100</f>
        <v>70.108077929048889</v>
      </c>
      <c r="N186" s="14">
        <f>$E186*$B$162*C$237/100+$E186*$B$163*C$249/100</f>
        <v>139.88841637813906</v>
      </c>
      <c r="O186" s="14">
        <f>$E186*$B$162*D$237/100+$E186*$B$163*D$249/100</f>
        <v>394.25713444933302</v>
      </c>
      <c r="P186" s="14">
        <f>$E186*$B$162*E$237/100+$E186*$B$163*E$249/100</f>
        <v>346.32361544279547</v>
      </c>
      <c r="Q186" s="14">
        <f>$E186*$B$162*F$237/100+$E186*$B$163*F$249/100</f>
        <v>135.06218360115611</v>
      </c>
      <c r="R186" s="14">
        <f>$E186*$B$162*G$237/100+$E186*$B$163*G$249/100</f>
        <v>297.45323237088309</v>
      </c>
      <c r="S186" s="14">
        <f>$E186*$B$162*H$237/100+$E186*$B$163*H$249/100</f>
        <v>177.76330034802049</v>
      </c>
      <c r="T186" s="14">
        <f>$E186*$B$162*I$237/100+$E186*$B$163*I$249/100</f>
        <v>94.344587268717135</v>
      </c>
      <c r="U186" s="14">
        <f>$E186*$B$162*J$237/100+$E186*$B$163*J$249/100</f>
        <v>430.17075082066754</v>
      </c>
      <c r="V186" s="14">
        <f>SUM(M186:U186)</f>
        <v>2085.3712986087612</v>
      </c>
    </row>
    <row r="187" spans="1:22" ht="9.9499999999999993" customHeight="1" x14ac:dyDescent="0.15">
      <c r="A187" s="2" t="s">
        <v>38</v>
      </c>
      <c r="B187" s="80"/>
      <c r="E187" s="14">
        <f t="shared" ref="E187:E198" si="33">T74</f>
        <v>6108.8861195492054</v>
      </c>
      <c r="F187" s="82"/>
      <c r="G187" s="16"/>
      <c r="I187" s="14"/>
      <c r="J187" s="83"/>
      <c r="L187" s="2" t="s">
        <v>38</v>
      </c>
      <c r="M187" s="14">
        <f>$E187*$B$162*B$237/100+$E187*$B$163*B$249/100</f>
        <v>205.37458457146982</v>
      </c>
      <c r="N187" s="14">
        <f>$E187*$B$162*C$237/100+$E187*$B$163*C$249/100</f>
        <v>409.78908919876659</v>
      </c>
      <c r="O187" s="14">
        <f>$E187*$B$162*D$237/100+$E187*$B$163*D$249/100</f>
        <v>1154.9367432924623</v>
      </c>
      <c r="P187" s="14">
        <f>$E187*$B$162*E$237/100+$E187*$B$163*E$249/100</f>
        <v>1014.520305646304</v>
      </c>
      <c r="Q187" s="14">
        <f>$E187*$B$162*F$237/100+$E187*$B$163*F$249/100</f>
        <v>395.65112420390278</v>
      </c>
      <c r="R187" s="14">
        <f>$E187*$B$162*G$237/100+$E187*$B$163*G$249/100</f>
        <v>871.35941865978566</v>
      </c>
      <c r="S187" s="14">
        <f>$E187*$B$162*H$237/100+$E187*$B$163*H$249/100</f>
        <v>520.73976408218164</v>
      </c>
      <c r="T187" s="14">
        <f>$E187*$B$162*I$237/100+$E187*$B$163*I$249/100</f>
        <v>276.37300849252398</v>
      </c>
      <c r="U187" s="14">
        <f>$E187*$B$162*J$237/100+$E187*$B$163*J$249/100</f>
        <v>1260.1420814018084</v>
      </c>
      <c r="V187" s="14">
        <f t="shared" si="30"/>
        <v>6108.8861195492045</v>
      </c>
    </row>
    <row r="188" spans="1:22" ht="9.9499999999999993" customHeight="1" x14ac:dyDescent="0.15">
      <c r="A188" s="2" t="s">
        <v>39</v>
      </c>
      <c r="B188" s="80"/>
      <c r="E188" s="14">
        <f t="shared" si="33"/>
        <v>341793.09003290476</v>
      </c>
      <c r="F188" s="82"/>
      <c r="G188" s="16"/>
      <c r="I188" s="14"/>
      <c r="J188" s="83"/>
      <c r="L188" s="2" t="s">
        <v>39</v>
      </c>
      <c r="M188" s="14">
        <f>$E188*$B$162*B$237/100+$E188*$B$163*B$249/100</f>
        <v>11490.738655328994</v>
      </c>
      <c r="N188" s="14">
        <f>$E188*$B$162*C$237/100+$E188*$B$163*C$249/100</f>
        <v>22927.760694506414</v>
      </c>
      <c r="O188" s="14">
        <f>$E188*$B$162*D$237/100+$E188*$B$163*D$249/100</f>
        <v>64618.88314126902</v>
      </c>
      <c r="P188" s="14">
        <f>$E188*$B$162*E$237/100+$E188*$B$163*E$249/100</f>
        <v>56762.562500275511</v>
      </c>
      <c r="Q188" s="14">
        <f>$E188*$B$162*F$237/100+$E188*$B$163*F$249/100</f>
        <v>22136.739443200429</v>
      </c>
      <c r="R188" s="14">
        <f>$E188*$B$162*G$237/100+$E188*$B$163*G$249/100</f>
        <v>48752.689509127915</v>
      </c>
      <c r="S188" s="14">
        <f>$E188*$B$162*H$237/100+$E188*$B$163*H$249/100</f>
        <v>29135.467511676063</v>
      </c>
      <c r="T188" s="14">
        <f>$E188*$B$162*I$237/100+$E188*$B$163*I$249/100</f>
        <v>15463.111068981701</v>
      </c>
      <c r="U188" s="14">
        <f>$E188*$B$162*J$237/100+$E188*$B$163*J$249/100</f>
        <v>70505.137508538741</v>
      </c>
      <c r="V188" s="14">
        <f t="shared" si="30"/>
        <v>341793.09003290476</v>
      </c>
    </row>
    <row r="189" spans="1:22" ht="9.9499999999999993" customHeight="1" x14ac:dyDescent="0.15">
      <c r="A189" s="2" t="s">
        <v>40</v>
      </c>
      <c r="B189" s="80"/>
      <c r="E189" s="14">
        <f t="shared" si="33"/>
        <v>318140.44217686495</v>
      </c>
      <c r="F189" s="82"/>
      <c r="G189" s="16"/>
      <c r="I189" s="14"/>
      <c r="J189" s="83"/>
      <c r="L189" s="2" t="s">
        <v>40</v>
      </c>
      <c r="M189" s="14">
        <f>$E189*$B$162*B$237/100+$E189*$B$163*B$249/100</f>
        <v>10695.560511165471</v>
      </c>
      <c r="N189" s="14">
        <f>$E189*$B$162*C$237/100+$E189*$B$163*C$249/100</f>
        <v>21341.121684974351</v>
      </c>
      <c r="O189" s="14">
        <f>$E189*$B$162*D$237/100+$E189*$B$163*D$249/100</f>
        <v>60147.149415921078</v>
      </c>
      <c r="P189" s="14">
        <f>$E189*$B$162*E$237/100+$E189*$B$163*E$249/100</f>
        <v>52834.4991737284</v>
      </c>
      <c r="Q189" s="14">
        <f>$E189*$B$162*F$237/100+$E189*$B$163*F$249/100</f>
        <v>20604.840414227903</v>
      </c>
      <c r="R189" s="14">
        <f>$E189*$B$162*G$237/100+$E189*$B$163*G$249/100</f>
        <v>45378.922658302356</v>
      </c>
      <c r="S189" s="14">
        <f>$E189*$B$162*H$237/100+$E189*$B$163*H$249/100</f>
        <v>27119.24491013541</v>
      </c>
      <c r="T189" s="14">
        <f>$E189*$B$162*I$237/100+$E189*$B$163*I$249/100</f>
        <v>14393.038175354026</v>
      </c>
      <c r="U189" s="14">
        <f>$E189*$B$162*J$237/100+$E189*$B$163*J$249/100</f>
        <v>65626.065233055968</v>
      </c>
      <c r="V189" s="14">
        <f t="shared" si="30"/>
        <v>318140.44217686495</v>
      </c>
    </row>
    <row r="190" spans="1:22" ht="9.9499999999999993" customHeight="1" x14ac:dyDescent="0.15">
      <c r="A190" s="2" t="s">
        <v>41</v>
      </c>
      <c r="B190" s="80"/>
      <c r="E190" s="14">
        <f t="shared" si="33"/>
        <v>17667.325440876841</v>
      </c>
      <c r="F190" s="82"/>
      <c r="G190" s="16"/>
      <c r="I190" s="14"/>
      <c r="J190" s="83"/>
      <c r="L190" s="2" t="s">
        <v>41</v>
      </c>
      <c r="M190" s="14">
        <f>$E190*$B$162*B$237/100+$E190*$B$163*B$249/100</f>
        <v>593.95764659904876</v>
      </c>
      <c r="N190" s="14">
        <f>$E190*$B$162*C$237/100+$E190*$B$163*C$249/100</f>
        <v>1185.1386749257936</v>
      </c>
      <c r="O190" s="14">
        <f>$E190*$B$162*D$237/100+$E190*$B$163*D$249/100</f>
        <v>3340.1577485749713</v>
      </c>
      <c r="P190" s="14">
        <f>$E190*$B$162*E$237/100+$E190*$B$163*E$249/100</f>
        <v>2934.0636010339904</v>
      </c>
      <c r="Q190" s="14">
        <f>$E190*$B$162*F$237/100+$E190*$B$163*F$249/100</f>
        <v>1144.250692444559</v>
      </c>
      <c r="R190" s="14">
        <f>$E190*$B$162*G$237/100+$E190*$B$163*G$249/100</f>
        <v>2520.0323142661073</v>
      </c>
      <c r="S190" s="14">
        <f>$E190*$B$162*H$237/100+$E190*$B$163*H$249/100</f>
        <v>1506.0157779998419</v>
      </c>
      <c r="T190" s="14">
        <f>$E190*$B$162*I$237/100+$E190*$B$163*I$249/100</f>
        <v>799.29004871872701</v>
      </c>
      <c r="U190" s="14">
        <f>$E190*$B$162*J$237/100+$E190*$B$163*J$249/100</f>
        <v>3644.4189363138025</v>
      </c>
      <c r="V190" s="14">
        <f t="shared" si="30"/>
        <v>17667.325440876841</v>
      </c>
    </row>
    <row r="191" spans="1:22" ht="9.9499999999999993" customHeight="1" x14ac:dyDescent="0.15">
      <c r="A191" s="2" t="s">
        <v>42</v>
      </c>
      <c r="B191" s="80"/>
      <c r="E191" s="14">
        <f t="shared" si="33"/>
        <v>0</v>
      </c>
      <c r="F191" s="82"/>
      <c r="G191" s="16"/>
      <c r="I191" s="14"/>
      <c r="J191" s="83"/>
      <c r="L191" s="2" t="s">
        <v>174</v>
      </c>
      <c r="M191" s="14">
        <f>$E191*$B$162*B$237/100+$E191*$B$163*B$249/100</f>
        <v>0</v>
      </c>
      <c r="N191" s="14">
        <f>$E191*$B$162*C$237/100+$E191*$B$163*C$249/100</f>
        <v>0</v>
      </c>
      <c r="O191" s="14">
        <f>$E191*$B$162*D$237/100+$E191*$B$163*D$249/100</f>
        <v>0</v>
      </c>
      <c r="P191" s="14">
        <f>$E191*$B$162*E$237/100+$E191*$B$163*E$249/100</f>
        <v>0</v>
      </c>
      <c r="Q191" s="14">
        <f>$E191*$B$162*F$237/100+$E191*$B$163*F$249/100</f>
        <v>0</v>
      </c>
      <c r="R191" s="14">
        <f>$E191*$B$162*G$237/100+$E191*$B$163*G$249/100</f>
        <v>0</v>
      </c>
      <c r="S191" s="14">
        <f>$E191*$B$162*H$237/100+$E191*$B$163*H$249/100</f>
        <v>0</v>
      </c>
      <c r="T191" s="14">
        <f>$E191*$B$162*I$237/100+$E191*$B$163*I$249/100</f>
        <v>0</v>
      </c>
      <c r="U191" s="14">
        <f>$E191*$B$162*J$237/100+$E191*$B$163*J$249/100</f>
        <v>0</v>
      </c>
      <c r="V191" s="14">
        <f>SUM(M191:U191)</f>
        <v>0</v>
      </c>
    </row>
    <row r="192" spans="1:22" ht="9.9499999999999993" customHeight="1" x14ac:dyDescent="0.15">
      <c r="A192" s="2" t="s">
        <v>43</v>
      </c>
      <c r="B192" s="80"/>
      <c r="E192" s="14">
        <f t="shared" si="33"/>
        <v>101111.48686409238</v>
      </c>
      <c r="F192" s="82"/>
      <c r="G192" s="16"/>
      <c r="I192" s="14"/>
      <c r="J192" s="83"/>
      <c r="L192" s="2" t="s">
        <v>43</v>
      </c>
      <c r="M192" s="14">
        <f>$E192*$B$162*B$237/100+$E192*$B$163*B$249/100</f>
        <v>3399.2661188532634</v>
      </c>
      <c r="N192" s="14">
        <f>$E192*$B$162*C$237/100+$E192*$B$163*C$249/100</f>
        <v>6782.6414339226631</v>
      </c>
      <c r="O192" s="14">
        <f>$E192*$B$162*D$237/100+$E192*$B$163*D$249/100</f>
        <v>19115.984332163462</v>
      </c>
      <c r="P192" s="14">
        <f>$E192*$B$162*E$237/100+$E192*$B$163*E$249/100</f>
        <v>16791.875728284318</v>
      </c>
      <c r="Q192" s="14">
        <f>$E192*$B$162*F$237/100+$E192*$B$163*F$249/100</f>
        <v>6548.6363086202673</v>
      </c>
      <c r="R192" s="14">
        <f>$E192*$B$162*G$237/100+$E192*$B$163*G$249/100</f>
        <v>14422.342255125162</v>
      </c>
      <c r="S192" s="14">
        <f>$E192*$B$162*H$237/100+$E192*$B$163*H$249/100</f>
        <v>8619.0462197536435</v>
      </c>
      <c r="T192" s="14">
        <f>$E192*$B$162*I$237/100+$E192*$B$163*I$249/100</f>
        <v>4574.3995338783043</v>
      </c>
      <c r="U192" s="14">
        <f>$E192*$B$162*J$237/100+$E192*$B$163*J$249/100</f>
        <v>20857.294933491303</v>
      </c>
      <c r="V192" s="14">
        <f>SUM(M192:U192)</f>
        <v>101111.48686409238</v>
      </c>
    </row>
    <row r="193" spans="1:22" ht="9.9499999999999993" customHeight="1" x14ac:dyDescent="0.15">
      <c r="A193" s="2" t="s">
        <v>44</v>
      </c>
      <c r="B193" s="80"/>
      <c r="E193" s="14">
        <f t="shared" si="33"/>
        <v>21188.897583960228</v>
      </c>
      <c r="F193" s="82"/>
      <c r="G193" s="16"/>
      <c r="I193" s="14"/>
      <c r="J193" s="83"/>
      <c r="L193" s="2" t="s">
        <v>44</v>
      </c>
      <c r="M193" s="14">
        <f>$E193*$B$162*B$237/100+$E193*$B$163*B$249/100</f>
        <v>712.34934711049664</v>
      </c>
      <c r="N193" s="14">
        <f>$E193*$B$162*C$237/100+$E193*$B$163*C$249/100</f>
        <v>1421.3686214038892</v>
      </c>
      <c r="O193" s="14">
        <f>$E193*$B$162*D$237/100+$E193*$B$163*D$249/100</f>
        <v>4005.9408361310898</v>
      </c>
      <c r="P193" s="14">
        <f>$E193*$B$162*E$237/100+$E193*$B$163*E$249/100</f>
        <v>3518.90122560901</v>
      </c>
      <c r="Q193" s="14">
        <f>$E193*$B$162*F$237/100+$E193*$B$163*F$249/100</f>
        <v>1372.3305665998996</v>
      </c>
      <c r="R193" s="14">
        <f>$E193*$B$162*G$237/100+$E193*$B$163*G$249/100</f>
        <v>3022.342390983019</v>
      </c>
      <c r="S193" s="14">
        <f>$E193*$B$162*H$237/100+$E193*$B$163*H$249/100</f>
        <v>1806.2051433113288</v>
      </c>
      <c r="T193" s="14">
        <f>$E193*$B$162*I$237/100+$E193*$B$163*I$249/100</f>
        <v>958.61000799785677</v>
      </c>
      <c r="U193" s="14">
        <f>$E193*$B$162*J$237/100+$E193*$B$163*J$249/100</f>
        <v>4370.8494448136398</v>
      </c>
      <c r="V193" s="14">
        <f>SUM(M193:U193)</f>
        <v>21188.897583960228</v>
      </c>
    </row>
    <row r="194" spans="1:22" ht="9.9499999999999993" customHeight="1" x14ac:dyDescent="0.15">
      <c r="A194" s="2" t="s">
        <v>45</v>
      </c>
      <c r="B194" s="80"/>
      <c r="E194" s="14">
        <f t="shared" si="33"/>
        <v>164372.63020276526</v>
      </c>
      <c r="F194" s="82"/>
      <c r="G194" s="16"/>
      <c r="I194" s="14"/>
      <c r="J194" s="83"/>
      <c r="L194" s="2" t="s">
        <v>45</v>
      </c>
      <c r="M194" s="14">
        <f>$E194*$B$162*B$237/100+$E194*$B$163*B$249/100</f>
        <v>5526.0418973571977</v>
      </c>
      <c r="N194" s="14">
        <f>$E194*$B$162*C$237/100+$E194*$B$163*C$249/100</f>
        <v>11026.25079299521</v>
      </c>
      <c r="O194" s="14">
        <f>$E194*$B$162*D$237/100+$E194*$B$163*D$249/100</f>
        <v>31076.040131978574</v>
      </c>
      <c r="P194" s="14">
        <f>$E194*$B$162*E$237/100+$E194*$B$163*E$249/100</f>
        <v>27297.835934368679</v>
      </c>
      <c r="Q194" s="14">
        <f>$E194*$B$162*F$237/100+$E194*$B$163*F$249/100</f>
        <v>10645.838644783173</v>
      </c>
      <c r="R194" s="14">
        <f>$E194*$B$162*G$237/100+$E194*$B$163*G$249/100</f>
        <v>23445.786464854034</v>
      </c>
      <c r="S194" s="14">
        <f>$E194*$B$162*H$237/100+$E194*$B$163*H$249/100</f>
        <v>14011.615701828148</v>
      </c>
      <c r="T194" s="14">
        <f>$E194*$B$162*I$237/100+$E194*$B$163*I$249/100</f>
        <v>7436.4061522757002</v>
      </c>
      <c r="U194" s="14">
        <f>$E194*$B$162*J$237/100+$E194*$B$163*J$249/100</f>
        <v>33906.814482324538</v>
      </c>
      <c r="V194" s="14">
        <f t="shared" si="30"/>
        <v>164372.63020276526</v>
      </c>
    </row>
    <row r="195" spans="1:22" ht="9.9499999999999993" customHeight="1" x14ac:dyDescent="0.15">
      <c r="A195" s="2" t="s">
        <v>46</v>
      </c>
      <c r="B195" s="80"/>
      <c r="E195" s="14">
        <f t="shared" si="33"/>
        <v>100375.35089042362</v>
      </c>
      <c r="F195" s="82"/>
      <c r="G195" s="16"/>
      <c r="I195" s="14"/>
      <c r="J195" s="83"/>
      <c r="L195" s="2" t="s">
        <v>46</v>
      </c>
      <c r="M195" s="14">
        <f>$E195*$B$162*B$237/100+$E195*$B$163*B$249/100</f>
        <v>3374.5179705293763</v>
      </c>
      <c r="N195" s="14">
        <f>$E195*$B$162*C$237/100+$E195*$B$163*C$249/100</f>
        <v>6733.2608292964251</v>
      </c>
      <c r="O195" s="14">
        <f>$E195*$B$162*D$237/100+$E195*$B$163*D$249/100</f>
        <v>18976.811581614271</v>
      </c>
      <c r="P195" s="14">
        <f>$E195*$B$162*E$237/100+$E195*$B$163*E$249/100</f>
        <v>16669.623507766777</v>
      </c>
      <c r="Q195" s="14">
        <f>$E195*$B$162*F$237/100+$E195*$B$163*F$249/100</f>
        <v>6500.9593639450441</v>
      </c>
      <c r="R195" s="14">
        <f>$E195*$B$162*G$237/100+$E195*$B$163*G$249/100</f>
        <v>14317.341277611786</v>
      </c>
      <c r="S195" s="14">
        <f>$E195*$B$162*H$237/100+$E195*$B$163*H$249/100</f>
        <v>8556.2957828067247</v>
      </c>
      <c r="T195" s="14">
        <f>$E195*$B$162*I$237/100+$E195*$B$163*I$249/100</f>
        <v>4541.095898858599</v>
      </c>
      <c r="U195" s="14">
        <f>$E195*$B$162*J$237/100+$E195*$B$163*J$249/100</f>
        <v>20705.444677994616</v>
      </c>
      <c r="V195" s="14">
        <f t="shared" si="30"/>
        <v>100375.35089042364</v>
      </c>
    </row>
    <row r="196" spans="1:22" ht="9.9499999999999993" customHeight="1" x14ac:dyDescent="0.15">
      <c r="A196" s="2" t="s">
        <v>47</v>
      </c>
      <c r="B196" s="80"/>
      <c r="E196" s="14">
        <f t="shared" si="33"/>
        <v>208223.88690840747</v>
      </c>
      <c r="F196" s="82"/>
      <c r="G196" s="16"/>
      <c r="I196" s="14"/>
      <c r="J196" s="83"/>
      <c r="L196" s="2" t="s">
        <v>47</v>
      </c>
      <c r="M196" s="14">
        <f>$E196*$B$162*B$237/100+$E196*$B$163*B$249/100</f>
        <v>7000.2768810538219</v>
      </c>
      <c r="N196" s="14">
        <f>$E196*$B$162*C$237/100+$E196*$B$163*C$249/100</f>
        <v>13967.829043753709</v>
      </c>
      <c r="O196" s="14">
        <f>$E196*$B$162*D$237/100+$E196*$B$163*D$249/100</f>
        <v>39366.492207492702</v>
      </c>
      <c r="P196" s="14">
        <f>$E196*$B$162*E$237/100+$E196*$B$163*E$249/100</f>
        <v>34580.340385321775</v>
      </c>
      <c r="Q196" s="14">
        <f>$E196*$B$162*F$237/100+$E196*$B$163*F$249/100</f>
        <v>13485.930712929563</v>
      </c>
      <c r="R196" s="14">
        <f>$E196*$B$162*G$237/100+$E196*$B$163*G$249/100</f>
        <v>29700.642882663487</v>
      </c>
      <c r="S196" s="14">
        <f>$E196*$B$162*H$237/100+$E196*$B$163*H$249/100</f>
        <v>17749.628266594766</v>
      </c>
      <c r="T196" s="14">
        <f>$E196*$B$162*I$237/100+$E196*$B$163*I$249/100</f>
        <v>9420.2872567430113</v>
      </c>
      <c r="U196" s="14">
        <f>$E196*$B$162*J$237/100+$E196*$B$163*J$249/100</f>
        <v>42952.459271854641</v>
      </c>
      <c r="V196" s="14">
        <f t="shared" si="30"/>
        <v>208223.88690840747</v>
      </c>
    </row>
    <row r="197" spans="1:22" ht="9.9499999999999993" customHeight="1" x14ac:dyDescent="0.15">
      <c r="A197" s="2" t="s">
        <v>48</v>
      </c>
      <c r="B197" s="80"/>
      <c r="E197" s="14">
        <f t="shared" si="33"/>
        <v>50783.873593765202</v>
      </c>
      <c r="F197" s="82"/>
      <c r="G197" s="16"/>
      <c r="I197" s="14"/>
      <c r="J197" s="83"/>
      <c r="L197" s="2" t="s">
        <v>48</v>
      </c>
      <c r="M197" s="14">
        <f>$E197*$B$162*B$237/100+$E197*$B$163*B$249/100</f>
        <v>1707.3025651719311</v>
      </c>
      <c r="N197" s="14">
        <f>$E197*$B$162*C$237/100+$E197*$B$163*C$249/100</f>
        <v>3406.6238752393087</v>
      </c>
      <c r="O197" s="14">
        <f>$E197*$B$162*D$237/100+$E197*$B$163*D$249/100</f>
        <v>9601.1221084094122</v>
      </c>
      <c r="P197" s="14">
        <f>$E197*$B$162*E$237/100+$E197*$B$163*E$249/100</f>
        <v>8433.8240968963855</v>
      </c>
      <c r="Q197" s="14">
        <f>$E197*$B$162*F$237/100+$E197*$B$163*F$249/100</f>
        <v>3289.0933446120284</v>
      </c>
      <c r="R197" s="14">
        <f>$E197*$B$162*G$237/100+$E197*$B$163*G$249/100</f>
        <v>7243.7111620638152</v>
      </c>
      <c r="S197" s="14">
        <f>$E197*$B$162*H$237/100+$E197*$B$163*H$249/100</f>
        <v>4328.9696086768927</v>
      </c>
      <c r="T197" s="14">
        <f>$E197*$B$162*I$237/100+$E197*$B$163*I$249/100</f>
        <v>2297.5206368798117</v>
      </c>
      <c r="U197" s="14">
        <f>$E197*$B$162*J$237/100+$E197*$B$163*J$249/100</f>
        <v>10475.706195815614</v>
      </c>
      <c r="V197" s="14">
        <f t="shared" si="30"/>
        <v>50783.873593765195</v>
      </c>
    </row>
    <row r="198" spans="1:22" ht="9.9499999999999993" customHeight="1" x14ac:dyDescent="0.15">
      <c r="A198" s="2" t="s">
        <v>151</v>
      </c>
      <c r="B198" s="80"/>
      <c r="D198" s="14"/>
      <c r="E198" s="14">
        <f t="shared" si="33"/>
        <v>3617.6952070799998</v>
      </c>
      <c r="F198" s="82"/>
      <c r="G198" s="16"/>
      <c r="I198" s="14"/>
      <c r="J198" s="83"/>
      <c r="L198" s="2" t="s">
        <v>151</v>
      </c>
      <c r="M198" s="14">
        <f>$E198*$B$162*B$237/100+$E198*$B$163*B$249/100</f>
        <v>121.62326088918473</v>
      </c>
      <c r="N198" s="14">
        <f>$E198*$B$162*C$237/100+$E198*$B$163*C$249/100</f>
        <v>242.67796041636711</v>
      </c>
      <c r="O198" s="14">
        <f>$E198*$B$162*D$237/100+$E198*$B$163*D$249/100</f>
        <v>683.95596822781317</v>
      </c>
      <c r="P198" s="14">
        <f>$E198*$B$162*E$237/100+$E198*$B$163*E$249/100</f>
        <v>600.80105855579586</v>
      </c>
      <c r="Q198" s="14">
        <f>$E198*$B$162*F$237/100+$E198*$B$163*F$249/100</f>
        <v>234.30542781404739</v>
      </c>
      <c r="R198" s="14">
        <f>$E198*$B$162*G$237/100+$E198*$B$163*G$249/100</f>
        <v>516.02088021279746</v>
      </c>
      <c r="S198" s="14">
        <f>$E198*$B$162*H$237/100+$E198*$B$163*H$249/100</f>
        <v>308.38318341332842</v>
      </c>
      <c r="T198" s="14">
        <f>$E198*$B$162*I$237/100+$E198*$B$163*I$249/100</f>
        <v>163.66867684602786</v>
      </c>
      <c r="U198" s="14">
        <f>$E198*$B$162*J$237/100+$E198*$B$163*J$249/100</f>
        <v>746.2587907046377</v>
      </c>
      <c r="V198" s="14">
        <f t="shared" si="30"/>
        <v>3617.6952070799994</v>
      </c>
    </row>
    <row r="199" spans="1:22" ht="9.9499999999999993" customHeight="1" x14ac:dyDescent="0.15">
      <c r="A199" s="2" t="s">
        <v>25</v>
      </c>
      <c r="B199" s="87" t="s">
        <v>152</v>
      </c>
      <c r="C199" s="2" t="s">
        <v>175</v>
      </c>
      <c r="E199" s="14">
        <f>T63</f>
        <v>0</v>
      </c>
      <c r="F199" s="82">
        <f t="shared" ref="F199:F206" si="34">E199/$E$208</f>
        <v>0</v>
      </c>
      <c r="G199" s="16"/>
      <c r="I199" s="14"/>
      <c r="J199" s="83"/>
      <c r="L199" s="2" t="s">
        <v>25</v>
      </c>
      <c r="M199" s="14">
        <f>$E199/100*B237</f>
        <v>0</v>
      </c>
      <c r="N199" s="14">
        <f>$E199/100*C237</f>
        <v>0</v>
      </c>
      <c r="O199" s="14">
        <f>$E199/100*D237</f>
        <v>0</v>
      </c>
      <c r="P199" s="14">
        <f>$E199/100*E237</f>
        <v>0</v>
      </c>
      <c r="Q199" s="14">
        <f>$E199/100*F237</f>
        <v>0</v>
      </c>
      <c r="R199" s="14">
        <f>$E199/100*G237</f>
        <v>0</v>
      </c>
      <c r="S199" s="14">
        <f>$E199/100*H237</f>
        <v>0</v>
      </c>
      <c r="T199" s="14">
        <f>$E199/100*I237</f>
        <v>0</v>
      </c>
      <c r="U199" s="14">
        <f>$E199/100*J237</f>
        <v>0</v>
      </c>
      <c r="V199" s="14">
        <f t="shared" si="30"/>
        <v>0</v>
      </c>
    </row>
    <row r="200" spans="1:22" ht="9.9499999999999993" customHeight="1" x14ac:dyDescent="0.2">
      <c r="A200" s="2" t="s">
        <v>154</v>
      </c>
      <c r="B200" s="87" t="s">
        <v>152</v>
      </c>
      <c r="C200" s="2" t="s">
        <v>175</v>
      </c>
      <c r="E200" s="14">
        <f>T66</f>
        <v>4.5952500728982555</v>
      </c>
      <c r="F200" s="82">
        <f t="shared" si="34"/>
        <v>3.3474258302137868E-7</v>
      </c>
      <c r="G200" s="16"/>
      <c r="H200" s="94"/>
      <c r="I200" s="94"/>
      <c r="J200" s="94"/>
      <c r="L200" s="2" t="s">
        <v>154</v>
      </c>
      <c r="M200" s="14">
        <f>$E200/100*B237</f>
        <v>0.15602212903974602</v>
      </c>
      <c r="N200" s="14">
        <f>$E200/100*C237</f>
        <v>0.30588193500206229</v>
      </c>
      <c r="O200" s="14">
        <f>$E200/100*D237</f>
        <v>0.88259153019125147</v>
      </c>
      <c r="P200" s="14">
        <f>$E200/100*E237</f>
        <v>0.77381899279748767</v>
      </c>
      <c r="Q200" s="14">
        <f>$E200/100*F237</f>
        <v>0.29077068032352738</v>
      </c>
      <c r="R200" s="14">
        <f>$E200/100*G237</f>
        <v>0.66258536221201747</v>
      </c>
      <c r="S200" s="14">
        <f>$E200/100*H237</f>
        <v>0.38775397304279174</v>
      </c>
      <c r="T200" s="14">
        <f>$E200/100*I237</f>
        <v>0.20242450401363332</v>
      </c>
      <c r="U200" s="14">
        <f>$E200/100*J237</f>
        <v>0.9334009662757381</v>
      </c>
      <c r="V200" s="14">
        <f t="shared" si="30"/>
        <v>4.5952500728982555</v>
      </c>
    </row>
    <row r="201" spans="1:22" ht="9.9499999999999993" customHeight="1" x14ac:dyDescent="0.15">
      <c r="A201" s="2" t="s">
        <v>34</v>
      </c>
      <c r="B201" s="87" t="s">
        <v>152</v>
      </c>
      <c r="C201" s="2" t="s">
        <v>64</v>
      </c>
      <c r="E201" s="14">
        <f>T70</f>
        <v>9542.6504926362595</v>
      </c>
      <c r="F201" s="82">
        <f t="shared" si="34"/>
        <v>6.9513768001762009E-4</v>
      </c>
      <c r="G201" s="16"/>
      <c r="L201" s="2" t="s">
        <v>34</v>
      </c>
      <c r="M201" s="14">
        <f>$E$201/100*B247</f>
        <v>0</v>
      </c>
      <c r="N201" s="14">
        <f>$E$201/100*C247</f>
        <v>2896.385277524957</v>
      </c>
      <c r="O201" s="14">
        <f>$E$201/100*D247</f>
        <v>0</v>
      </c>
      <c r="P201" s="14">
        <f>$E$201/100*E247</f>
        <v>0</v>
      </c>
      <c r="Q201" s="14">
        <f>$E$201/100*F247</f>
        <v>0</v>
      </c>
      <c r="R201" s="14">
        <f>$E$201/100*G247</f>
        <v>5447.1357542066298</v>
      </c>
      <c r="S201" s="14">
        <f>$E$201/100*H247</f>
        <v>0</v>
      </c>
      <c r="T201" s="14">
        <f>$E$201/100*I247</f>
        <v>1199.1294609046724</v>
      </c>
      <c r="U201" s="14">
        <f>$E$201/100*J247</f>
        <v>0</v>
      </c>
      <c r="V201" s="14">
        <f t="shared" si="30"/>
        <v>9542.6504926362595</v>
      </c>
    </row>
    <row r="202" spans="1:22" ht="9.9499999999999993" customHeight="1" x14ac:dyDescent="0.15">
      <c r="A202" s="2" t="s">
        <v>99</v>
      </c>
      <c r="B202" s="87" t="s">
        <v>152</v>
      </c>
      <c r="C202" s="2" t="s">
        <v>175</v>
      </c>
      <c r="E202" s="14">
        <f>T71</f>
        <v>674410.25176303333</v>
      </c>
      <c r="F202" s="82">
        <f t="shared" si="34"/>
        <v>4.912764835644115E-2</v>
      </c>
      <c r="G202" s="16"/>
      <c r="L202" s="2" t="s">
        <v>99</v>
      </c>
      <c r="M202" s="14">
        <f>$E$202*B237/100</f>
        <v>22898.193059585712</v>
      </c>
      <c r="N202" s="14">
        <f>$E$202*C237/100</f>
        <v>44891.988362321303</v>
      </c>
      <c r="O202" s="14">
        <f>$E$202*D237/100</f>
        <v>129531.31312498689</v>
      </c>
      <c r="P202" s="14">
        <f>$E$202*E237/100</f>
        <v>113567.58685004985</v>
      </c>
      <c r="Q202" s="14">
        <f>$E$202*F237/100</f>
        <v>42674.223298280209</v>
      </c>
      <c r="R202" s="14">
        <f>$E$202*G237/100</f>
        <v>97242.664458971063</v>
      </c>
      <c r="S202" s="14">
        <f>$E$202*H237/100</f>
        <v>56907.730903309137</v>
      </c>
      <c r="T202" s="14">
        <f>$E$202*I237/100</f>
        <v>29708.320232665665</v>
      </c>
      <c r="U202" s="14">
        <f>$E$202*J237/100</f>
        <v>136988.2314728635</v>
      </c>
      <c r="V202" s="14">
        <f t="shared" si="30"/>
        <v>674410.25176303333</v>
      </c>
    </row>
    <row r="203" spans="1:22" ht="9.9499999999999993" customHeight="1" x14ac:dyDescent="0.15">
      <c r="A203" s="2" t="s">
        <v>36</v>
      </c>
      <c r="B203" s="63"/>
      <c r="E203" s="14">
        <f>T72</f>
        <v>0</v>
      </c>
      <c r="F203" s="82">
        <f t="shared" si="34"/>
        <v>0</v>
      </c>
      <c r="G203" s="16"/>
      <c r="L203" s="2" t="s">
        <v>36</v>
      </c>
      <c r="M203" s="14">
        <v>0</v>
      </c>
      <c r="N203" s="14">
        <v>0</v>
      </c>
      <c r="O203" s="14">
        <v>0</v>
      </c>
      <c r="P203" s="14">
        <v>0</v>
      </c>
      <c r="Q203" s="14">
        <v>0</v>
      </c>
      <c r="R203" s="14">
        <v>0</v>
      </c>
      <c r="S203" s="14">
        <v>0</v>
      </c>
      <c r="T203" s="14">
        <v>0</v>
      </c>
      <c r="U203" s="14">
        <v>0</v>
      </c>
      <c r="V203" s="14">
        <f t="shared" si="30"/>
        <v>0</v>
      </c>
    </row>
    <row r="204" spans="1:22" ht="9.9499999999999993" customHeight="1" x14ac:dyDescent="0.15">
      <c r="A204" s="2" t="s">
        <v>37</v>
      </c>
      <c r="B204" s="63"/>
      <c r="E204" s="14">
        <f>T73</f>
        <v>0</v>
      </c>
      <c r="F204" s="82">
        <f t="shared" si="34"/>
        <v>0</v>
      </c>
      <c r="G204" s="16"/>
      <c r="L204" s="2" t="s">
        <v>37</v>
      </c>
      <c r="M204" s="14">
        <v>0</v>
      </c>
      <c r="N204" s="14">
        <v>0</v>
      </c>
      <c r="O204" s="14">
        <v>0</v>
      </c>
      <c r="P204" s="14">
        <v>0</v>
      </c>
      <c r="Q204" s="14">
        <v>0</v>
      </c>
      <c r="R204" s="14">
        <v>0</v>
      </c>
      <c r="S204" s="14">
        <v>0</v>
      </c>
      <c r="T204" s="14">
        <v>0</v>
      </c>
      <c r="U204" s="14">
        <v>0</v>
      </c>
      <c r="V204" s="14">
        <f t="shared" si="30"/>
        <v>0</v>
      </c>
    </row>
    <row r="205" spans="1:22" ht="9.9499999999999993" customHeight="1" x14ac:dyDescent="0.15">
      <c r="A205" s="2" t="s">
        <v>122</v>
      </c>
      <c r="B205" s="87" t="s">
        <v>152</v>
      </c>
      <c r="C205" s="81" t="s">
        <v>158</v>
      </c>
      <c r="E205" s="14">
        <f>T86</f>
        <v>543.23708249999993</v>
      </c>
      <c r="F205" s="82">
        <f t="shared" si="34"/>
        <v>3.9572293412610106E-5</v>
      </c>
      <c r="G205" s="16"/>
      <c r="L205" s="2" t="s">
        <v>122</v>
      </c>
      <c r="M205" s="14">
        <f>$E205/100*B242</f>
        <v>0</v>
      </c>
      <c r="N205" s="14">
        <f>$E205/100*C242</f>
        <v>50.749999999999993</v>
      </c>
      <c r="O205" s="14">
        <f>$E205/100*D242</f>
        <v>50.749999999999993</v>
      </c>
      <c r="P205" s="14">
        <f>$E205/100*E242</f>
        <v>50.749999999999993</v>
      </c>
      <c r="Q205" s="14">
        <f>$E205/100*F242</f>
        <v>57.846635699999986</v>
      </c>
      <c r="R205" s="14">
        <f>$E205/100*G242</f>
        <v>50.749999999999993</v>
      </c>
      <c r="S205" s="14">
        <f>$E205/100*H242</f>
        <v>152.25</v>
      </c>
      <c r="T205" s="14">
        <f>$E205/100*I242</f>
        <v>79.390446799999992</v>
      </c>
      <c r="U205" s="14">
        <f>$E205/100*J242</f>
        <v>50.749999999999993</v>
      </c>
      <c r="V205" s="14">
        <f t="shared" si="30"/>
        <v>543.23708249999993</v>
      </c>
    </row>
    <row r="206" spans="1:22" ht="9.9499999999999993" customHeight="1" x14ac:dyDescent="0.15">
      <c r="A206" s="2" t="s">
        <v>125</v>
      </c>
      <c r="B206" s="87" t="s">
        <v>152</v>
      </c>
      <c r="C206" s="81" t="s">
        <v>159</v>
      </c>
      <c r="E206" s="14">
        <f>T87</f>
        <v>7801.1477439999999</v>
      </c>
      <c r="F206" s="82">
        <f t="shared" si="34"/>
        <v>5.6827730916305665E-4</v>
      </c>
      <c r="L206" s="2" t="s">
        <v>125</v>
      </c>
      <c r="M206" s="14">
        <f>$E206/100*B243</f>
        <v>0</v>
      </c>
      <c r="N206" s="14">
        <f>$E206/100*C243</f>
        <v>730.19655400000011</v>
      </c>
      <c r="O206" s="14">
        <f>$E206/100*D243</f>
        <v>555.76623799999982</v>
      </c>
      <c r="P206" s="14">
        <f>$E206/100*E243</f>
        <v>603.25326599999983</v>
      </c>
      <c r="Q206" s="14">
        <f>$E206/100*F243</f>
        <v>599.309214</v>
      </c>
      <c r="R206" s="14">
        <f>$E206/100*G243</f>
        <v>287.215756</v>
      </c>
      <c r="S206" s="14">
        <f>$E206/100*H243</f>
        <v>1183.2137379999997</v>
      </c>
      <c r="T206" s="14">
        <f>$E206/100*I243</f>
        <v>2251.8975219999998</v>
      </c>
      <c r="U206" s="14">
        <f>$E206/100*J243</f>
        <v>1590.2954560000001</v>
      </c>
      <c r="V206" s="14">
        <f t="shared" si="30"/>
        <v>7801.1477439999981</v>
      </c>
    </row>
    <row r="207" spans="1:22" ht="9.9499999999999993" customHeight="1" x14ac:dyDescent="0.15">
      <c r="E207" s="14"/>
      <c r="F207" s="78"/>
    </row>
    <row r="208" spans="1:22" ht="9.9499999999999993" customHeight="1" x14ac:dyDescent="0.15">
      <c r="A208" s="2" t="s">
        <v>52</v>
      </c>
      <c r="E208" s="14">
        <f>SUM(E172:E206)</f>
        <v>13727712.893357148</v>
      </c>
      <c r="F208" s="82">
        <f>SUM(F162:F206)</f>
        <v>1</v>
      </c>
      <c r="L208" s="2" t="s">
        <v>52</v>
      </c>
      <c r="M208" s="14">
        <f t="shared" ref="M208:U208" si="35">SUM(M172:M206)</f>
        <v>450620.82394507859</v>
      </c>
      <c r="N208" s="14">
        <f t="shared" si="35"/>
        <v>917145.69243020937</v>
      </c>
      <c r="O208" s="14">
        <f t="shared" si="35"/>
        <v>2548625.4678783012</v>
      </c>
      <c r="P208" s="14">
        <f t="shared" si="35"/>
        <v>2228405.5930960146</v>
      </c>
      <c r="Q208" s="14">
        <f t="shared" si="35"/>
        <v>892199.38388079091</v>
      </c>
      <c r="R208" s="14">
        <f t="shared" si="35"/>
        <v>1908496.9347322991</v>
      </c>
      <c r="S208" s="14">
        <f t="shared" si="35"/>
        <v>1159854.2539440657</v>
      </c>
      <c r="T208" s="14">
        <f t="shared" si="35"/>
        <v>623949.95350367285</v>
      </c>
      <c r="U208" s="14">
        <f t="shared" si="35"/>
        <v>2871256.6449467172</v>
      </c>
      <c r="V208" s="74">
        <f>SUM(M208:U208)</f>
        <v>13600554.748357147</v>
      </c>
    </row>
    <row r="209" spans="1:23" ht="9.9499999999999993" customHeight="1" x14ac:dyDescent="0.15">
      <c r="E209" s="14"/>
      <c r="F209" s="78"/>
      <c r="L209" s="79" t="s">
        <v>176</v>
      </c>
      <c r="M209" s="14">
        <f>B232</f>
        <v>6376</v>
      </c>
      <c r="N209" s="14">
        <f t="shared" ref="N209:U209" si="36">C232</f>
        <v>12324.5</v>
      </c>
      <c r="O209" s="14">
        <f t="shared" si="36"/>
        <v>35492</v>
      </c>
      <c r="P209" s="14">
        <f t="shared" si="36"/>
        <v>19788.580000000002</v>
      </c>
      <c r="Q209" s="14">
        <f t="shared" si="36"/>
        <v>9267.5</v>
      </c>
      <c r="R209" s="14">
        <f t="shared" si="36"/>
        <v>27473.764999999999</v>
      </c>
      <c r="S209" s="14">
        <f t="shared" si="36"/>
        <v>10549</v>
      </c>
      <c r="T209" s="14">
        <f t="shared" si="36"/>
        <v>5886.8</v>
      </c>
      <c r="U209" s="14">
        <f t="shared" si="36"/>
        <v>0</v>
      </c>
      <c r="V209" s="14">
        <f>SUM(M209:U209)</f>
        <v>127158.145</v>
      </c>
    </row>
    <row r="210" spans="1:23" ht="9.9499999999999993" customHeight="1" x14ac:dyDescent="0.15">
      <c r="E210" s="14"/>
      <c r="F210" s="78"/>
      <c r="L210" s="2" t="s">
        <v>177</v>
      </c>
      <c r="M210" s="74">
        <f>M208+M209</f>
        <v>456996.82394507859</v>
      </c>
      <c r="N210" s="74">
        <f t="shared" ref="N210:U210" si="37">N208+N209</f>
        <v>929470.19243020937</v>
      </c>
      <c r="O210" s="74">
        <f t="shared" si="37"/>
        <v>2584117.4678783012</v>
      </c>
      <c r="P210" s="74">
        <f t="shared" si="37"/>
        <v>2248194.1730960147</v>
      </c>
      <c r="Q210" s="74">
        <f t="shared" si="37"/>
        <v>901466.88388079091</v>
      </c>
      <c r="R210" s="74">
        <f t="shared" si="37"/>
        <v>1935970.699732299</v>
      </c>
      <c r="S210" s="74">
        <f t="shared" si="37"/>
        <v>1170403.2539440657</v>
      </c>
      <c r="T210" s="74">
        <f t="shared" si="37"/>
        <v>629836.7535036729</v>
      </c>
      <c r="U210" s="74">
        <f t="shared" si="37"/>
        <v>2871256.6449467172</v>
      </c>
      <c r="V210" s="74">
        <f>SUM(M210:U210)</f>
        <v>13727712.893357148</v>
      </c>
    </row>
    <row r="211" spans="1:23" ht="9.9499999999999993" customHeight="1" x14ac:dyDescent="0.15">
      <c r="E211" s="14"/>
      <c r="F211" s="78"/>
      <c r="L211" s="79"/>
      <c r="M211" s="14"/>
      <c r="N211" s="14"/>
      <c r="O211" s="14"/>
      <c r="P211" s="14"/>
      <c r="Q211" s="14"/>
      <c r="R211" s="14"/>
      <c r="S211" s="14"/>
      <c r="T211" s="14"/>
      <c r="U211" s="14"/>
      <c r="V211" s="14"/>
    </row>
    <row r="212" spans="1:23" ht="9.9499999999999993" customHeight="1" x14ac:dyDescent="0.2">
      <c r="A212" s="98"/>
      <c r="M212" s="74"/>
      <c r="N212" s="74"/>
      <c r="O212" s="74"/>
      <c r="P212" s="74"/>
      <c r="Q212" s="74"/>
      <c r="R212" s="74"/>
      <c r="S212" s="74"/>
      <c r="T212" s="74"/>
      <c r="U212" s="74"/>
      <c r="V212" s="74"/>
      <c r="W212" s="94"/>
    </row>
    <row r="213" spans="1:23" ht="9.9499999999999993" customHeight="1" x14ac:dyDescent="0.2">
      <c r="A213" s="98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94"/>
    </row>
    <row r="214" spans="1:23" ht="9.9499999999999993" customHeight="1" x14ac:dyDescent="0.15">
      <c r="A214" s="98"/>
    </row>
    <row r="215" spans="1:23" ht="9.9499999999999993" customHeight="1" x14ac:dyDescent="0.15">
      <c r="A215" s="1" t="s">
        <v>178</v>
      </c>
      <c r="B215" s="20" t="s">
        <v>130</v>
      </c>
      <c r="C215" s="20" t="s">
        <v>131</v>
      </c>
      <c r="D215" s="20" t="s">
        <v>132</v>
      </c>
      <c r="E215" s="20" t="s">
        <v>133</v>
      </c>
      <c r="F215" s="20" t="s">
        <v>134</v>
      </c>
      <c r="G215" s="20" t="s">
        <v>135</v>
      </c>
      <c r="H215" s="20" t="s">
        <v>136</v>
      </c>
      <c r="I215" s="20" t="s">
        <v>137</v>
      </c>
      <c r="J215" s="20" t="s">
        <v>138</v>
      </c>
      <c r="K215" s="51" t="s">
        <v>52</v>
      </c>
    </row>
    <row r="216" spans="1:23" ht="9.9499999999999993" customHeight="1" x14ac:dyDescent="0.15">
      <c r="A216" s="2" t="s">
        <v>179</v>
      </c>
      <c r="K216" s="14"/>
    </row>
    <row r="217" spans="1:23" ht="9.9499999999999993" customHeight="1" x14ac:dyDescent="0.15">
      <c r="A217" s="2" t="s">
        <v>180</v>
      </c>
      <c r="B217" s="14">
        <v>284709</v>
      </c>
      <c r="C217" s="14">
        <v>558173</v>
      </c>
      <c r="D217" s="14">
        <v>1610552</v>
      </c>
      <c r="E217" s="14">
        <v>1412064</v>
      </c>
      <c r="F217" s="14">
        <v>530598</v>
      </c>
      <c r="G217" s="14">
        <v>1209085</v>
      </c>
      <c r="H217" s="14">
        <v>707573</v>
      </c>
      <c r="I217" s="14">
        <v>369384</v>
      </c>
      <c r="J217" s="14">
        <v>1703269</v>
      </c>
      <c r="K217" s="14">
        <f>SUM(B217:J217)</f>
        <v>8385407</v>
      </c>
    </row>
    <row r="218" spans="1:23" ht="9.9499999999999993" customHeight="1" x14ac:dyDescent="0.15">
      <c r="A218" s="79" t="s">
        <v>143</v>
      </c>
      <c r="B218" s="99">
        <v>464696.98507462669</v>
      </c>
      <c r="C218" s="99">
        <v>1023623.7611940302</v>
      </c>
      <c r="D218" s="99">
        <v>2711234.7661691546</v>
      </c>
      <c r="E218" s="99">
        <v>2495259.4577114414</v>
      </c>
      <c r="F218" s="99">
        <v>972330.30845771136</v>
      </c>
      <c r="G218" s="99">
        <v>2156830.5522388052</v>
      </c>
      <c r="H218" s="99">
        <v>1231787.7064676615</v>
      </c>
      <c r="I218" s="99">
        <v>649714.06467661704</v>
      </c>
      <c r="J218" s="99">
        <v>3974294.3333333335</v>
      </c>
      <c r="K218" s="100">
        <f t="shared" ref="K218:K233" si="38">SUM(B218:J218)</f>
        <v>15679771.935323382</v>
      </c>
    </row>
    <row r="219" spans="1:23" ht="9.9499999999999993" customHeight="1" x14ac:dyDescent="0.15">
      <c r="A219" s="2" t="s">
        <v>156</v>
      </c>
      <c r="B219" s="14">
        <v>18951.171589999998</v>
      </c>
      <c r="C219" s="14">
        <v>55591.305670000002</v>
      </c>
      <c r="D219" s="14">
        <v>122372.47092000001</v>
      </c>
      <c r="E219" s="14">
        <v>121097.06001</v>
      </c>
      <c r="F219" s="14">
        <v>77585.241049999997</v>
      </c>
      <c r="G219" s="14">
        <v>111605.18475</v>
      </c>
      <c r="H219" s="14">
        <v>97260.114379999999</v>
      </c>
      <c r="I219" s="14">
        <v>49488.02637</v>
      </c>
      <c r="J219" s="14">
        <v>281437.01072999998</v>
      </c>
      <c r="K219" s="14">
        <f t="shared" si="38"/>
        <v>935387.58547000005</v>
      </c>
    </row>
    <row r="220" spans="1:23" ht="9.9499999999999993" customHeight="1" x14ac:dyDescent="0.15">
      <c r="A220" s="2" t="s">
        <v>181</v>
      </c>
      <c r="B220" s="14">
        <v>165.68650000000002</v>
      </c>
      <c r="C220" s="14">
        <v>540.67741999999998</v>
      </c>
      <c r="D220" s="14">
        <v>892.04573999999991</v>
      </c>
      <c r="E220" s="14">
        <v>1168.1135700000002</v>
      </c>
      <c r="F220" s="14">
        <v>436.92237999999998</v>
      </c>
      <c r="G220" s="14">
        <v>797.47170999999992</v>
      </c>
      <c r="H220" s="14">
        <v>682.77450999999996</v>
      </c>
      <c r="I220" s="14">
        <v>139.18544999999997</v>
      </c>
      <c r="J220" s="14">
        <v>939.05013000000008</v>
      </c>
      <c r="K220" s="14">
        <f t="shared" si="38"/>
        <v>5761.9274100000002</v>
      </c>
    </row>
    <row r="221" spans="1:23" ht="9.9499999999999993" customHeight="1" x14ac:dyDescent="0.15">
      <c r="A221" s="2" t="s">
        <v>182</v>
      </c>
      <c r="B221" s="14">
        <v>23.11936</v>
      </c>
      <c r="C221" s="14">
        <v>8617.3700399999998</v>
      </c>
      <c r="D221" s="14">
        <v>1956.7076600000003</v>
      </c>
      <c r="E221" s="14">
        <v>1532.0585099999998</v>
      </c>
      <c r="F221" s="14">
        <v>2429.9945899999998</v>
      </c>
      <c r="G221" s="14">
        <v>781.04335000000003</v>
      </c>
      <c r="H221" s="14">
        <v>439.09100000000007</v>
      </c>
      <c r="I221" s="14">
        <v>1489.8101999999999</v>
      </c>
      <c r="J221" s="14">
        <v>3857.0721100000001</v>
      </c>
      <c r="K221" s="14">
        <f t="shared" si="38"/>
        <v>21126.266820000004</v>
      </c>
    </row>
    <row r="222" spans="1:23" ht="9.9499999999999993" customHeight="1" x14ac:dyDescent="0.15">
      <c r="A222" s="45" t="s">
        <v>183</v>
      </c>
      <c r="B222" s="14">
        <v>0</v>
      </c>
      <c r="C222" s="14">
        <v>725</v>
      </c>
      <c r="D222" s="14">
        <v>725</v>
      </c>
      <c r="E222" s="14">
        <v>725</v>
      </c>
      <c r="F222" s="14">
        <v>826.38050999999996</v>
      </c>
      <c r="G222" s="14">
        <v>725</v>
      </c>
      <c r="H222" s="14">
        <v>2175</v>
      </c>
      <c r="I222" s="14">
        <v>1134.14924</v>
      </c>
      <c r="J222" s="14">
        <v>725</v>
      </c>
      <c r="K222" s="14">
        <f t="shared" si="38"/>
        <v>7760.5297499999997</v>
      </c>
    </row>
    <row r="223" spans="1:23" ht="9.9499999999999993" customHeight="1" x14ac:dyDescent="0.15">
      <c r="A223" s="45" t="s">
        <v>184</v>
      </c>
      <c r="B223" s="14">
        <v>0</v>
      </c>
      <c r="C223" s="14">
        <v>3650.9827700000005</v>
      </c>
      <c r="D223" s="14">
        <v>2778.8311899999994</v>
      </c>
      <c r="E223" s="14">
        <v>3016.2663299999995</v>
      </c>
      <c r="F223" s="14">
        <v>2996.5460700000003</v>
      </c>
      <c r="G223" s="14">
        <v>1436.0787800000003</v>
      </c>
      <c r="H223" s="14">
        <v>5916.0686900000001</v>
      </c>
      <c r="I223" s="14">
        <v>11259.48761</v>
      </c>
      <c r="J223" s="14">
        <v>7951.477280000001</v>
      </c>
      <c r="K223" s="14">
        <f t="shared" si="38"/>
        <v>39005.738720000001</v>
      </c>
    </row>
    <row r="224" spans="1:23" ht="9.9499999999999993" customHeight="1" x14ac:dyDescent="0.15">
      <c r="A224" s="2" t="s">
        <v>185</v>
      </c>
      <c r="B224" s="2">
        <v>2.5720000000000001</v>
      </c>
      <c r="C224" s="2">
        <v>6.8970000000000002</v>
      </c>
      <c r="D224" s="2">
        <v>14.451000000000001</v>
      </c>
      <c r="E224" s="2">
        <v>13.692</v>
      </c>
      <c r="F224" s="2">
        <v>6.4290000000000003</v>
      </c>
      <c r="G224" s="2">
        <v>12.884</v>
      </c>
      <c r="H224" s="2">
        <v>7.9820000000000002</v>
      </c>
      <c r="I224" s="2">
        <v>3.7170000000000001</v>
      </c>
      <c r="J224" s="2">
        <v>31.376000000000001</v>
      </c>
      <c r="K224" s="102">
        <f t="shared" si="38"/>
        <v>100.00000000000001</v>
      </c>
    </row>
    <row r="225" spans="1:12" ht="9.9499999999999993" customHeight="1" x14ac:dyDescent="0.15">
      <c r="A225" s="2" t="s">
        <v>186</v>
      </c>
      <c r="B225" s="102">
        <v>2.5049999999999999</v>
      </c>
      <c r="C225" s="102">
        <v>8.4960000000000004</v>
      </c>
      <c r="D225" s="102">
        <v>15.185</v>
      </c>
      <c r="E225" s="102">
        <v>14.587</v>
      </c>
      <c r="F225" s="102">
        <v>9.4260000000000002</v>
      </c>
      <c r="G225" s="102">
        <v>13.086</v>
      </c>
      <c r="H225" s="102">
        <v>14.512</v>
      </c>
      <c r="I225" s="102">
        <v>4.8109999999999999</v>
      </c>
      <c r="J225" s="102">
        <v>17.391999999999999</v>
      </c>
      <c r="K225" s="102">
        <f t="shared" si="38"/>
        <v>100</v>
      </c>
    </row>
    <row r="226" spans="1:12" ht="9.9499999999999993" customHeight="1" x14ac:dyDescent="0.15">
      <c r="A226" s="2" t="s">
        <v>187</v>
      </c>
      <c r="B226" s="102">
        <v>0.11799999999999999</v>
      </c>
      <c r="C226" s="102">
        <v>1.0189999999999999</v>
      </c>
      <c r="D226" s="102">
        <v>14.471</v>
      </c>
      <c r="E226" s="102">
        <v>7.2480000000000002</v>
      </c>
      <c r="F226" s="102">
        <v>4.9370000000000003</v>
      </c>
      <c r="G226" s="102">
        <v>2.48</v>
      </c>
      <c r="H226" s="102">
        <v>1.077</v>
      </c>
      <c r="I226" s="102">
        <v>0.79700000000000004</v>
      </c>
      <c r="J226" s="102">
        <v>67.852999999999994</v>
      </c>
      <c r="K226" s="102">
        <f t="shared" si="38"/>
        <v>100</v>
      </c>
    </row>
    <row r="227" spans="1:12" ht="9.9499999999999993" customHeight="1" x14ac:dyDescent="0.15">
      <c r="A227" s="2" t="s">
        <v>188</v>
      </c>
      <c r="B227" s="102">
        <v>0</v>
      </c>
      <c r="C227" s="102">
        <v>30.352</v>
      </c>
      <c r="D227" s="102">
        <v>0</v>
      </c>
      <c r="E227" s="102">
        <v>0</v>
      </c>
      <c r="F227" s="102">
        <v>0</v>
      </c>
      <c r="G227" s="102">
        <v>57.082000000000001</v>
      </c>
      <c r="H227" s="102">
        <v>0</v>
      </c>
      <c r="I227" s="102">
        <v>12.566000000000001</v>
      </c>
      <c r="J227" s="102">
        <v>0</v>
      </c>
      <c r="K227" s="102">
        <f t="shared" si="38"/>
        <v>100</v>
      </c>
    </row>
    <row r="228" spans="1:12" ht="9.9499999999999993" customHeight="1" x14ac:dyDescent="0.15">
      <c r="A228" s="2" t="s">
        <v>189</v>
      </c>
      <c r="B228" s="102">
        <v>1.26</v>
      </c>
      <c r="C228" s="102">
        <v>5.2909999999999995</v>
      </c>
      <c r="D228" s="102">
        <v>13.548999999999999</v>
      </c>
      <c r="E228" s="102">
        <v>16.498999999999999</v>
      </c>
      <c r="F228" s="102">
        <v>8.2509999999999994</v>
      </c>
      <c r="G228" s="102">
        <v>9.338000000000001</v>
      </c>
      <c r="H228" s="102">
        <v>8.9390000000000001</v>
      </c>
      <c r="I228" s="102">
        <v>5.9809999999999999</v>
      </c>
      <c r="J228" s="102">
        <v>30.891999999999996</v>
      </c>
      <c r="K228" s="102">
        <f t="shared" si="38"/>
        <v>99.999999999999986</v>
      </c>
    </row>
    <row r="229" spans="1:12" ht="9.9499999999999993" customHeight="1" x14ac:dyDescent="0.15">
      <c r="A229" s="2" t="s">
        <v>190</v>
      </c>
      <c r="B229" s="102">
        <v>3.25</v>
      </c>
      <c r="C229" s="102">
        <v>6.8809999999999993</v>
      </c>
      <c r="D229" s="102">
        <v>17.898</v>
      </c>
      <c r="E229" s="102">
        <v>15.828999999999999</v>
      </c>
      <c r="F229" s="102">
        <v>6.976</v>
      </c>
      <c r="G229" s="102">
        <v>13.744</v>
      </c>
      <c r="H229" s="102">
        <v>8.8130000000000006</v>
      </c>
      <c r="I229" s="102">
        <v>4.923</v>
      </c>
      <c r="J229" s="102">
        <v>21.686</v>
      </c>
      <c r="K229" s="102">
        <f t="shared" si="38"/>
        <v>100</v>
      </c>
    </row>
    <row r="230" spans="1:12" ht="9.9499999999999993" customHeight="1" x14ac:dyDescent="0.15">
      <c r="A230" s="2" t="s">
        <v>191</v>
      </c>
      <c r="B230" s="63">
        <v>671.29899999999998</v>
      </c>
      <c r="C230" s="63">
        <v>3004.4290000000001</v>
      </c>
      <c r="D230" s="63">
        <v>6184.1880000000001</v>
      </c>
      <c r="E230" s="63">
        <v>7013.6</v>
      </c>
      <c r="F230" s="63">
        <v>4155.6000000000004</v>
      </c>
      <c r="G230" s="63">
        <v>5338.1880000000001</v>
      </c>
      <c r="H230" s="63">
        <v>3010.0160000000001</v>
      </c>
      <c r="I230" s="63">
        <v>2968.4180000000001</v>
      </c>
      <c r="J230" s="63">
        <v>0</v>
      </c>
      <c r="K230" s="102">
        <f t="shared" si="38"/>
        <v>32345.738000000005</v>
      </c>
    </row>
    <row r="231" spans="1:12" ht="9.9499999999999993" customHeight="1" x14ac:dyDescent="0.15">
      <c r="A231" s="2" t="s">
        <v>192</v>
      </c>
      <c r="B231" s="63">
        <v>841</v>
      </c>
      <c r="C231" s="63">
        <v>2231</v>
      </c>
      <c r="D231" s="63">
        <v>26585</v>
      </c>
      <c r="E231" s="63">
        <v>2045</v>
      </c>
      <c r="F231" s="63">
        <v>1832</v>
      </c>
      <c r="G231" s="63">
        <v>3085</v>
      </c>
      <c r="H231" s="63">
        <v>1825</v>
      </c>
      <c r="I231" s="63">
        <v>1449</v>
      </c>
      <c r="J231" s="63">
        <v>39112</v>
      </c>
      <c r="K231" s="102">
        <f t="shared" si="38"/>
        <v>79005</v>
      </c>
    </row>
    <row r="232" spans="1:12" ht="9.9499999999999993" customHeight="1" x14ac:dyDescent="0.15">
      <c r="A232" s="2" t="s">
        <v>193</v>
      </c>
      <c r="B232" s="63">
        <v>6376</v>
      </c>
      <c r="C232" s="63">
        <v>12324.5</v>
      </c>
      <c r="D232" s="63">
        <v>35492</v>
      </c>
      <c r="E232" s="63">
        <v>19788.580000000002</v>
      </c>
      <c r="F232" s="63">
        <v>9267.5</v>
      </c>
      <c r="G232" s="63">
        <v>27473.764999999999</v>
      </c>
      <c r="H232" s="63">
        <v>10549</v>
      </c>
      <c r="I232" s="63">
        <v>5886.8</v>
      </c>
      <c r="J232" s="63">
        <v>0</v>
      </c>
      <c r="K232" s="102">
        <f t="shared" si="38"/>
        <v>127158.145</v>
      </c>
      <c r="L232" s="102"/>
    </row>
    <row r="233" spans="1:12" ht="9.9499999999999993" customHeight="1" x14ac:dyDescent="0.15">
      <c r="A233" s="2" t="s">
        <v>194</v>
      </c>
      <c r="B233" s="63">
        <v>6376</v>
      </c>
      <c r="C233" s="63">
        <v>12324.5</v>
      </c>
      <c r="D233" s="63">
        <v>37304</v>
      </c>
      <c r="E233" s="63">
        <v>37457.42</v>
      </c>
      <c r="F233" s="63">
        <v>9267.5</v>
      </c>
      <c r="G233" s="63">
        <v>38818.235000000001</v>
      </c>
      <c r="H233" s="63">
        <v>19591</v>
      </c>
      <c r="I233" s="63">
        <v>8830.2000000000007</v>
      </c>
      <c r="J233" s="63">
        <v>74687</v>
      </c>
      <c r="K233" s="102">
        <f t="shared" si="38"/>
        <v>244655.85500000001</v>
      </c>
    </row>
    <row r="235" spans="1:12" ht="9.9499999999999993" customHeight="1" x14ac:dyDescent="0.15">
      <c r="A235" s="1" t="s">
        <v>178</v>
      </c>
      <c r="B235" s="20" t="s">
        <v>130</v>
      </c>
      <c r="C235" s="20" t="s">
        <v>131</v>
      </c>
      <c r="D235" s="20" t="s">
        <v>132</v>
      </c>
      <c r="E235" s="20" t="s">
        <v>133</v>
      </c>
      <c r="F235" s="20" t="s">
        <v>134</v>
      </c>
      <c r="G235" s="20" t="s">
        <v>135</v>
      </c>
      <c r="H235" s="20" t="s">
        <v>136</v>
      </c>
      <c r="I235" s="20" t="s">
        <v>137</v>
      </c>
      <c r="J235" s="20" t="s">
        <v>138</v>
      </c>
      <c r="K235" s="51" t="s">
        <v>52</v>
      </c>
    </row>
    <row r="236" spans="1:12" ht="9.9499999999999993" customHeight="1" x14ac:dyDescent="0.15">
      <c r="K236" s="14"/>
    </row>
    <row r="237" spans="1:12" ht="9.9499999999999993" customHeight="1" x14ac:dyDescent="0.15">
      <c r="A237" s="2" t="s">
        <v>142</v>
      </c>
      <c r="B237" s="101">
        <f>B217*100/$K217</f>
        <v>3.3952913674911667</v>
      </c>
      <c r="C237" s="101">
        <f>C217*100/$K217</f>
        <v>6.656480717036156</v>
      </c>
      <c r="D237" s="101">
        <f>D217*100/$K217</f>
        <v>19.206604998421664</v>
      </c>
      <c r="E237" s="101">
        <f>E217*100/$K217</f>
        <v>16.839540406327327</v>
      </c>
      <c r="F237" s="101">
        <f>F217*100/$K217</f>
        <v>6.3276356174482649</v>
      </c>
      <c r="G237" s="101">
        <f>G217*100/$K217</f>
        <v>14.41891848541162</v>
      </c>
      <c r="H237" s="101">
        <f>H217*100/$K217</f>
        <v>8.4381473672059091</v>
      </c>
      <c r="I237" s="101">
        <f>I217*100/$K217</f>
        <v>4.4050813514478184</v>
      </c>
      <c r="J237" s="101">
        <f>J217*100/$K217</f>
        <v>20.312299689210075</v>
      </c>
      <c r="K237" s="101">
        <f>SUM(B237:J237)</f>
        <v>100.00000000000001</v>
      </c>
    </row>
    <row r="238" spans="1:12" ht="9.9499999999999993" customHeight="1" x14ac:dyDescent="0.15">
      <c r="A238" s="2" t="s">
        <v>143</v>
      </c>
      <c r="B238" s="101">
        <f>B218*100/$K218</f>
        <v>2.9636718377756344</v>
      </c>
      <c r="C238" s="101">
        <f>C218*100/$K218</f>
        <v>6.5283077165683201</v>
      </c>
      <c r="D238" s="101">
        <f>D218*100/$K218</f>
        <v>17.291289550336419</v>
      </c>
      <c r="E238" s="101">
        <f>E218*100/$K218</f>
        <v>15.913875967099511</v>
      </c>
      <c r="F238" s="101">
        <f>F218*100/$K218</f>
        <v>6.2011763466230407</v>
      </c>
      <c r="G238" s="101">
        <f>G218*100/$K218</f>
        <v>13.75549696217136</v>
      </c>
      <c r="H238" s="101">
        <f>H218*100/$K218</f>
        <v>7.8559032079585984</v>
      </c>
      <c r="I238" s="101">
        <f>I218*100/$K218</f>
        <v>4.1436448652224431</v>
      </c>
      <c r="J238" s="101">
        <f>J218*100/$K218</f>
        <v>25.346633546244671</v>
      </c>
      <c r="K238" s="101">
        <f>SUM(B238:J238)</f>
        <v>100.00000000000001</v>
      </c>
    </row>
    <row r="239" spans="1:12" ht="9.9499999999999993" customHeight="1" x14ac:dyDescent="0.15">
      <c r="A239" s="2" t="s">
        <v>156</v>
      </c>
      <c r="B239" s="101">
        <f>B219*100/$K219</f>
        <v>2.0260234243410111</v>
      </c>
      <c r="C239" s="101">
        <f>C219*100/$K219</f>
        <v>5.9431305838923745</v>
      </c>
      <c r="D239" s="101">
        <f>D219*100/$K219</f>
        <v>13.082541699386789</v>
      </c>
      <c r="E239" s="101">
        <f>E219*100/$K219</f>
        <v>12.946190637023784</v>
      </c>
      <c r="F239" s="101">
        <f>F219*100/$K219</f>
        <v>8.294448446310744</v>
      </c>
      <c r="G239" s="101">
        <f>G219*100/$K219</f>
        <v>11.931437457973342</v>
      </c>
      <c r="H239" s="101">
        <f>H219*100/$K219</f>
        <v>10.397841054425598</v>
      </c>
      <c r="I239" s="101">
        <f>I219*100/$K219</f>
        <v>5.29064391475048</v>
      </c>
      <c r="J239" s="101">
        <f>J219*100/$K219</f>
        <v>30.087742781895869</v>
      </c>
      <c r="K239" s="101">
        <f t="shared" ref="K239:K251" si="39">SUM(B239:J239)</f>
        <v>99.999999999999986</v>
      </c>
    </row>
    <row r="240" spans="1:12" ht="9.9499999999999993" customHeight="1" x14ac:dyDescent="0.15">
      <c r="A240" s="2" t="s">
        <v>181</v>
      </c>
      <c r="B240" s="101">
        <f>B220*100/$K220</f>
        <v>2.8755395236747701</v>
      </c>
      <c r="C240" s="101">
        <f>C220*100/$K220</f>
        <v>9.3836208186454737</v>
      </c>
      <c r="D240" s="101">
        <f>D220*100/$K220</f>
        <v>15.481724716833943</v>
      </c>
      <c r="E240" s="101">
        <f>E220*100/$K220</f>
        <v>20.272965743593083</v>
      </c>
      <c r="F240" s="101">
        <f>F220*100/$K220</f>
        <v>7.5829205908027912</v>
      </c>
      <c r="G240" s="101">
        <f>G220*100/$K220</f>
        <v>13.840363705657996</v>
      </c>
      <c r="H240" s="101">
        <f>H220*100/$K220</f>
        <v>11.849758968067249</v>
      </c>
      <c r="I240" s="101">
        <f>I220*100/$K220</f>
        <v>2.4156057530061799</v>
      </c>
      <c r="J240" s="101">
        <f>J220*100/$K220</f>
        <v>16.297500179718508</v>
      </c>
      <c r="K240" s="101">
        <f t="shared" si="39"/>
        <v>100</v>
      </c>
    </row>
    <row r="241" spans="1:11" ht="9.9499999999999993" customHeight="1" x14ac:dyDescent="0.15">
      <c r="A241" s="2" t="s">
        <v>182</v>
      </c>
      <c r="B241" s="101">
        <f>B221*100/$K221</f>
        <v>0.10943419486737314</v>
      </c>
      <c r="C241" s="101">
        <f>C221*100/$K221</f>
        <v>40.78983813572794</v>
      </c>
      <c r="D241" s="101">
        <f>D221*100/$K221</f>
        <v>9.2619660476294214</v>
      </c>
      <c r="E241" s="101">
        <f>E221*100/$K221</f>
        <v>7.251913094980023</v>
      </c>
      <c r="F241" s="101">
        <f>F221*100/$K221</f>
        <v>11.502243206071556</v>
      </c>
      <c r="G241" s="101">
        <f>G221*100/$K221</f>
        <v>3.6970249247282769</v>
      </c>
      <c r="H241" s="101">
        <f>H221*100/$K221</f>
        <v>2.0784126402508436</v>
      </c>
      <c r="I241" s="101">
        <f>I221*100/$K221</f>
        <v>7.0519330873432544</v>
      </c>
      <c r="J241" s="101">
        <f>J221*100/$K221</f>
        <v>18.257234668401292</v>
      </c>
      <c r="K241" s="101">
        <f t="shared" si="39"/>
        <v>100</v>
      </c>
    </row>
    <row r="242" spans="1:11" ht="9.9499999999999993" customHeight="1" x14ac:dyDescent="0.15">
      <c r="A242" s="45" t="s">
        <v>183</v>
      </c>
      <c r="B242" s="101">
        <f>B222*100/$K222</f>
        <v>0</v>
      </c>
      <c r="C242" s="101">
        <f>C222*100/$K222</f>
        <v>9.3421457472023732</v>
      </c>
      <c r="D242" s="101">
        <f>D222*100/$K222</f>
        <v>9.3421457472023732</v>
      </c>
      <c r="E242" s="101">
        <f>E222*100/$K222</f>
        <v>9.3421457472023732</v>
      </c>
      <c r="F242" s="101">
        <f>F222*100/$K222</f>
        <v>10.648506437334383</v>
      </c>
      <c r="G242" s="101">
        <f>G222*100/$K222</f>
        <v>9.3421457472023732</v>
      </c>
      <c r="H242" s="101">
        <f>H222*100/$K222</f>
        <v>28.026437241607123</v>
      </c>
      <c r="I242" s="101">
        <f>I222*100/$K222</f>
        <v>14.614327585046627</v>
      </c>
      <c r="J242" s="101">
        <f>J222*100/$K222</f>
        <v>9.3421457472023732</v>
      </c>
      <c r="K242" s="101">
        <f t="shared" si="39"/>
        <v>100</v>
      </c>
    </row>
    <row r="243" spans="1:11" ht="9.9499999999999993" customHeight="1" x14ac:dyDescent="0.15">
      <c r="A243" s="45" t="s">
        <v>184</v>
      </c>
      <c r="B243" s="101">
        <f>B223*100/$K223</f>
        <v>0</v>
      </c>
      <c r="C243" s="101">
        <f>C223*100/$K223</f>
        <v>9.3601169720392381</v>
      </c>
      <c r="D243" s="101">
        <f>D223*100/$K223</f>
        <v>7.1241598831075779</v>
      </c>
      <c r="E243" s="101">
        <f>E223*100/$K223</f>
        <v>7.7328783634943026</v>
      </c>
      <c r="F243" s="101">
        <f>F223*100/$K223</f>
        <v>7.6823210336061036</v>
      </c>
      <c r="G243" s="101">
        <f>G223*100/$K223</f>
        <v>3.6817115304719454</v>
      </c>
      <c r="H243" s="101">
        <f>H223*100/$K223</f>
        <v>15.167175098177449</v>
      </c>
      <c r="I243" s="101">
        <f>I223*100/$K223</f>
        <v>28.866233481246063</v>
      </c>
      <c r="J243" s="101">
        <f>J223*100/$K223</f>
        <v>20.385403637857319</v>
      </c>
      <c r="K243" s="101">
        <f t="shared" si="39"/>
        <v>100.00000000000001</v>
      </c>
    </row>
    <row r="244" spans="1:11" ht="9.9499999999999993" customHeight="1" x14ac:dyDescent="0.15">
      <c r="A244" s="2" t="s">
        <v>185</v>
      </c>
      <c r="B244" s="101">
        <f>B224*100/$K224</f>
        <v>2.5719999999999996</v>
      </c>
      <c r="C244" s="101">
        <f>C224*100/$K224</f>
        <v>6.8969999999999994</v>
      </c>
      <c r="D244" s="101">
        <f>D224*100/$K224</f>
        <v>14.450999999999999</v>
      </c>
      <c r="E244" s="101">
        <f>E224*100/$K224</f>
        <v>13.691999999999998</v>
      </c>
      <c r="F244" s="101">
        <f>F224*100/$K224</f>
        <v>6.4289999999999985</v>
      </c>
      <c r="G244" s="101">
        <f>G224*100/$K224</f>
        <v>12.883999999999999</v>
      </c>
      <c r="H244" s="101">
        <f>H224*100/$K224</f>
        <v>7.9819999999999993</v>
      </c>
      <c r="I244" s="101">
        <f>I224*100/$K224</f>
        <v>3.7169999999999992</v>
      </c>
      <c r="J244" s="101">
        <f>J224*100/$K224</f>
        <v>31.375999999999994</v>
      </c>
      <c r="K244" s="101">
        <f t="shared" si="39"/>
        <v>99.999999999999986</v>
      </c>
    </row>
    <row r="245" spans="1:11" ht="9.9499999999999993" customHeight="1" x14ac:dyDescent="0.15">
      <c r="A245" s="2" t="s">
        <v>186</v>
      </c>
      <c r="B245" s="101">
        <f>B225*100/$K225</f>
        <v>2.5049999999999999</v>
      </c>
      <c r="C245" s="101">
        <f>C225*100/$K225</f>
        <v>8.4960000000000004</v>
      </c>
      <c r="D245" s="101">
        <f>D225*100/$K225</f>
        <v>15.185</v>
      </c>
      <c r="E245" s="101">
        <f>E225*100/$K225</f>
        <v>14.587</v>
      </c>
      <c r="F245" s="101">
        <f>F225*100/$K225</f>
        <v>9.4260000000000002</v>
      </c>
      <c r="G245" s="101">
        <f>G225*100/$K225</f>
        <v>13.086000000000002</v>
      </c>
      <c r="H245" s="101">
        <f>H225*100/$K225</f>
        <v>14.512</v>
      </c>
      <c r="I245" s="101">
        <f>I225*100/$K225</f>
        <v>4.8109999999999999</v>
      </c>
      <c r="J245" s="101">
        <f>J225*100/$K225</f>
        <v>17.391999999999999</v>
      </c>
      <c r="K245" s="101">
        <f t="shared" si="39"/>
        <v>100</v>
      </c>
    </row>
    <row r="246" spans="1:11" ht="9.9499999999999993" customHeight="1" x14ac:dyDescent="0.15">
      <c r="A246" s="2" t="s">
        <v>187</v>
      </c>
      <c r="B246" s="101">
        <f>B226*100/$K226</f>
        <v>0.11799999999999999</v>
      </c>
      <c r="C246" s="101">
        <f>C226*100/$K226</f>
        <v>1.0189999999999999</v>
      </c>
      <c r="D246" s="101">
        <f>D226*100/$K226</f>
        <v>14.470999999999998</v>
      </c>
      <c r="E246" s="101">
        <f>E226*100/$K226</f>
        <v>7.2480000000000011</v>
      </c>
      <c r="F246" s="101">
        <f>F226*100/$K226</f>
        <v>4.9370000000000003</v>
      </c>
      <c r="G246" s="101">
        <f>G226*100/$K226</f>
        <v>2.48</v>
      </c>
      <c r="H246" s="101">
        <f>H226*100/$K226</f>
        <v>1.077</v>
      </c>
      <c r="I246" s="101">
        <f>I226*100/$K226</f>
        <v>0.79700000000000004</v>
      </c>
      <c r="J246" s="101">
        <f>J226*100/$K226</f>
        <v>67.852999999999994</v>
      </c>
      <c r="K246" s="101">
        <f t="shared" si="39"/>
        <v>100</v>
      </c>
    </row>
    <row r="247" spans="1:11" ht="9.9499999999999993" customHeight="1" x14ac:dyDescent="0.15">
      <c r="A247" s="2" t="s">
        <v>188</v>
      </c>
      <c r="B247" s="101">
        <f>B227*100/$K227</f>
        <v>0</v>
      </c>
      <c r="C247" s="101">
        <f>C227*100/$K227</f>
        <v>30.351999999999997</v>
      </c>
      <c r="D247" s="101">
        <f>D227*100/$K227</f>
        <v>0</v>
      </c>
      <c r="E247" s="101">
        <f>E227*100/$K227</f>
        <v>0</v>
      </c>
      <c r="F247" s="101">
        <f>F227*100/$K227</f>
        <v>0</v>
      </c>
      <c r="G247" s="101">
        <f>G227*100/$K227</f>
        <v>57.082000000000001</v>
      </c>
      <c r="H247" s="101">
        <f>H227*100/$K227</f>
        <v>0</v>
      </c>
      <c r="I247" s="101">
        <f>I227*100/$K227</f>
        <v>12.566000000000001</v>
      </c>
      <c r="J247" s="101">
        <f>J227*100/$K227</f>
        <v>0</v>
      </c>
      <c r="K247" s="101">
        <f t="shared" si="39"/>
        <v>100</v>
      </c>
    </row>
    <row r="248" spans="1:11" ht="9.9499999999999993" customHeight="1" x14ac:dyDescent="0.15">
      <c r="A248" s="2" t="s">
        <v>189</v>
      </c>
      <c r="B248" s="101">
        <f t="shared" ref="B248:J253" si="40">B228*100/$K228</f>
        <v>1.2600000000000002</v>
      </c>
      <c r="C248" s="101">
        <f t="shared" si="40"/>
        <v>5.2909999999999995</v>
      </c>
      <c r="D248" s="101">
        <f t="shared" si="40"/>
        <v>13.549000000000001</v>
      </c>
      <c r="E248" s="101">
        <f t="shared" si="40"/>
        <v>16.499000000000002</v>
      </c>
      <c r="F248" s="101">
        <f t="shared" si="40"/>
        <v>8.2509999999999994</v>
      </c>
      <c r="G248" s="101">
        <f t="shared" si="40"/>
        <v>9.3380000000000027</v>
      </c>
      <c r="H248" s="101">
        <f t="shared" si="40"/>
        <v>8.9390000000000018</v>
      </c>
      <c r="I248" s="101">
        <f t="shared" si="40"/>
        <v>5.9810000000000008</v>
      </c>
      <c r="J248" s="101">
        <f t="shared" si="40"/>
        <v>30.892000000000003</v>
      </c>
      <c r="K248" s="101">
        <f t="shared" si="39"/>
        <v>100</v>
      </c>
    </row>
    <row r="249" spans="1:11" ht="9.9499999999999993" customHeight="1" x14ac:dyDescent="0.15">
      <c r="A249" s="2" t="s">
        <v>190</v>
      </c>
      <c r="B249" s="101">
        <f t="shared" si="40"/>
        <v>3.25</v>
      </c>
      <c r="C249" s="101">
        <f t="shared" si="40"/>
        <v>6.8809999999999993</v>
      </c>
      <c r="D249" s="101">
        <f t="shared" si="40"/>
        <v>17.898</v>
      </c>
      <c r="E249" s="101">
        <f t="shared" si="40"/>
        <v>15.828999999999999</v>
      </c>
      <c r="F249" s="101">
        <f t="shared" si="40"/>
        <v>6.976</v>
      </c>
      <c r="G249" s="101">
        <f t="shared" si="40"/>
        <v>13.744000000000002</v>
      </c>
      <c r="H249" s="101">
        <f t="shared" si="40"/>
        <v>8.8130000000000006</v>
      </c>
      <c r="I249" s="101">
        <f t="shared" si="40"/>
        <v>4.923</v>
      </c>
      <c r="J249" s="101">
        <f t="shared" si="40"/>
        <v>21.686</v>
      </c>
      <c r="K249" s="101">
        <f t="shared" si="39"/>
        <v>100</v>
      </c>
    </row>
    <row r="250" spans="1:11" ht="9.9499999999999993" customHeight="1" x14ac:dyDescent="0.15">
      <c r="A250" s="2" t="s">
        <v>191</v>
      </c>
      <c r="B250" s="101">
        <f t="shared" si="40"/>
        <v>2.0753862533604885</v>
      </c>
      <c r="C250" s="101">
        <f t="shared" si="40"/>
        <v>9.2884849311522881</v>
      </c>
      <c r="D250" s="101">
        <f t="shared" si="40"/>
        <v>19.119019637146629</v>
      </c>
      <c r="E250" s="101">
        <f t="shared" si="40"/>
        <v>21.683227632648229</v>
      </c>
      <c r="F250" s="101">
        <f t="shared" si="40"/>
        <v>12.847442219435525</v>
      </c>
      <c r="G250" s="101">
        <f t="shared" si="40"/>
        <v>16.503528223718376</v>
      </c>
      <c r="H250" s="101">
        <f t="shared" si="40"/>
        <v>9.3057576859121287</v>
      </c>
      <c r="I250" s="101">
        <f t="shared" si="40"/>
        <v>9.1771534166263251</v>
      </c>
      <c r="J250" s="101">
        <f t="shared" si="40"/>
        <v>0</v>
      </c>
      <c r="K250" s="101">
        <f t="shared" si="39"/>
        <v>99.999999999999986</v>
      </c>
    </row>
    <row r="251" spans="1:11" ht="9.9499999999999993" customHeight="1" x14ac:dyDescent="0.15">
      <c r="A251" s="2" t="s">
        <v>192</v>
      </c>
      <c r="B251" s="101">
        <f t="shared" si="40"/>
        <v>1.0644895892665021</v>
      </c>
      <c r="C251" s="101">
        <f t="shared" si="40"/>
        <v>2.8238719068413394</v>
      </c>
      <c r="D251" s="101">
        <f t="shared" si="40"/>
        <v>33.6497690019619</v>
      </c>
      <c r="E251" s="101">
        <f t="shared" si="40"/>
        <v>2.5884437693816849</v>
      </c>
      <c r="F251" s="101">
        <f t="shared" si="40"/>
        <v>2.318840579710145</v>
      </c>
      <c r="G251" s="101">
        <f t="shared" si="40"/>
        <v>3.9048161508765267</v>
      </c>
      <c r="H251" s="101">
        <f t="shared" si="40"/>
        <v>2.3099803809885451</v>
      </c>
      <c r="I251" s="101">
        <f t="shared" si="40"/>
        <v>1.8340611353711791</v>
      </c>
      <c r="J251" s="101">
        <f t="shared" si="40"/>
        <v>49.505727485602179</v>
      </c>
      <c r="K251" s="101">
        <f t="shared" si="39"/>
        <v>100</v>
      </c>
    </row>
    <row r="252" spans="1:11" ht="9.9499999999999993" customHeight="1" x14ac:dyDescent="0.15">
      <c r="A252" s="2" t="s">
        <v>193</v>
      </c>
      <c r="B252" s="101">
        <f t="shared" si="40"/>
        <v>5.0142285419467232</v>
      </c>
      <c r="C252" s="101">
        <f t="shared" si="40"/>
        <v>9.6922615535166852</v>
      </c>
      <c r="D252" s="101">
        <f t="shared" si="40"/>
        <v>27.911700033057262</v>
      </c>
      <c r="E252" s="101">
        <f t="shared" si="40"/>
        <v>15.562180464334395</v>
      </c>
      <c r="F252" s="101">
        <f t="shared" si="40"/>
        <v>7.2881686029628696</v>
      </c>
      <c r="G252" s="101">
        <f t="shared" si="40"/>
        <v>21.605981276307546</v>
      </c>
      <c r="H252" s="101">
        <f t="shared" si="40"/>
        <v>8.2959687717998722</v>
      </c>
      <c r="I252" s="101">
        <f t="shared" si="40"/>
        <v>4.6295107560746498</v>
      </c>
      <c r="J252" s="101">
        <f t="shared" si="40"/>
        <v>0</v>
      </c>
      <c r="K252" s="101">
        <f>SUM(B252:J252)</f>
        <v>100</v>
      </c>
    </row>
    <row r="253" spans="1:11" ht="9.9499999999999993" customHeight="1" x14ac:dyDescent="0.15">
      <c r="A253" s="2" t="s">
        <v>194</v>
      </c>
      <c r="B253" s="101">
        <f t="shared" si="40"/>
        <v>2.6061097127636694</v>
      </c>
      <c r="C253" s="101">
        <f t="shared" si="40"/>
        <v>5.0374841836505402</v>
      </c>
      <c r="D253" s="101">
        <f t="shared" si="40"/>
        <v>15.247540264262222</v>
      </c>
      <c r="E253" s="101">
        <f t="shared" si="40"/>
        <v>15.310248757382078</v>
      </c>
      <c r="F253" s="101">
        <f t="shared" si="40"/>
        <v>3.7879739277034674</v>
      </c>
      <c r="G253" s="101">
        <f t="shared" si="40"/>
        <v>15.86646475311208</v>
      </c>
      <c r="H253" s="101">
        <f t="shared" si="40"/>
        <v>8.0075745581482192</v>
      </c>
      <c r="I253" s="101">
        <f t="shared" si="40"/>
        <v>3.6092330592292594</v>
      </c>
      <c r="J253" s="101">
        <f t="shared" si="40"/>
        <v>30.527370783748459</v>
      </c>
      <c r="K253" s="101">
        <f>SUM(B253:J253)</f>
        <v>100</v>
      </c>
    </row>
  </sheetData>
  <printOptions horizontalCentered="1" verticalCentered="1"/>
  <pageMargins left="0" right="0" top="0" bottom="0" header="0.51181102362204722" footer="0.51181102362204722"/>
  <pageSetup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EAVERT</vt:lpstr>
      <vt:lpstr>EAVERT!Druckbereich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STURMLECHNER</dc:creator>
  <cp:lastModifiedBy>CHRISTIAN STURMLECHNER</cp:lastModifiedBy>
  <cp:lastPrinted>2013-02-15T17:15:35Z</cp:lastPrinted>
  <dcterms:created xsi:type="dcterms:W3CDTF">2013-02-15T17:06:27Z</dcterms:created>
  <dcterms:modified xsi:type="dcterms:W3CDTF">2013-02-15T17:15:42Z</dcterms:modified>
</cp:coreProperties>
</file>