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6\Internet\"/>
    </mc:Choice>
  </mc:AlternateContent>
  <xr:revisionPtr revIDLastSave="0" documentId="8_{E794BD73-A11C-4569-BE14-E0523C2DAB6C}" xr6:coauthVersionLast="47" xr6:coauthVersionMax="47" xr10:uidLastSave="{00000000-0000-0000-0000-000000000000}"/>
  <bookViews>
    <workbookView xWindow="-120" yWindow="-120" windowWidth="29040" windowHeight="15720" xr2:uid="{0152F820-A969-445A-97A1-3332E27CE4ED}"/>
  </bookViews>
  <sheets>
    <sheet name="EAVERT" sheetId="1" r:id="rId1"/>
  </sheets>
  <definedNames>
    <definedName name="_xlnm.Print_Area" localSheetId="0">EAVERT!$A$8:$O$46,EAVERT!$A$49:$O$88,EAVERT!$A$93:$P$142,EAVERT!$A$145:$P$192,EAVERT!$A$197:$K$223</definedName>
    <definedName name="_xlnm.Print_Titles" localSheetId="0">EAVERT!$1:$2</definedName>
    <definedName name="solver_adj" localSheetId="0" hidden="1">EAVERT!$B$42</definedName>
    <definedName name="solver_num" localSheetId="0" hidden="1">0</definedName>
    <definedName name="solver_oldobj" localSheetId="0" hidden="1">758383000</definedName>
    <definedName name="solver_opt" localSheetId="0" hidden="1">EAVERT!#REF!</definedName>
    <definedName name="solver_typ" localSheetId="0" hidden="1">3</definedName>
    <definedName name="solver_val" localSheetId="0" hidden="1">758373000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1" i="1" l="1"/>
  <c r="I221" i="1"/>
  <c r="H221" i="1"/>
  <c r="G221" i="1"/>
  <c r="F221" i="1"/>
  <c r="E221" i="1"/>
  <c r="D221" i="1"/>
  <c r="C221" i="1"/>
  <c r="B221" i="1"/>
  <c r="J220" i="1"/>
  <c r="I220" i="1"/>
  <c r="G220" i="1"/>
  <c r="C220" i="1"/>
  <c r="B220" i="1"/>
  <c r="I217" i="1"/>
  <c r="G214" i="1"/>
  <c r="E214" i="1"/>
  <c r="C214" i="1"/>
  <c r="I213" i="1"/>
  <c r="K207" i="1"/>
  <c r="K206" i="1"/>
  <c r="H220" i="1" s="1"/>
  <c r="K203" i="1"/>
  <c r="K202" i="1"/>
  <c r="K200" i="1"/>
  <c r="F214" i="1" s="1"/>
  <c r="K199" i="1"/>
  <c r="P176" i="1"/>
  <c r="O164" i="1"/>
  <c r="K164" i="1"/>
  <c r="J164" i="1"/>
  <c r="I164" i="1"/>
  <c r="G164" i="1"/>
  <c r="H164" i="1"/>
  <c r="P120" i="1"/>
  <c r="L87" i="1"/>
  <c r="I87" i="1"/>
  <c r="H87" i="1"/>
  <c r="G81" i="1"/>
  <c r="O81" i="1" s="1"/>
  <c r="F81" i="1"/>
  <c r="N81" i="1" s="1"/>
  <c r="F73" i="1"/>
  <c r="N73" i="1" s="1"/>
  <c r="E178" i="1" s="1"/>
  <c r="E73" i="1"/>
  <c r="G70" i="1"/>
  <c r="O70" i="1" s="1"/>
  <c r="F70" i="1"/>
  <c r="N70" i="1" s="1"/>
  <c r="E70" i="1"/>
  <c r="F68" i="1"/>
  <c r="N68" i="1" s="1"/>
  <c r="E173" i="1" s="1"/>
  <c r="E68" i="1"/>
  <c r="G67" i="1"/>
  <c r="O67" i="1" s="1"/>
  <c r="G65" i="1"/>
  <c r="O65" i="1" s="1"/>
  <c r="E116" i="1" s="1"/>
  <c r="E60" i="1"/>
  <c r="G60" i="1"/>
  <c r="O60" i="1" s="1"/>
  <c r="E111" i="1" s="1"/>
  <c r="M88" i="1"/>
  <c r="L88" i="1"/>
  <c r="I88" i="1"/>
  <c r="H88" i="1"/>
  <c r="E58" i="1"/>
  <c r="G56" i="1"/>
  <c r="O56" i="1" s="1"/>
  <c r="E107" i="1" s="1"/>
  <c r="E56" i="1"/>
  <c r="H45" i="1"/>
  <c r="E43" i="1"/>
  <c r="I43" i="1" s="1"/>
  <c r="E85" i="1" s="1"/>
  <c r="E42" i="1"/>
  <c r="I42" i="1" s="1"/>
  <c r="F84" i="1" s="1"/>
  <c r="N84" i="1" s="1"/>
  <c r="E41" i="1"/>
  <c r="I41" i="1" s="1"/>
  <c r="E40" i="1"/>
  <c r="I40" i="1" s="1"/>
  <c r="E82" i="1" s="1"/>
  <c r="E39" i="1"/>
  <c r="I39" i="1" s="1"/>
  <c r="E38" i="1"/>
  <c r="I38" i="1" s="1"/>
  <c r="I37" i="1"/>
  <c r="E79" i="1" s="1"/>
  <c r="E37" i="1"/>
  <c r="E36" i="1"/>
  <c r="I36" i="1" s="1"/>
  <c r="E35" i="1"/>
  <c r="I35" i="1" s="1"/>
  <c r="G77" i="1" s="1"/>
  <c r="O77" i="1" s="1"/>
  <c r="E34" i="1"/>
  <c r="I34" i="1" s="1"/>
  <c r="G76" i="1" s="1"/>
  <c r="O76" i="1" s="1"/>
  <c r="E33" i="1"/>
  <c r="I33" i="1" s="1"/>
  <c r="E32" i="1"/>
  <c r="I32" i="1" s="1"/>
  <c r="E31" i="1"/>
  <c r="I31" i="1" s="1"/>
  <c r="E30" i="1"/>
  <c r="I30" i="1" s="1"/>
  <c r="E29" i="1"/>
  <c r="I29" i="1" s="1"/>
  <c r="E28" i="1"/>
  <c r="I28" i="1" s="1"/>
  <c r="E27" i="1"/>
  <c r="I27" i="1" s="1"/>
  <c r="E26" i="1"/>
  <c r="I26" i="1" s="1"/>
  <c r="E25" i="1"/>
  <c r="I25" i="1" s="1"/>
  <c r="I24" i="1"/>
  <c r="F66" i="1" s="1"/>
  <c r="N66" i="1" s="1"/>
  <c r="E24" i="1"/>
  <c r="E23" i="1"/>
  <c r="I23" i="1" s="1"/>
  <c r="F65" i="1" s="1"/>
  <c r="N65" i="1" s="1"/>
  <c r="E22" i="1"/>
  <c r="I22" i="1" s="1"/>
  <c r="E21" i="1"/>
  <c r="I21" i="1" s="1"/>
  <c r="E20" i="1"/>
  <c r="I20" i="1" s="1"/>
  <c r="E62" i="1" s="1"/>
  <c r="E19" i="1"/>
  <c r="I19" i="1" s="1"/>
  <c r="E18" i="1"/>
  <c r="I18" i="1" s="1"/>
  <c r="F60" i="1" s="1"/>
  <c r="N60" i="1" s="1"/>
  <c r="G45" i="1"/>
  <c r="E17" i="1"/>
  <c r="E151" i="1"/>
  <c r="E16" i="1"/>
  <c r="I16" i="1" s="1"/>
  <c r="F58" i="1" s="1"/>
  <c r="N58" i="1" s="1"/>
  <c r="E15" i="1"/>
  <c r="I15" i="1" s="1"/>
  <c r="E14" i="1"/>
  <c r="I14" i="1" s="1"/>
  <c r="E13" i="1"/>
  <c r="I13" i="1" s="1"/>
  <c r="C45" i="1"/>
  <c r="D45" i="1"/>
  <c r="J59" i="1"/>
  <c r="O9" i="1"/>
  <c r="K59" i="1" s="1"/>
  <c r="E171" i="1" l="1"/>
  <c r="E118" i="1"/>
  <c r="E186" i="1"/>
  <c r="G63" i="1"/>
  <c r="O63" i="1" s="1"/>
  <c r="F63" i="1"/>
  <c r="N63" i="1" s="1"/>
  <c r="E63" i="1"/>
  <c r="E132" i="1"/>
  <c r="E162" i="1"/>
  <c r="G80" i="1"/>
  <c r="O80" i="1" s="1"/>
  <c r="F80" i="1"/>
  <c r="N80" i="1" s="1"/>
  <c r="E80" i="1"/>
  <c r="G64" i="1"/>
  <c r="O64" i="1" s="1"/>
  <c r="F64" i="1"/>
  <c r="N64" i="1" s="1"/>
  <c r="E64" i="1"/>
  <c r="E170" i="1"/>
  <c r="E128" i="1"/>
  <c r="E165" i="1"/>
  <c r="G61" i="1"/>
  <c r="O61" i="1" s="1"/>
  <c r="F61" i="1"/>
  <c r="N61" i="1" s="1"/>
  <c r="E61" i="1"/>
  <c r="J88" i="1"/>
  <c r="J87" i="1"/>
  <c r="F74" i="1"/>
  <c r="N74" i="1" s="1"/>
  <c r="G74" i="1"/>
  <c r="O74" i="1" s="1"/>
  <c r="E69" i="1"/>
  <c r="F69" i="1"/>
  <c r="N69" i="1" s="1"/>
  <c r="E57" i="1"/>
  <c r="F57" i="1"/>
  <c r="N57" i="1" s="1"/>
  <c r="E175" i="1"/>
  <c r="E83" i="1"/>
  <c r="O152" i="1"/>
  <c r="G152" i="1"/>
  <c r="M152" i="1"/>
  <c r="L152" i="1"/>
  <c r="K152" i="1"/>
  <c r="N152" i="1"/>
  <c r="I152" i="1"/>
  <c r="J152" i="1"/>
  <c r="G83" i="1"/>
  <c r="O83" i="1" s="1"/>
  <c r="E71" i="1"/>
  <c r="F75" i="1"/>
  <c r="N75" i="1" s="1"/>
  <c r="E55" i="1"/>
  <c r="G58" i="1"/>
  <c r="O58" i="1" s="1"/>
  <c r="E65" i="1"/>
  <c r="E66" i="1"/>
  <c r="F71" i="1"/>
  <c r="N71" i="1" s="1"/>
  <c r="G75" i="1"/>
  <c r="O75" i="1" s="1"/>
  <c r="F76" i="1"/>
  <c r="N76" i="1" s="1"/>
  <c r="F77" i="1"/>
  <c r="N77" i="1" s="1"/>
  <c r="H216" i="1"/>
  <c r="F216" i="1"/>
  <c r="E216" i="1"/>
  <c r="D216" i="1"/>
  <c r="J216" i="1"/>
  <c r="I216" i="1"/>
  <c r="G216" i="1"/>
  <c r="B216" i="1"/>
  <c r="C216" i="1"/>
  <c r="E74" i="1"/>
  <c r="E189" i="1"/>
  <c r="G57" i="1"/>
  <c r="O57" i="1" s="1"/>
  <c r="G62" i="1"/>
  <c r="O62" i="1" s="1"/>
  <c r="G68" i="1"/>
  <c r="O68" i="1" s="1"/>
  <c r="E75" i="1"/>
  <c r="G82" i="1"/>
  <c r="O82" i="1" s="1"/>
  <c r="E76" i="1"/>
  <c r="G85" i="1"/>
  <c r="O85" i="1" s="1"/>
  <c r="F55" i="1"/>
  <c r="N55" i="1" s="1"/>
  <c r="E121" i="1"/>
  <c r="G71" i="1"/>
  <c r="O71" i="1" s="1"/>
  <c r="E72" i="1"/>
  <c r="E78" i="1"/>
  <c r="F62" i="1"/>
  <c r="N62" i="1" s="1"/>
  <c r="G66" i="1"/>
  <c r="O66" i="1" s="1"/>
  <c r="F45" i="1"/>
  <c r="E11" i="1"/>
  <c r="B46" i="1"/>
  <c r="B45" i="1"/>
  <c r="G69" i="1"/>
  <c r="O69" i="1" s="1"/>
  <c r="F54" i="1"/>
  <c r="N54" i="1" s="1"/>
  <c r="E77" i="1"/>
  <c r="E84" i="1"/>
  <c r="G55" i="1"/>
  <c r="O55" i="1" s="1"/>
  <c r="E67" i="1"/>
  <c r="F72" i="1"/>
  <c r="N72" i="1" s="1"/>
  <c r="F78" i="1"/>
  <c r="N78" i="1" s="1"/>
  <c r="F79" i="1"/>
  <c r="N79" i="1" s="1"/>
  <c r="F82" i="1"/>
  <c r="N82" i="1" s="1"/>
  <c r="H152" i="1"/>
  <c r="G84" i="1"/>
  <c r="O84" i="1" s="1"/>
  <c r="K151" i="1"/>
  <c r="H151" i="1"/>
  <c r="O151" i="1"/>
  <c r="G151" i="1"/>
  <c r="M151" i="1"/>
  <c r="L151" i="1"/>
  <c r="J151" i="1"/>
  <c r="N151" i="1"/>
  <c r="K87" i="1"/>
  <c r="K88" i="1"/>
  <c r="E12" i="1"/>
  <c r="I12" i="1" s="1"/>
  <c r="G54" i="1" s="1"/>
  <c r="O54" i="1" s="1"/>
  <c r="I17" i="1"/>
  <c r="G59" i="1" s="1"/>
  <c r="O59" i="1" s="1"/>
  <c r="F56" i="1"/>
  <c r="N56" i="1" s="1"/>
  <c r="F67" i="1"/>
  <c r="N67" i="1" s="1"/>
  <c r="G72" i="1"/>
  <c r="O72" i="1" s="1"/>
  <c r="G73" i="1"/>
  <c r="O73" i="1" s="1"/>
  <c r="G78" i="1"/>
  <c r="O78" i="1" s="1"/>
  <c r="G79" i="1"/>
  <c r="O79" i="1" s="1"/>
  <c r="K208" i="1"/>
  <c r="J222" i="1" s="1"/>
  <c r="O116" i="1" s="1"/>
  <c r="E81" i="1"/>
  <c r="M87" i="1"/>
  <c r="F83" i="1"/>
  <c r="N83" i="1" s="1"/>
  <c r="F85" i="1"/>
  <c r="N85" i="1" s="1"/>
  <c r="K209" i="1"/>
  <c r="F217" i="1"/>
  <c r="D217" i="1"/>
  <c r="C217" i="1"/>
  <c r="J217" i="1"/>
  <c r="B217" i="1"/>
  <c r="H217" i="1"/>
  <c r="K204" i="1"/>
  <c r="E217" i="1"/>
  <c r="G217" i="1"/>
  <c r="F213" i="1"/>
  <c r="D213" i="1"/>
  <c r="C213" i="1"/>
  <c r="J213" i="1"/>
  <c r="B213" i="1"/>
  <c r="E213" i="1"/>
  <c r="D214" i="1"/>
  <c r="J214" i="1"/>
  <c r="B214" i="1"/>
  <c r="I214" i="1"/>
  <c r="H214" i="1"/>
  <c r="K205" i="1"/>
  <c r="G213" i="1"/>
  <c r="K221" i="1"/>
  <c r="K201" i="1"/>
  <c r="H213" i="1"/>
  <c r="L164" i="1"/>
  <c r="D220" i="1"/>
  <c r="M164" i="1"/>
  <c r="E220" i="1"/>
  <c r="N164" i="1"/>
  <c r="P164" i="1" s="1"/>
  <c r="F220" i="1"/>
  <c r="N116" i="1" l="1"/>
  <c r="G111" i="1"/>
  <c r="K116" i="1"/>
  <c r="E110" i="1"/>
  <c r="O107" i="1"/>
  <c r="E223" i="1"/>
  <c r="J173" i="1" s="1"/>
  <c r="D223" i="1"/>
  <c r="I165" i="1" s="1"/>
  <c r="E117" i="1"/>
  <c r="E179" i="1"/>
  <c r="D218" i="1"/>
  <c r="J218" i="1"/>
  <c r="B218" i="1"/>
  <c r="I218" i="1"/>
  <c r="N189" i="1" s="1"/>
  <c r="H218" i="1"/>
  <c r="M189" i="1" s="1"/>
  <c r="F218" i="1"/>
  <c r="E218" i="1"/>
  <c r="C218" i="1"/>
  <c r="G218" i="1"/>
  <c r="E167" i="1"/>
  <c r="E126" i="1"/>
  <c r="M128" i="1"/>
  <c r="G128" i="1"/>
  <c r="H128" i="1"/>
  <c r="N128" i="1"/>
  <c r="O128" i="1"/>
  <c r="E108" i="1"/>
  <c r="E135" i="1"/>
  <c r="G222" i="1"/>
  <c r="L128" i="1" s="1"/>
  <c r="F222" i="1"/>
  <c r="K128" i="1" s="1"/>
  <c r="M111" i="1"/>
  <c r="E113" i="1"/>
  <c r="E222" i="1"/>
  <c r="E184" i="1"/>
  <c r="K217" i="1"/>
  <c r="E183" i="1"/>
  <c r="O111" i="1"/>
  <c r="E134" i="1"/>
  <c r="H170" i="1"/>
  <c r="M170" i="1"/>
  <c r="O170" i="1"/>
  <c r="B223" i="1"/>
  <c r="E130" i="1"/>
  <c r="D222" i="1"/>
  <c r="I111" i="1" s="1"/>
  <c r="E129" i="1"/>
  <c r="E105" i="1"/>
  <c r="M116" i="1"/>
  <c r="B222" i="1"/>
  <c r="E45" i="1"/>
  <c r="I11" i="1"/>
  <c r="E122" i="1"/>
  <c r="E133" i="1"/>
  <c r="E54" i="1"/>
  <c r="P152" i="1"/>
  <c r="E174" i="1"/>
  <c r="J118" i="1"/>
  <c r="H118" i="1"/>
  <c r="N118" i="1"/>
  <c r="G118" i="1"/>
  <c r="M118" i="1"/>
  <c r="O118" i="1"/>
  <c r="E172" i="1"/>
  <c r="N111" i="1"/>
  <c r="E181" i="1"/>
  <c r="E168" i="1"/>
  <c r="F223" i="1"/>
  <c r="K178" i="1" s="1"/>
  <c r="C223" i="1"/>
  <c r="H178" i="1" s="1"/>
  <c r="E159" i="1"/>
  <c r="E114" i="1"/>
  <c r="H222" i="1"/>
  <c r="M107" i="1" s="1"/>
  <c r="G223" i="1"/>
  <c r="L170" i="1" s="1"/>
  <c r="E120" i="1"/>
  <c r="H107" i="1"/>
  <c r="K175" i="1"/>
  <c r="L175" i="1"/>
  <c r="J223" i="1"/>
  <c r="O178" i="1" s="1"/>
  <c r="K173" i="1"/>
  <c r="E161" i="1"/>
  <c r="O186" i="1"/>
  <c r="G186" i="1"/>
  <c r="L186" i="1"/>
  <c r="K186" i="1"/>
  <c r="H186" i="1"/>
  <c r="J186" i="1"/>
  <c r="P151" i="1"/>
  <c r="E177" i="1"/>
  <c r="F59" i="1"/>
  <c r="N59" i="1" s="1"/>
  <c r="E59" i="1"/>
  <c r="L162" i="1"/>
  <c r="K162" i="1"/>
  <c r="J162" i="1"/>
  <c r="O162" i="1"/>
  <c r="H162" i="1"/>
  <c r="G162" i="1"/>
  <c r="K220" i="1"/>
  <c r="J219" i="1"/>
  <c r="B219" i="1"/>
  <c r="K219" i="1" s="1"/>
  <c r="H219" i="1"/>
  <c r="G219" i="1"/>
  <c r="F219" i="1"/>
  <c r="I219" i="1"/>
  <c r="D219" i="1"/>
  <c r="E219" i="1"/>
  <c r="C219" i="1"/>
  <c r="K213" i="1"/>
  <c r="E124" i="1"/>
  <c r="E106" i="1"/>
  <c r="K107" i="1"/>
  <c r="M121" i="1"/>
  <c r="L121" i="1"/>
  <c r="K121" i="1"/>
  <c r="I222" i="1"/>
  <c r="N132" i="1"/>
  <c r="J132" i="1"/>
  <c r="G132" i="1"/>
  <c r="O132" i="1"/>
  <c r="M132" i="1"/>
  <c r="N107" i="1"/>
  <c r="E185" i="1"/>
  <c r="K214" i="1"/>
  <c r="C222" i="1"/>
  <c r="H111" i="1" s="1"/>
  <c r="E158" i="1"/>
  <c r="E180" i="1"/>
  <c r="E131" i="1"/>
  <c r="E160" i="1"/>
  <c r="E136" i="1"/>
  <c r="J215" i="1"/>
  <c r="O121" i="1" s="1"/>
  <c r="B215" i="1"/>
  <c r="G121" i="1" s="1"/>
  <c r="P121" i="1" s="1"/>
  <c r="H215" i="1"/>
  <c r="M175" i="1" s="1"/>
  <c r="G215" i="1"/>
  <c r="F215" i="1"/>
  <c r="D215" i="1"/>
  <c r="I121" i="1" s="1"/>
  <c r="C215" i="1"/>
  <c r="H121" i="1" s="1"/>
  <c r="I215" i="1"/>
  <c r="N121" i="1" s="1"/>
  <c r="E215" i="1"/>
  <c r="J121" i="1" s="1"/>
  <c r="E190" i="1"/>
  <c r="E176" i="1"/>
  <c r="E188" i="1"/>
  <c r="H189" i="1"/>
  <c r="L189" i="1"/>
  <c r="O189" i="1"/>
  <c r="K189" i="1"/>
  <c r="J189" i="1"/>
  <c r="G189" i="1"/>
  <c r="I189" i="1"/>
  <c r="I223" i="1"/>
  <c r="N170" i="1" s="1"/>
  <c r="E123" i="1"/>
  <c r="I151" i="1"/>
  <c r="E187" i="1"/>
  <c r="H173" i="1"/>
  <c r="H223" i="1"/>
  <c r="M186" i="1" s="1"/>
  <c r="E119" i="1"/>
  <c r="K216" i="1"/>
  <c r="E182" i="1"/>
  <c r="E109" i="1"/>
  <c r="E125" i="1"/>
  <c r="M165" i="1"/>
  <c r="K165" i="1"/>
  <c r="N165" i="1"/>
  <c r="L165" i="1"/>
  <c r="H165" i="1"/>
  <c r="O165" i="1"/>
  <c r="G165" i="1"/>
  <c r="I171" i="1"/>
  <c r="O171" i="1"/>
  <c r="G171" i="1"/>
  <c r="N171" i="1"/>
  <c r="M171" i="1"/>
  <c r="L171" i="1"/>
  <c r="J171" i="1"/>
  <c r="K171" i="1"/>
  <c r="H171" i="1"/>
  <c r="I131" i="1" l="1"/>
  <c r="O131" i="1"/>
  <c r="G131" i="1"/>
  <c r="N131" i="1"/>
  <c r="M131" i="1"/>
  <c r="L131" i="1"/>
  <c r="J131" i="1"/>
  <c r="K131" i="1"/>
  <c r="H131" i="1"/>
  <c r="K114" i="1"/>
  <c r="J114" i="1"/>
  <c r="I114" i="1"/>
  <c r="O114" i="1"/>
  <c r="G114" i="1"/>
  <c r="H114" i="1"/>
  <c r="N114" i="1"/>
  <c r="M114" i="1"/>
  <c r="L114" i="1"/>
  <c r="I46" i="1"/>
  <c r="I45" i="1"/>
  <c r="G53" i="1"/>
  <c r="F53" i="1"/>
  <c r="O12" i="1"/>
  <c r="E53" i="1"/>
  <c r="N175" i="1"/>
  <c r="I159" i="1"/>
  <c r="O159" i="1"/>
  <c r="G159" i="1"/>
  <c r="N159" i="1"/>
  <c r="M159" i="1"/>
  <c r="K159" i="1"/>
  <c r="L159" i="1"/>
  <c r="J159" i="1"/>
  <c r="H159" i="1"/>
  <c r="K222" i="1"/>
  <c r="G116" i="1"/>
  <c r="P116" i="1" s="1"/>
  <c r="I170" i="1"/>
  <c r="J165" i="1"/>
  <c r="M182" i="1"/>
  <c r="K182" i="1"/>
  <c r="J182" i="1"/>
  <c r="I182" i="1"/>
  <c r="L182" i="1"/>
  <c r="H182" i="1"/>
  <c r="G182" i="1"/>
  <c r="P182" i="1" s="1"/>
  <c r="O182" i="1"/>
  <c r="N182" i="1"/>
  <c r="I173" i="1"/>
  <c r="G107" i="1"/>
  <c r="M178" i="1"/>
  <c r="K132" i="1"/>
  <c r="N162" i="1"/>
  <c r="G175" i="1"/>
  <c r="M172" i="1"/>
  <c r="K172" i="1"/>
  <c r="J172" i="1"/>
  <c r="I172" i="1"/>
  <c r="N172" i="1"/>
  <c r="H172" i="1"/>
  <c r="G172" i="1"/>
  <c r="P172" i="1" s="1"/>
  <c r="O172" i="1"/>
  <c r="L172" i="1"/>
  <c r="I118" i="1"/>
  <c r="M122" i="1"/>
  <c r="L122" i="1"/>
  <c r="K122" i="1"/>
  <c r="I122" i="1"/>
  <c r="O122" i="1"/>
  <c r="H122" i="1"/>
  <c r="N122" i="1"/>
  <c r="J122" i="1"/>
  <c r="G122" i="1"/>
  <c r="K223" i="1"/>
  <c r="G178" i="1"/>
  <c r="J170" i="1"/>
  <c r="I128" i="1"/>
  <c r="J167" i="1"/>
  <c r="H167" i="1"/>
  <c r="O167" i="1"/>
  <c r="G167" i="1"/>
  <c r="N167" i="1"/>
  <c r="M167" i="1"/>
  <c r="K167" i="1"/>
  <c r="L167" i="1"/>
  <c r="I167" i="1"/>
  <c r="I178" i="1"/>
  <c r="J183" i="1"/>
  <c r="H183" i="1"/>
  <c r="O183" i="1"/>
  <c r="G183" i="1"/>
  <c r="P183" i="1" s="1"/>
  <c r="N183" i="1"/>
  <c r="M183" i="1"/>
  <c r="L183" i="1"/>
  <c r="I183" i="1"/>
  <c r="K183" i="1"/>
  <c r="H126" i="1"/>
  <c r="O126" i="1"/>
  <c r="G126" i="1"/>
  <c r="P126" i="1" s="1"/>
  <c r="N126" i="1"/>
  <c r="L126" i="1"/>
  <c r="K126" i="1"/>
  <c r="M126" i="1"/>
  <c r="J126" i="1"/>
  <c r="I126" i="1"/>
  <c r="K111" i="1"/>
  <c r="K218" i="1"/>
  <c r="I116" i="1"/>
  <c r="M158" i="1"/>
  <c r="K158" i="1"/>
  <c r="J158" i="1"/>
  <c r="I158" i="1"/>
  <c r="O158" i="1"/>
  <c r="N158" i="1"/>
  <c r="L158" i="1"/>
  <c r="G158" i="1"/>
  <c r="H158" i="1"/>
  <c r="M173" i="1"/>
  <c r="L132" i="1"/>
  <c r="K106" i="1"/>
  <c r="J106" i="1"/>
  <c r="I106" i="1"/>
  <c r="O106" i="1"/>
  <c r="G106" i="1"/>
  <c r="H106" i="1"/>
  <c r="N106" i="1"/>
  <c r="M106" i="1"/>
  <c r="L106" i="1"/>
  <c r="I162" i="1"/>
  <c r="P162" i="1" s="1"/>
  <c r="J161" i="1"/>
  <c r="H161" i="1"/>
  <c r="O161" i="1"/>
  <c r="G161" i="1"/>
  <c r="N161" i="1"/>
  <c r="L161" i="1"/>
  <c r="K161" i="1"/>
  <c r="I161" i="1"/>
  <c r="M161" i="1"/>
  <c r="O175" i="1"/>
  <c r="H116" i="1"/>
  <c r="K118" i="1"/>
  <c r="O184" i="1"/>
  <c r="G184" i="1"/>
  <c r="M184" i="1"/>
  <c r="L184" i="1"/>
  <c r="K184" i="1"/>
  <c r="N184" i="1"/>
  <c r="H184" i="1"/>
  <c r="J184" i="1"/>
  <c r="I184" i="1"/>
  <c r="M135" i="1"/>
  <c r="K135" i="1"/>
  <c r="J135" i="1"/>
  <c r="I135" i="1"/>
  <c r="N135" i="1"/>
  <c r="L135" i="1"/>
  <c r="O135" i="1"/>
  <c r="H135" i="1"/>
  <c r="G135" i="1"/>
  <c r="L111" i="1"/>
  <c r="L177" i="1"/>
  <c r="J177" i="1"/>
  <c r="I177" i="1"/>
  <c r="H177" i="1"/>
  <c r="O177" i="1"/>
  <c r="N177" i="1"/>
  <c r="K177" i="1"/>
  <c r="M177" i="1"/>
  <c r="G177" i="1"/>
  <c r="H181" i="1"/>
  <c r="N181" i="1"/>
  <c r="M181" i="1"/>
  <c r="L181" i="1"/>
  <c r="G181" i="1"/>
  <c r="O181" i="1"/>
  <c r="I181" i="1"/>
  <c r="K181" i="1"/>
  <c r="J181" i="1"/>
  <c r="L185" i="1"/>
  <c r="J185" i="1"/>
  <c r="I185" i="1"/>
  <c r="H185" i="1"/>
  <c r="K185" i="1"/>
  <c r="G185" i="1"/>
  <c r="O185" i="1"/>
  <c r="N185" i="1"/>
  <c r="M185" i="1"/>
  <c r="K188" i="1"/>
  <c r="I188" i="1"/>
  <c r="H188" i="1"/>
  <c r="O188" i="1"/>
  <c r="G188" i="1"/>
  <c r="J188" i="1"/>
  <c r="N188" i="1"/>
  <c r="M188" i="1"/>
  <c r="L188" i="1"/>
  <c r="K133" i="1"/>
  <c r="I133" i="1"/>
  <c r="H133" i="1"/>
  <c r="O133" i="1"/>
  <c r="G133" i="1"/>
  <c r="L133" i="1"/>
  <c r="J133" i="1"/>
  <c r="N133" i="1"/>
  <c r="M133" i="1"/>
  <c r="L130" i="1"/>
  <c r="J130" i="1"/>
  <c r="I130" i="1"/>
  <c r="H130" i="1"/>
  <c r="M130" i="1"/>
  <c r="K130" i="1"/>
  <c r="G130" i="1"/>
  <c r="O130" i="1"/>
  <c r="N130" i="1"/>
  <c r="P165" i="1"/>
  <c r="I123" i="1"/>
  <c r="H123" i="1"/>
  <c r="O123" i="1"/>
  <c r="G123" i="1"/>
  <c r="M123" i="1"/>
  <c r="N123" i="1"/>
  <c r="L123" i="1"/>
  <c r="J123" i="1"/>
  <c r="K123" i="1"/>
  <c r="I107" i="1"/>
  <c r="I132" i="1"/>
  <c r="L116" i="1"/>
  <c r="E163" i="1"/>
  <c r="H175" i="1"/>
  <c r="L178" i="1"/>
  <c r="L173" i="1"/>
  <c r="L118" i="1"/>
  <c r="O174" i="1"/>
  <c r="G174" i="1"/>
  <c r="M174" i="1"/>
  <c r="L174" i="1"/>
  <c r="K174" i="1"/>
  <c r="N174" i="1"/>
  <c r="J174" i="1"/>
  <c r="H174" i="1"/>
  <c r="I174" i="1"/>
  <c r="L107" i="1"/>
  <c r="O105" i="1"/>
  <c r="G105" i="1"/>
  <c r="N105" i="1"/>
  <c r="M105" i="1"/>
  <c r="K105" i="1"/>
  <c r="J105" i="1"/>
  <c r="L105" i="1"/>
  <c r="H105" i="1"/>
  <c r="I105" i="1"/>
  <c r="J116" i="1"/>
  <c r="J107" i="1"/>
  <c r="K108" i="1"/>
  <c r="J108" i="1"/>
  <c r="I108" i="1"/>
  <c r="O108" i="1"/>
  <c r="G108" i="1"/>
  <c r="N108" i="1"/>
  <c r="M108" i="1"/>
  <c r="L108" i="1"/>
  <c r="H108" i="1"/>
  <c r="J178" i="1"/>
  <c r="J175" i="1"/>
  <c r="H109" i="1"/>
  <c r="O109" i="1"/>
  <c r="G109" i="1"/>
  <c r="N109" i="1"/>
  <c r="L109" i="1"/>
  <c r="K109" i="1"/>
  <c r="M109" i="1"/>
  <c r="I109" i="1"/>
  <c r="J109" i="1"/>
  <c r="N187" i="1"/>
  <c r="L187" i="1"/>
  <c r="K187" i="1"/>
  <c r="J187" i="1"/>
  <c r="M187" i="1"/>
  <c r="G187" i="1"/>
  <c r="O187" i="1"/>
  <c r="I187" i="1"/>
  <c r="H187" i="1"/>
  <c r="K180" i="1"/>
  <c r="I180" i="1"/>
  <c r="H180" i="1"/>
  <c r="O180" i="1"/>
  <c r="G180" i="1"/>
  <c r="N180" i="1"/>
  <c r="M180" i="1"/>
  <c r="J180" i="1"/>
  <c r="L180" i="1"/>
  <c r="I186" i="1"/>
  <c r="K125" i="1"/>
  <c r="J125" i="1"/>
  <c r="I125" i="1"/>
  <c r="O125" i="1"/>
  <c r="G125" i="1"/>
  <c r="N125" i="1"/>
  <c r="M125" i="1"/>
  <c r="L125" i="1"/>
  <c r="H125" i="1"/>
  <c r="O119" i="1"/>
  <c r="G119" i="1"/>
  <c r="N119" i="1"/>
  <c r="M119" i="1"/>
  <c r="K119" i="1"/>
  <c r="L119" i="1"/>
  <c r="J119" i="1"/>
  <c r="I119" i="1"/>
  <c r="H119" i="1"/>
  <c r="N173" i="1"/>
  <c r="N178" i="1"/>
  <c r="L190" i="1"/>
  <c r="J190" i="1"/>
  <c r="I190" i="1"/>
  <c r="H190" i="1"/>
  <c r="O190" i="1"/>
  <c r="N190" i="1"/>
  <c r="K190" i="1"/>
  <c r="M190" i="1"/>
  <c r="G190" i="1"/>
  <c r="M160" i="1"/>
  <c r="K160" i="1"/>
  <c r="J160" i="1"/>
  <c r="I160" i="1"/>
  <c r="G160" i="1"/>
  <c r="O160" i="1"/>
  <c r="H160" i="1"/>
  <c r="N160" i="1"/>
  <c r="L160" i="1"/>
  <c r="H132" i="1"/>
  <c r="P132" i="1" s="1"/>
  <c r="M162" i="1"/>
  <c r="I175" i="1"/>
  <c r="O168" i="1"/>
  <c r="G168" i="1"/>
  <c r="M168" i="1"/>
  <c r="L168" i="1"/>
  <c r="K168" i="1"/>
  <c r="H168" i="1"/>
  <c r="J168" i="1"/>
  <c r="I168" i="1"/>
  <c r="N168" i="1"/>
  <c r="G170" i="1"/>
  <c r="H134" i="1"/>
  <c r="N134" i="1"/>
  <c r="M134" i="1"/>
  <c r="L134" i="1"/>
  <c r="O134" i="1"/>
  <c r="K134" i="1"/>
  <c r="I134" i="1"/>
  <c r="J134" i="1"/>
  <c r="G134" i="1"/>
  <c r="J128" i="1"/>
  <c r="P128" i="1" s="1"/>
  <c r="N179" i="1"/>
  <c r="L179" i="1"/>
  <c r="K179" i="1"/>
  <c r="J179" i="1"/>
  <c r="M179" i="1"/>
  <c r="I179" i="1"/>
  <c r="H179" i="1"/>
  <c r="O179" i="1"/>
  <c r="G179" i="1"/>
  <c r="O173" i="1"/>
  <c r="P118" i="1"/>
  <c r="P171" i="1"/>
  <c r="P189" i="1"/>
  <c r="I136" i="1"/>
  <c r="O136" i="1"/>
  <c r="G136" i="1"/>
  <c r="N136" i="1"/>
  <c r="M136" i="1"/>
  <c r="J136" i="1"/>
  <c r="H136" i="1"/>
  <c r="L136" i="1"/>
  <c r="K136" i="1"/>
  <c r="K215" i="1"/>
  <c r="N124" i="1"/>
  <c r="M124" i="1"/>
  <c r="L124" i="1"/>
  <c r="J124" i="1"/>
  <c r="K124" i="1"/>
  <c r="I124" i="1"/>
  <c r="H124" i="1"/>
  <c r="G124" i="1"/>
  <c r="O124" i="1"/>
  <c r="N186" i="1"/>
  <c r="P186" i="1" s="1"/>
  <c r="J111" i="1"/>
  <c r="P111" i="1" s="1"/>
  <c r="O129" i="1"/>
  <c r="G129" i="1"/>
  <c r="M129" i="1"/>
  <c r="L129" i="1"/>
  <c r="K129" i="1"/>
  <c r="H129" i="1"/>
  <c r="N129" i="1"/>
  <c r="J129" i="1"/>
  <c r="I129" i="1"/>
  <c r="K170" i="1"/>
  <c r="N113" i="1"/>
  <c r="M113" i="1"/>
  <c r="L113" i="1"/>
  <c r="J113" i="1"/>
  <c r="O113" i="1"/>
  <c r="K113" i="1"/>
  <c r="I113" i="1"/>
  <c r="G113" i="1"/>
  <c r="H113" i="1"/>
  <c r="M117" i="1"/>
  <c r="L117" i="1"/>
  <c r="K117" i="1"/>
  <c r="I117" i="1"/>
  <c r="O117" i="1"/>
  <c r="N117" i="1"/>
  <c r="J117" i="1"/>
  <c r="H117" i="1"/>
  <c r="G117" i="1"/>
  <c r="L110" i="1"/>
  <c r="K110" i="1"/>
  <c r="J110" i="1"/>
  <c r="H110" i="1"/>
  <c r="I110" i="1"/>
  <c r="G110" i="1"/>
  <c r="O110" i="1"/>
  <c r="N110" i="1"/>
  <c r="M110" i="1"/>
  <c r="G173" i="1"/>
  <c r="P188" i="1" l="1"/>
  <c r="P124" i="1"/>
  <c r="P136" i="1"/>
  <c r="P105" i="1"/>
  <c r="P135" i="1"/>
  <c r="G87" i="1"/>
  <c r="G88" i="1"/>
  <c r="O53" i="1"/>
  <c r="P114" i="1"/>
  <c r="P185" i="1"/>
  <c r="P178" i="1"/>
  <c r="P159" i="1"/>
  <c r="F88" i="1"/>
  <c r="F87" i="1"/>
  <c r="N53" i="1"/>
  <c r="P117" i="1"/>
  <c r="P179" i="1"/>
  <c r="P109" i="1"/>
  <c r="P181" i="1"/>
  <c r="P184" i="1"/>
  <c r="P167" i="1"/>
  <c r="P122" i="1"/>
  <c r="P177" i="1"/>
  <c r="P173" i="1"/>
  <c r="P130" i="1"/>
  <c r="P110" i="1"/>
  <c r="P113" i="1"/>
  <c r="P129" i="1"/>
  <c r="P134" i="1"/>
  <c r="P125" i="1"/>
  <c r="P174" i="1"/>
  <c r="P123" i="1"/>
  <c r="P161" i="1"/>
  <c r="P131" i="1"/>
  <c r="P190" i="1"/>
  <c r="P170" i="1"/>
  <c r="P168" i="1"/>
  <c r="P106" i="1"/>
  <c r="P158" i="1"/>
  <c r="P108" i="1"/>
  <c r="K163" i="1"/>
  <c r="I163" i="1"/>
  <c r="H163" i="1"/>
  <c r="O163" i="1"/>
  <c r="G163" i="1"/>
  <c r="M163" i="1"/>
  <c r="N163" i="1"/>
  <c r="L163" i="1"/>
  <c r="J163" i="1"/>
  <c r="P107" i="1"/>
  <c r="P160" i="1"/>
  <c r="P119" i="1"/>
  <c r="P180" i="1"/>
  <c r="P187" i="1"/>
  <c r="P133" i="1"/>
  <c r="P175" i="1"/>
  <c r="E87" i="1"/>
  <c r="E88" i="1"/>
  <c r="O87" i="1" l="1"/>
  <c r="O88" i="1"/>
  <c r="E104" i="1"/>
  <c r="P163" i="1"/>
  <c r="E157" i="1"/>
  <c r="N88" i="1"/>
  <c r="N89" i="1" s="1"/>
  <c r="N87" i="1"/>
  <c r="I157" i="1" l="1"/>
  <c r="I192" i="1" s="1"/>
  <c r="E192" i="1"/>
  <c r="O157" i="1"/>
  <c r="O192" i="1" s="1"/>
  <c r="G157" i="1"/>
  <c r="N157" i="1"/>
  <c r="N192" i="1" s="1"/>
  <c r="M157" i="1"/>
  <c r="M192" i="1" s="1"/>
  <c r="K157" i="1"/>
  <c r="K192" i="1" s="1"/>
  <c r="J157" i="1"/>
  <c r="J192" i="1" s="1"/>
  <c r="H157" i="1"/>
  <c r="H192" i="1" s="1"/>
  <c r="L157" i="1"/>
  <c r="L192" i="1" s="1"/>
  <c r="E149" i="1"/>
  <c r="E150" i="1"/>
  <c r="K104" i="1"/>
  <c r="K138" i="1" s="1"/>
  <c r="K140" i="1" s="1"/>
  <c r="J104" i="1"/>
  <c r="J138" i="1" s="1"/>
  <c r="J140" i="1" s="1"/>
  <c r="I104" i="1"/>
  <c r="I138" i="1" s="1"/>
  <c r="I140" i="1" s="1"/>
  <c r="E138" i="1"/>
  <c r="O104" i="1"/>
  <c r="O138" i="1" s="1"/>
  <c r="O140" i="1" s="1"/>
  <c r="G104" i="1"/>
  <c r="N104" i="1"/>
  <c r="N138" i="1" s="1"/>
  <c r="N140" i="1" s="1"/>
  <c r="M104" i="1"/>
  <c r="M138" i="1" s="1"/>
  <c r="M140" i="1" s="1"/>
  <c r="L104" i="1"/>
  <c r="L138" i="1" s="1"/>
  <c r="L140" i="1" s="1"/>
  <c r="H104" i="1"/>
  <c r="H138" i="1" s="1"/>
  <c r="H140" i="1" s="1"/>
  <c r="O89" i="1"/>
  <c r="E98" i="1"/>
  <c r="E99" i="1"/>
  <c r="E97" i="1"/>
  <c r="K142" i="1" l="1"/>
  <c r="K141" i="1"/>
  <c r="O98" i="1"/>
  <c r="G98" i="1"/>
  <c r="N98" i="1"/>
  <c r="M98" i="1"/>
  <c r="K98" i="1"/>
  <c r="J98" i="1"/>
  <c r="L98" i="1"/>
  <c r="I98" i="1"/>
  <c r="H98" i="1"/>
  <c r="H142" i="1"/>
  <c r="H141" i="1"/>
  <c r="L142" i="1"/>
  <c r="L141" i="1"/>
  <c r="G192" i="1"/>
  <c r="P192" i="1" s="1"/>
  <c r="P157" i="1"/>
  <c r="N141" i="1"/>
  <c r="N142" i="1"/>
  <c r="N149" i="1"/>
  <c r="L149" i="1"/>
  <c r="K149" i="1"/>
  <c r="J149" i="1"/>
  <c r="M149" i="1"/>
  <c r="I149" i="1"/>
  <c r="I153" i="1" s="1"/>
  <c r="H149" i="1"/>
  <c r="H153" i="1" s="1"/>
  <c r="O149" i="1"/>
  <c r="G149" i="1"/>
  <c r="I142" i="1"/>
  <c r="I141" i="1"/>
  <c r="M141" i="1"/>
  <c r="M142" i="1"/>
  <c r="L97" i="1"/>
  <c r="L100" i="1" s="1"/>
  <c r="K97" i="1"/>
  <c r="J97" i="1"/>
  <c r="H97" i="1"/>
  <c r="O97" i="1"/>
  <c r="N97" i="1"/>
  <c r="M97" i="1"/>
  <c r="I97" i="1"/>
  <c r="G97" i="1"/>
  <c r="G138" i="1"/>
  <c r="P104" i="1"/>
  <c r="J141" i="1"/>
  <c r="J142" i="1"/>
  <c r="H150" i="1"/>
  <c r="N150" i="1"/>
  <c r="M150" i="1"/>
  <c r="L150" i="1"/>
  <c r="J150" i="1"/>
  <c r="I150" i="1"/>
  <c r="G150" i="1"/>
  <c r="K150" i="1"/>
  <c r="O150" i="1"/>
  <c r="J99" i="1"/>
  <c r="I99" i="1"/>
  <c r="H99" i="1"/>
  <c r="N99" i="1"/>
  <c r="G99" i="1"/>
  <c r="M99" i="1"/>
  <c r="O99" i="1"/>
  <c r="L99" i="1"/>
  <c r="K99" i="1"/>
  <c r="O142" i="1"/>
  <c r="O141" i="1"/>
  <c r="M100" i="1" l="1"/>
  <c r="N100" i="1"/>
  <c r="I100" i="1"/>
  <c r="M153" i="1"/>
  <c r="O100" i="1"/>
  <c r="J153" i="1"/>
  <c r="P99" i="1"/>
  <c r="K153" i="1"/>
  <c r="P150" i="1"/>
  <c r="H100" i="1"/>
  <c r="G153" i="1"/>
  <c r="P149" i="1"/>
  <c r="L153" i="1"/>
  <c r="G140" i="1"/>
  <c r="P138" i="1"/>
  <c r="J100" i="1"/>
  <c r="O153" i="1"/>
  <c r="N153" i="1"/>
  <c r="G100" i="1"/>
  <c r="P97" i="1"/>
  <c r="K100" i="1"/>
  <c r="P98" i="1"/>
  <c r="P100" i="1" l="1"/>
  <c r="G142" i="1"/>
  <c r="P140" i="1"/>
  <c r="G141" i="1"/>
  <c r="P141" i="1" s="1"/>
  <c r="P153" i="1"/>
  <c r="P142" i="1" l="1"/>
</calcChain>
</file>

<file path=xl/sharedStrings.xml><?xml version="1.0" encoding="utf-8"?>
<sst xmlns="http://schemas.openxmlformats.org/spreadsheetml/2006/main" count="310" uniqueCount="117">
  <si>
    <t>in 1000.- Euro</t>
  </si>
  <si>
    <t>Aufkommen</t>
  </si>
  <si>
    <t>FlaF</t>
  </si>
  <si>
    <t>LWA-G</t>
  </si>
  <si>
    <t>verbleibt als</t>
  </si>
  <si>
    <t>Ust: Ges.fdg</t>
  </si>
  <si>
    <t>Pflegefonds</t>
  </si>
  <si>
    <t>SWW</t>
  </si>
  <si>
    <t>EA zur Verteilung</t>
  </si>
  <si>
    <t>Diverse Abzüge</t>
  </si>
  <si>
    <t>in %</t>
  </si>
  <si>
    <t>+ in 1.000 €</t>
  </si>
  <si>
    <t>Abzug</t>
  </si>
  <si>
    <t>BeihilfenG</t>
  </si>
  <si>
    <t>ORF-Komp.</t>
  </si>
  <si>
    <t>LSt: StRefG 2020 + Ökos.StR</t>
  </si>
  <si>
    <t>Gmde-KA-Btrg (USt)</t>
  </si>
  <si>
    <t>EU-Länder-Beitrag (Eigenm)</t>
  </si>
  <si>
    <t>veranl. Eink.st.</t>
  </si>
  <si>
    <t>FlaF (vESt, LSt, KeSt I, KöSt)</t>
  </si>
  <si>
    <t>Lohnsteuer</t>
  </si>
  <si>
    <t>KatF (Anteile+Fixbeträge)</t>
  </si>
  <si>
    <t>Kest I</t>
  </si>
  <si>
    <t>Kest II</t>
  </si>
  <si>
    <t>Steuerabkommen</t>
  </si>
  <si>
    <t>Körperschaftsteuer</t>
  </si>
  <si>
    <t>Umsatzsteuer</t>
  </si>
  <si>
    <t>Biersteuer</t>
  </si>
  <si>
    <t>Platzhalter</t>
  </si>
  <si>
    <t>Schaumweinst.</t>
  </si>
  <si>
    <t>Alkoholsteuer</t>
  </si>
  <si>
    <t>Mineralölsteuer</t>
  </si>
  <si>
    <t>Erbschafts- u Schenk.st.</t>
  </si>
  <si>
    <t>Stiftungseingangssteuer</t>
  </si>
  <si>
    <t>Werbeabgabe</t>
  </si>
  <si>
    <t>Wohnbaufdgbtrg</t>
  </si>
  <si>
    <t>Grunderwerbsteuer</t>
  </si>
  <si>
    <t>Bodenwertabgabe</t>
  </si>
  <si>
    <t>Kraftfahrzeugsteuer</t>
  </si>
  <si>
    <t>Motorbez. Vers.steuer</t>
  </si>
  <si>
    <t>Tabaksteuer</t>
  </si>
  <si>
    <t xml:space="preserve">Kapitalverkehrsteuern </t>
  </si>
  <si>
    <t>Stabilitätsabgabe</t>
  </si>
  <si>
    <t>Flugabgabe</t>
  </si>
  <si>
    <t>Energieabgaben</t>
  </si>
  <si>
    <t xml:space="preserve">Normverbrauchsabgabe </t>
  </si>
  <si>
    <t>Versicherungsteuer</t>
  </si>
  <si>
    <t>Konzessionsabgabe</t>
  </si>
  <si>
    <t>Kunstf.btrg (abz. Einh.verg)</t>
  </si>
  <si>
    <t>Spielbankabg. &lt;= 725.000</t>
  </si>
  <si>
    <t>Spielbankabg. &gt; 725.000</t>
  </si>
  <si>
    <t>Summe</t>
  </si>
  <si>
    <t>davon Abg. m einh Schl</t>
  </si>
  <si>
    <t>vertikale Verteilung</t>
  </si>
  <si>
    <t>Abzüge</t>
  </si>
  <si>
    <t>Gemeinden</t>
  </si>
  <si>
    <t>zur Verteilung</t>
  </si>
  <si>
    <t>Bund</t>
  </si>
  <si>
    <t>Länder</t>
  </si>
  <si>
    <t xml:space="preserve">           ehem. L-Pflegegeld</t>
  </si>
  <si>
    <t>EU-Beitrag</t>
  </si>
  <si>
    <t>KA-Beitrag</t>
  </si>
  <si>
    <t>SWW-UWF</t>
  </si>
  <si>
    <t>Wohnbaufdrbtrg</t>
  </si>
  <si>
    <t>Kunstf.btrg.</t>
  </si>
  <si>
    <t>Spielbkabg &lt;= 725T E</t>
  </si>
  <si>
    <t>Spielbkabg &gt; 725T E</t>
  </si>
  <si>
    <t>Abg m einh Schl o ErbSchSt</t>
  </si>
  <si>
    <t>horizontale Verteilung, Gmde-EA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</si>
  <si>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</si>
  <si>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</si>
  <si>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</si>
  <si>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</si>
  <si>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</si>
  <si>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</si>
  <si>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</si>
  <si>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</si>
  <si>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</si>
  <si>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in 1.000.- Euro</t>
  </si>
  <si>
    <t>Abgaben mit einh. Schl</t>
  </si>
  <si>
    <t>Volkszahl</t>
  </si>
  <si>
    <t>aBS</t>
  </si>
  <si>
    <t>Fixschlüssel</t>
  </si>
  <si>
    <t>alle Abgaben</t>
  </si>
  <si>
    <t xml:space="preserve">zur Gänze </t>
  </si>
  <si>
    <t>Aufk. Grd.erw.st.</t>
  </si>
  <si>
    <t>Aufk. Bod.wert.abg.</t>
  </si>
  <si>
    <t>Kunstförderungsbeitrag</t>
  </si>
  <si>
    <t>Aufk. Spbg.abg. &lt;= 725.000</t>
  </si>
  <si>
    <t>Aufk. Spbg.abg. &gt; 725.000</t>
  </si>
  <si>
    <t>Summe ungek. EA</t>
  </si>
  <si>
    <t>EA Bmsgrdlage</t>
  </si>
  <si>
    <t>Landesumlage Höchstbetrag</t>
  </si>
  <si>
    <t>Gemeinde-Bedarfszuweisungsmittel</t>
  </si>
  <si>
    <t>horizontale Verteilung, Länder-EA</t>
  </si>
  <si>
    <t>Umschichtg</t>
  </si>
  <si>
    <t>Abgaben mit einheitlichem Schlüssel (ohne Erbschafts- und Schenkungssteuer)</t>
  </si>
  <si>
    <t>(ohne Erb.u.Sch.St)</t>
  </si>
  <si>
    <t>nach KA-Schl</t>
  </si>
  <si>
    <t>des Aufk. an USt fix</t>
  </si>
  <si>
    <t>Umfahrung Feldkirch-Süd</t>
  </si>
  <si>
    <t>Aufk. Erb.u.Sch.St</t>
  </si>
  <si>
    <t>Volksz.</t>
  </si>
  <si>
    <t>Schlüssel</t>
  </si>
  <si>
    <t>(Aufk. in 1000.-)</t>
  </si>
  <si>
    <t>Stichtag 31.10.2023</t>
  </si>
  <si>
    <t xml:space="preserve">        Grd.erw.st.</t>
  </si>
  <si>
    <t xml:space="preserve">        Bod.wert.abg.</t>
  </si>
  <si>
    <t xml:space="preserve">        Erb.u.SchSt</t>
  </si>
  <si>
    <t xml:space="preserve">            SpbkA bis 725T</t>
  </si>
  <si>
    <t xml:space="preserve">            SpbkA &gt; 725T</t>
  </si>
  <si>
    <t>USt-KA (fix)</t>
  </si>
  <si>
    <t>USt Umfahrg. Feldk.-Süd</t>
  </si>
  <si>
    <t>G-einh.Abg-Fixschlüssel</t>
  </si>
  <si>
    <t>L-einh.Abg-Fixschlüssel</t>
  </si>
  <si>
    <t>USt Umfahrg. Felldk.-Süd</t>
  </si>
  <si>
    <t>Verteilung der gemeinschaftlichen Bundesabgaben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</si>
</sst>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0.000%"/>
    <numFmt numFmtId="165" formatCode="\+#,##0;\-#,##0;&quot;-&quot;"/>
    <numFmt numFmtId="166" formatCode="&quot;ok&quot;;&quot;??&quot;;[Red]&quot;Fehler&quot;"/>
    <numFmt numFmtId="167" formatCode="0.000"/>
    <numFmt numFmtId="169" formatCode="0.0"/>
    <numFmt numFmtId="172" formatCode="&quot;davon&quot;\ 0.00%"/>
    <numFmt numFmtId="173" formatCode="&quot;davon&quot;\ 0.0%"/>
    <numFmt numFmtId="174" formatCode="#,##0.000"/>
  </numFmts>
  <fonts count="12" x14ac:knownFonts="1">
    <font>
      <sz val="10"/>
      <name val="Arial"/>
    </font>
    <font>
      <sz val="10"/>
      <name val="Helv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sz val="7"/>
      <name val="Arial"/>
      <family val="2"/>
    </font>
    <font>
      <i/>
      <sz val="7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" fillId="0" borderId="0"/>
    <xf numFmtId="4" fontId="1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2" applyFont="1"/>
    <xf numFmtId="0" fontId="3" fillId="0" borderId="0" xfId="2" applyFont="1"/>
    <xf numFmtId="0" fontId="4" fillId="0" borderId="0" xfId="0" applyFont="1"/>
    <xf numFmtId="0" fontId="5" fillId="0" borderId="0" xfId="2" applyFont="1"/>
    <xf numFmtId="0" fontId="6" fillId="0" borderId="0" xfId="2" applyFont="1"/>
    <xf numFmtId="0" fontId="7" fillId="0" borderId="0" xfId="2" applyFont="1"/>
    <xf numFmtId="3" fontId="7" fillId="0" borderId="0" xfId="2" applyNumberFormat="1" applyFont="1"/>
    <xf numFmtId="0" fontId="5" fillId="0" borderId="0" xfId="2" applyFont="1" applyAlignment="1">
      <alignment horizontal="right"/>
    </xf>
    <xf numFmtId="3" fontId="5" fillId="0" borderId="0" xfId="2" applyNumberFormat="1" applyFont="1"/>
    <xf numFmtId="0" fontId="8" fillId="0" borderId="0" xfId="2" applyFont="1" applyAlignment="1">
      <alignment horizontal="left"/>
    </xf>
    <xf numFmtId="3" fontId="8" fillId="0" borderId="0" xfId="2" applyNumberFormat="1" applyFont="1"/>
    <xf numFmtId="3" fontId="3" fillId="0" borderId="0" xfId="3" applyNumberFormat="1" applyFont="1" applyFill="1"/>
    <xf numFmtId="3" fontId="3" fillId="0" borderId="0" xfId="2" applyNumberFormat="1" applyFont="1"/>
    <xf numFmtId="2" fontId="3" fillId="0" borderId="0" xfId="2" applyNumberFormat="1" applyFont="1"/>
    <xf numFmtId="3" fontId="2" fillId="0" borderId="0" xfId="3" applyNumberFormat="1" applyFont="1" applyFill="1"/>
    <xf numFmtId="0" fontId="9" fillId="0" borderId="0" xfId="2" applyFont="1"/>
    <xf numFmtId="3" fontId="9" fillId="0" borderId="0" xfId="3" applyNumberFormat="1" applyFont="1" applyFill="1" applyBorder="1"/>
    <xf numFmtId="0" fontId="3" fillId="0" borderId="0" xfId="2" applyFont="1" applyAlignment="1">
      <alignment horizontal="right"/>
    </xf>
    <xf numFmtId="3" fontId="2" fillId="0" borderId="1" xfId="2" applyNumberFormat="1" applyFont="1" applyBorder="1"/>
    <xf numFmtId="0" fontId="5" fillId="0" borderId="2" xfId="2" applyFont="1" applyBorder="1" applyAlignment="1">
      <alignment horizontal="right"/>
    </xf>
    <xf numFmtId="0" fontId="5" fillId="0" borderId="2" xfId="2" quotePrefix="1" applyFont="1" applyBorder="1" applyAlignment="1">
      <alignment horizontal="right"/>
    </xf>
    <xf numFmtId="0" fontId="3" fillId="0" borderId="3" xfId="2" applyFont="1" applyBorder="1" applyAlignment="1">
      <alignment horizontal="right"/>
    </xf>
    <xf numFmtId="3" fontId="10" fillId="0" borderId="0" xfId="2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3" fillId="0" borderId="4" xfId="2" applyFont="1" applyBorder="1"/>
    <xf numFmtId="164" fontId="3" fillId="0" borderId="0" xfId="1" applyNumberFormat="1" applyFont="1" applyFill="1" applyBorder="1" applyAlignment="1">
      <alignment horizontal="right"/>
    </xf>
    <xf numFmtId="3" fontId="3" fillId="0" borderId="5" xfId="2" applyNumberFormat="1" applyFont="1" applyBorder="1"/>
    <xf numFmtId="3" fontId="3" fillId="0" borderId="5" xfId="3" applyNumberFormat="1" applyFont="1" applyFill="1" applyBorder="1"/>
    <xf numFmtId="0" fontId="3" fillId="0" borderId="4" xfId="2" applyFont="1" applyBorder="1" applyAlignment="1">
      <alignment horizontal="left"/>
    </xf>
    <xf numFmtId="165" fontId="3" fillId="0" borderId="0" xfId="2" applyNumberFormat="1" applyFont="1"/>
    <xf numFmtId="0" fontId="3" fillId="0" borderId="6" xfId="2" applyFont="1" applyBorder="1" applyAlignment="1">
      <alignment horizontal="left"/>
    </xf>
    <xf numFmtId="0" fontId="4" fillId="0" borderId="7" xfId="0" applyFont="1" applyBorder="1"/>
    <xf numFmtId="164" fontId="3" fillId="0" borderId="7" xfId="1" applyNumberFormat="1" applyFont="1" applyFill="1" applyBorder="1" applyAlignment="1">
      <alignment horizontal="right"/>
    </xf>
    <xf numFmtId="3" fontId="3" fillId="0" borderId="7" xfId="3" applyNumberFormat="1" applyFont="1" applyFill="1" applyBorder="1"/>
    <xf numFmtId="3" fontId="3" fillId="0" borderId="8" xfId="2" applyNumberFormat="1" applyFont="1" applyBorder="1"/>
    <xf numFmtId="0" fontId="3" fillId="0" borderId="0" xfId="0" applyFont="1"/>
    <xf numFmtId="3" fontId="2" fillId="0" borderId="0" xfId="2" applyNumberFormat="1" applyFont="1"/>
    <xf numFmtId="3" fontId="3" fillId="0" borderId="0" xfId="0" applyNumberFormat="1" applyFont="1"/>
    <xf numFmtId="166" fontId="3" fillId="0" borderId="0" xfId="2" applyNumberFormat="1" applyFont="1" applyAlignment="1">
      <alignment horizontal="right"/>
    </xf>
    <xf numFmtId="3" fontId="10" fillId="0" borderId="0" xfId="2" applyNumberFormat="1" applyFont="1"/>
    <xf numFmtId="0" fontId="3" fillId="0" borderId="2" xfId="2" applyFont="1" applyBorder="1"/>
    <xf numFmtId="0" fontId="3" fillId="0" borderId="1" xfId="2" applyFont="1" applyBorder="1"/>
    <xf numFmtId="0" fontId="3" fillId="0" borderId="3" xfId="2" applyFont="1" applyBorder="1"/>
    <xf numFmtId="0" fontId="2" fillId="0" borderId="1" xfId="2" applyFont="1" applyBorder="1"/>
    <xf numFmtId="3" fontId="10" fillId="0" borderId="2" xfId="2" applyNumberFormat="1" applyFont="1" applyBorder="1"/>
    <xf numFmtId="0" fontId="3" fillId="0" borderId="3" xfId="0" applyFont="1" applyBorder="1"/>
    <xf numFmtId="0" fontId="3" fillId="0" borderId="5" xfId="2" applyFont="1" applyBorder="1"/>
    <xf numFmtId="0" fontId="3" fillId="0" borderId="4" xfId="2" applyFont="1" applyBorder="1" applyAlignment="1">
      <alignment horizontal="right"/>
    </xf>
    <xf numFmtId="0" fontId="3" fillId="0" borderId="5" xfId="2" applyFont="1" applyBorder="1" applyAlignment="1">
      <alignment horizontal="right"/>
    </xf>
    <xf numFmtId="164" fontId="3" fillId="0" borderId="0" xfId="1" applyNumberFormat="1" applyFont="1" applyFill="1" applyBorder="1"/>
    <xf numFmtId="3" fontId="3" fillId="0" borderId="0" xfId="3" applyNumberFormat="1" applyFont="1" applyFill="1" applyBorder="1"/>
    <xf numFmtId="3" fontId="3" fillId="0" borderId="4" xfId="2" applyNumberFormat="1" applyFont="1" applyBorder="1"/>
    <xf numFmtId="167" fontId="3" fillId="0" borderId="0" xfId="2" applyNumberFormat="1" applyFont="1"/>
    <xf numFmtId="3" fontId="10" fillId="0" borderId="5" xfId="2" applyNumberFormat="1" applyFont="1" applyBorder="1"/>
    <xf numFmtId="0" fontId="5" fillId="0" borderId="0" xfId="2" applyFont="1" applyAlignment="1">
      <alignment horizontal="center"/>
    </xf>
    <xf numFmtId="0" fontId="3" fillId="0" borderId="6" xfId="2" applyFont="1" applyBorder="1"/>
    <xf numFmtId="0" fontId="3" fillId="0" borderId="7" xfId="2" applyFont="1" applyBorder="1"/>
    <xf numFmtId="3" fontId="3" fillId="0" borderId="6" xfId="3" applyNumberFormat="1" applyFont="1" applyFill="1" applyBorder="1"/>
    <xf numFmtId="3" fontId="3" fillId="0" borderId="8" xfId="3" applyNumberFormat="1" applyFont="1" applyFill="1" applyBorder="1"/>
    <xf numFmtId="3" fontId="3" fillId="0" borderId="7" xfId="2" applyNumberFormat="1" applyFont="1" applyBorder="1"/>
    <xf numFmtId="3" fontId="5" fillId="0" borderId="0" xfId="2" applyNumberFormat="1" applyFont="1" applyAlignment="1">
      <alignment horizontal="right"/>
    </xf>
    <xf numFmtId="3" fontId="3" fillId="0" borderId="0" xfId="2" applyNumberFormat="1" applyFont="1" applyAlignment="1">
      <alignment horizontal="right"/>
    </xf>
    <xf numFmtId="0" fontId="4" fillId="0" borderId="0" xfId="2" applyFont="1"/>
    <xf numFmtId="4" fontId="3" fillId="0" borderId="0" xfId="2" applyNumberFormat="1" applyFont="1"/>
    <xf numFmtId="0" fontId="3" fillId="0" borderId="0" xfId="2" applyFont="1" applyAlignment="1">
      <alignment horizontal="center"/>
    </xf>
    <xf numFmtId="3" fontId="2" fillId="0" borderId="0" xfId="3" applyNumberFormat="1" applyFont="1"/>
    <xf numFmtId="164" fontId="3" fillId="0" borderId="0" xfId="1" applyNumberFormat="1" applyFont="1" applyFill="1"/>
    <xf numFmtId="0" fontId="3" fillId="0" borderId="0" xfId="2" applyFont="1" applyAlignment="1">
      <alignment horizontal="left"/>
    </xf>
    <xf numFmtId="167" fontId="3" fillId="0" borderId="0" xfId="2" applyNumberFormat="1" applyFont="1" applyAlignment="1">
      <alignment horizontal="right"/>
    </xf>
    <xf numFmtId="0" fontId="3" fillId="0" borderId="0" xfId="2" quotePrefix="1" applyFont="1"/>
    <xf numFmtId="172" fontId="3" fillId="0" borderId="0" xfId="1" applyNumberFormat="1" applyFont="1" applyFill="1" applyAlignment="1">
      <alignment horizontal="left"/>
    </xf>
    <xf numFmtId="173" fontId="3" fillId="0" borderId="0" xfId="1" applyNumberFormat="1" applyFont="1" applyFill="1" applyAlignment="1">
      <alignment horizontal="left"/>
    </xf>
    <xf numFmtId="169" fontId="3" fillId="0" borderId="0" xfId="2" applyNumberFormat="1" applyFont="1"/>
    <xf numFmtId="0" fontId="2" fillId="0" borderId="0" xfId="2" applyFont="1" applyAlignment="1">
      <alignment horizontal="center"/>
    </xf>
    <xf numFmtId="164" fontId="5" fillId="0" borderId="0" xfId="1" applyNumberFormat="1" applyFont="1" applyFill="1"/>
    <xf numFmtId="167" fontId="5" fillId="0" borderId="0" xfId="2" applyNumberFormat="1" applyFont="1"/>
    <xf numFmtId="164" fontId="3" fillId="0" borderId="0" xfId="1" applyNumberFormat="1" applyFont="1" applyFill="1" applyAlignment="1">
      <alignment horizontal="right"/>
    </xf>
    <xf numFmtId="169" fontId="3" fillId="0" borderId="0" xfId="2" applyNumberFormat="1" applyFont="1" applyAlignment="1">
      <alignment horizontal="center"/>
    </xf>
    <xf numFmtId="0" fontId="3" fillId="0" borderId="0" xfId="2" applyFont="1" applyProtection="1">
      <protection locked="0"/>
    </xf>
    <xf numFmtId="174" fontId="10" fillId="0" borderId="0" xfId="2" applyNumberFormat="1" applyFont="1"/>
    <xf numFmtId="4" fontId="11" fillId="0" borderId="0" xfId="2" applyNumberFormat="1" applyFont="1"/>
    <xf numFmtId="174" fontId="3" fillId="0" borderId="0" xfId="2" applyNumberFormat="1" applyFont="1"/>
    <xf numFmtId="10" fontId="3" fillId="0" borderId="0" xfId="1" applyNumberFormat="1" applyFont="1" applyFill="1"/>
    <xf numFmtId="9" fontId="3" fillId="0" borderId="0" xfId="1" applyFont="1" applyFill="1"/>
  </cellXfs>
  <cellStyles count="4">
    <cellStyle name="Dezimal_EAVERT96" xfId="3" xr:uid="{176E19ED-3EB4-46B9-890F-1F294B8B0D2E}"/>
    <cellStyle name="Prozent" xfId="1" builtinId="5"/>
    <cellStyle name="Standard" xfId="0" builtinId="0"/>
    <cellStyle name="Standard_EAVERT96" xfId="2" xr:uid="{1FE523B6-B9BC-45B0-B744-FE9FD48327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9C0A3-3D68-4816-951D-CDA2ECE91DF2}">
  <sheetPr>
    <pageSetUpPr fitToPage="1"/>
  </sheetPr>
  <dimension ref="A1:AG223"/>
  <sheetViews>
    <sheetView tabSelected="1" zoomScaleNormal="100" workbookViewId="0"/>
  </sheetViews>
  <sheetFormatPr baseColWidth="10" defaultRowHeight="11.25" x14ac:dyDescent="0.2"/>
  <cols>
    <col min="1" max="1" width="17.28515625" style="2" customWidth="1"/>
    <col min="2" max="11" width="10.42578125" style="2" customWidth="1"/>
    <col min="12" max="26" width="10.7109375" style="2" customWidth="1"/>
    <col min="27" max="16384" width="11.42578125" style="2"/>
  </cols>
  <sheetData>
    <row r="1" spans="1:15" ht="12.75" x14ac:dyDescent="0.2">
      <c r="A1" s="1" t="s">
        <v>116</v>
      </c>
      <c r="G1" s="3"/>
      <c r="H1" s="3"/>
      <c r="I1" s="3"/>
    </row>
    <row r="2" spans="1:15" ht="12.75" x14ac:dyDescent="0.2">
      <c r="A2" s="2" t="s">
        <v>0</v>
      </c>
      <c r="E2" s="3"/>
      <c r="G2" s="3"/>
      <c r="H2" s="3"/>
      <c r="I2" s="3"/>
    </row>
    <row r="3" spans="1:15" ht="12.75" x14ac:dyDescent="0.2">
      <c r="E3" s="3"/>
      <c r="G3" s="3"/>
      <c r="H3" s="3"/>
      <c r="I3" s="3"/>
      <c r="J3" s="4"/>
      <c r="K3" s="4"/>
      <c r="L3" s="5"/>
      <c r="M3" s="4"/>
    </row>
    <row r="4" spans="1:15" ht="12.75" x14ac:dyDescent="0.2">
      <c r="A4" s="6"/>
      <c r="B4" s="6"/>
      <c r="D4" s="1"/>
      <c r="E4" s="3"/>
      <c r="G4" s="3"/>
      <c r="H4" s="4"/>
      <c r="I4" s="4"/>
      <c r="J4" s="4"/>
      <c r="K4" s="4"/>
      <c r="L4" s="5"/>
      <c r="M4" s="4"/>
    </row>
    <row r="5" spans="1:15" ht="12.75" x14ac:dyDescent="0.2">
      <c r="A5" s="6"/>
      <c r="B5" s="7"/>
      <c r="E5" s="3"/>
      <c r="F5" s="3"/>
      <c r="H5" s="8"/>
      <c r="I5" s="9"/>
      <c r="J5" s="4"/>
      <c r="K5" s="9"/>
      <c r="L5" s="4"/>
      <c r="M5" s="4"/>
    </row>
    <row r="6" spans="1:15" ht="12.75" x14ac:dyDescent="0.2">
      <c r="A6" s="10"/>
      <c r="B6" s="11"/>
      <c r="E6" s="3"/>
      <c r="F6" s="3"/>
      <c r="G6" s="12"/>
      <c r="H6" s="13"/>
      <c r="I6" s="13"/>
      <c r="K6" s="14"/>
      <c r="L6" s="4"/>
      <c r="M6" s="4"/>
    </row>
    <row r="7" spans="1:15" x14ac:dyDescent="0.2">
      <c r="A7" s="1"/>
      <c r="B7" s="15"/>
      <c r="H7" s="4"/>
      <c r="I7" s="4"/>
      <c r="J7" s="16"/>
      <c r="K7" s="17"/>
      <c r="L7" s="4"/>
      <c r="M7" s="4"/>
    </row>
    <row r="8" spans="1:15" x14ac:dyDescent="0.2">
      <c r="A8" s="13"/>
      <c r="B8" s="18" t="s">
        <v>1</v>
      </c>
      <c r="C8" s="18" t="s">
        <v>2</v>
      </c>
      <c r="D8" s="18" t="s">
        <v>3</v>
      </c>
      <c r="E8" s="18" t="s">
        <v>4</v>
      </c>
      <c r="F8" s="18" t="s">
        <v>5</v>
      </c>
      <c r="G8" s="18" t="s">
        <v>6</v>
      </c>
      <c r="H8" s="18" t="s">
        <v>7</v>
      </c>
      <c r="I8" s="18" t="s">
        <v>8</v>
      </c>
      <c r="K8" s="19" t="s">
        <v>9</v>
      </c>
      <c r="L8" s="20"/>
      <c r="M8" s="20" t="s">
        <v>10</v>
      </c>
      <c r="N8" s="21" t="s">
        <v>11</v>
      </c>
      <c r="O8" s="22" t="s">
        <v>12</v>
      </c>
    </row>
    <row r="9" spans="1:15" x14ac:dyDescent="0.2">
      <c r="B9" s="23" t="s">
        <v>51</v>
      </c>
      <c r="C9" s="24" t="s">
        <v>13</v>
      </c>
      <c r="D9" s="24" t="s">
        <v>14</v>
      </c>
      <c r="E9" s="18" t="s">
        <v>1</v>
      </c>
      <c r="F9" s="2" t="s">
        <v>15</v>
      </c>
      <c r="I9" s="18"/>
      <c r="K9" s="25" t="s">
        <v>16</v>
      </c>
      <c r="L9" s="9"/>
      <c r="M9" s="26">
        <v>6.4200000000000004E-3</v>
      </c>
      <c r="O9" s="27">
        <f>(B17+C17)*M9</f>
        <v>235010.52425440561</v>
      </c>
    </row>
    <row r="10" spans="1:15" ht="12.75" x14ac:dyDescent="0.2">
      <c r="A10" s="3"/>
      <c r="K10" s="25" t="s">
        <v>17</v>
      </c>
      <c r="L10" s="9"/>
      <c r="M10" s="26"/>
      <c r="O10" s="28">
        <v>529568.04436240252</v>
      </c>
    </row>
    <row r="11" spans="1:15" ht="12.75" x14ac:dyDescent="0.2">
      <c r="A11" s="2" t="s">
        <v>18</v>
      </c>
      <c r="B11" s="13">
        <v>5094871.3536400003</v>
      </c>
      <c r="C11" s="13">
        <v>-172598</v>
      </c>
      <c r="D11" s="13">
        <v>-84893.05726999999</v>
      </c>
      <c r="E11" s="13">
        <f>B11+C11+D11</f>
        <v>4837380.2963700006</v>
      </c>
      <c r="F11" s="13"/>
      <c r="I11" s="13">
        <f>SUM(E11:H11)</f>
        <v>4837380.2963700006</v>
      </c>
      <c r="K11" s="29" t="s">
        <v>19</v>
      </c>
      <c r="L11" s="3"/>
      <c r="M11" s="26">
        <v>1.7000000000000001E-2</v>
      </c>
      <c r="O11" s="27">
        <v>926854.06098595005</v>
      </c>
    </row>
    <row r="12" spans="1:15" ht="12.75" x14ac:dyDescent="0.2">
      <c r="A12" s="2" t="s">
        <v>20</v>
      </c>
      <c r="B12" s="13">
        <v>37832618.316380002</v>
      </c>
      <c r="C12" s="13">
        <v>-517794</v>
      </c>
      <c r="D12" s="13"/>
      <c r="E12" s="13">
        <f t="shared" ref="E12:E43" si="0">B12+C12+D12</f>
        <v>37314824.316380002</v>
      </c>
      <c r="F12" s="30">
        <v>1250000</v>
      </c>
      <c r="I12" s="13">
        <f t="shared" ref="I12:I43" si="1">SUM(E12:H12)</f>
        <v>38564824.316380002</v>
      </c>
      <c r="K12" s="31" t="s">
        <v>21</v>
      </c>
      <c r="L12" s="32"/>
      <c r="M12" s="33">
        <v>1.0699999999999999E-2</v>
      </c>
      <c r="N12" s="34">
        <v>30000</v>
      </c>
      <c r="O12" s="35">
        <f>(I11+I12+I13+I14+I16)*M12+N12</f>
        <v>693056.37956174498</v>
      </c>
    </row>
    <row r="13" spans="1:15" ht="12.75" x14ac:dyDescent="0.2">
      <c r="A13" s="2" t="s">
        <v>22</v>
      </c>
      <c r="B13" s="13">
        <v>3738854.2165400004</v>
      </c>
      <c r="C13" s="13"/>
      <c r="D13" s="13"/>
      <c r="E13" s="13">
        <f t="shared" si="0"/>
        <v>3738854.2165400004</v>
      </c>
      <c r="F13" s="13"/>
      <c r="I13" s="13">
        <f t="shared" si="1"/>
        <v>3738854.2165400004</v>
      </c>
      <c r="K13" s="3"/>
      <c r="L13" s="9"/>
      <c r="M13" s="4"/>
      <c r="N13" s="4"/>
    </row>
    <row r="14" spans="1:15" x14ac:dyDescent="0.2">
      <c r="A14" s="2" t="s">
        <v>23</v>
      </c>
      <c r="B14" s="13">
        <v>2967095.3697200003</v>
      </c>
      <c r="C14" s="13"/>
      <c r="D14" s="13"/>
      <c r="E14" s="13">
        <f t="shared" si="0"/>
        <v>2967095.3697200003</v>
      </c>
      <c r="F14" s="13"/>
      <c r="I14" s="13">
        <f t="shared" si="1"/>
        <v>2967095.3697200003</v>
      </c>
      <c r="K14" s="36"/>
      <c r="L14" s="9"/>
      <c r="M14" s="4"/>
      <c r="N14" s="4"/>
    </row>
    <row r="15" spans="1:15" x14ac:dyDescent="0.2">
      <c r="A15" s="2" t="s">
        <v>24</v>
      </c>
      <c r="B15" s="13">
        <v>0</v>
      </c>
      <c r="C15" s="13"/>
      <c r="D15" s="13"/>
      <c r="E15" s="13">
        <f t="shared" si="0"/>
        <v>0</v>
      </c>
      <c r="F15" s="13"/>
      <c r="I15" s="13">
        <f t="shared" si="1"/>
        <v>0</v>
      </c>
    </row>
    <row r="16" spans="1:15" x14ac:dyDescent="0.2">
      <c r="A16" s="2" t="s">
        <v>25</v>
      </c>
      <c r="B16" s="13">
        <v>11859731.741339998</v>
      </c>
      <c r="C16" s="13"/>
      <c r="D16" s="13"/>
      <c r="E16" s="13">
        <f t="shared" si="0"/>
        <v>11859731.741339998</v>
      </c>
      <c r="F16" s="13"/>
      <c r="I16" s="13">
        <f t="shared" si="1"/>
        <v>11859731.741339998</v>
      </c>
      <c r="N16" s="37"/>
    </row>
    <row r="17" spans="1:9" x14ac:dyDescent="0.2">
      <c r="A17" s="2" t="s">
        <v>26</v>
      </c>
      <c r="B17" s="13">
        <v>40177075.671319999</v>
      </c>
      <c r="C17" s="13">
        <v>-3571075.0086399997</v>
      </c>
      <c r="D17" s="13">
        <v>-98636.625279999993</v>
      </c>
      <c r="E17" s="13">
        <f t="shared" si="0"/>
        <v>36507364.0374</v>
      </c>
      <c r="F17" s="13">
        <v>-7250.0000000000009</v>
      </c>
      <c r="G17" s="13">
        <v>-1155000</v>
      </c>
      <c r="H17" s="13">
        <v>-213125.95139999999</v>
      </c>
      <c r="I17" s="13">
        <f t="shared" si="1"/>
        <v>35131988.086000003</v>
      </c>
    </row>
    <row r="18" spans="1:9" x14ac:dyDescent="0.2">
      <c r="A18" s="2" t="s">
        <v>27</v>
      </c>
      <c r="B18" s="13">
        <v>178755.15202000001</v>
      </c>
      <c r="C18" s="13"/>
      <c r="D18" s="13"/>
      <c r="E18" s="13">
        <f t="shared" si="0"/>
        <v>178755.15202000001</v>
      </c>
      <c r="F18" s="13"/>
      <c r="I18" s="13">
        <f t="shared" si="1"/>
        <v>178755.15202000001</v>
      </c>
    </row>
    <row r="19" spans="1:9" x14ac:dyDescent="0.2">
      <c r="A19" s="2" t="s">
        <v>28</v>
      </c>
      <c r="B19" s="13">
        <v>0</v>
      </c>
      <c r="C19" s="13"/>
      <c r="D19" s="13"/>
      <c r="E19" s="13">
        <f t="shared" si="0"/>
        <v>0</v>
      </c>
      <c r="F19" s="13"/>
      <c r="I19" s="13">
        <f t="shared" si="1"/>
        <v>0</v>
      </c>
    </row>
    <row r="20" spans="1:9" x14ac:dyDescent="0.2">
      <c r="A20" s="2" t="s">
        <v>29</v>
      </c>
      <c r="B20" s="13">
        <v>1847.2357099999999</v>
      </c>
      <c r="C20" s="13"/>
      <c r="D20" s="13"/>
      <c r="E20" s="13">
        <f t="shared" si="0"/>
        <v>1847.2357099999999</v>
      </c>
      <c r="F20" s="13"/>
      <c r="I20" s="13">
        <f t="shared" si="1"/>
        <v>1847.2357099999999</v>
      </c>
    </row>
    <row r="21" spans="1:9" x14ac:dyDescent="0.2">
      <c r="A21" s="2" t="s">
        <v>30</v>
      </c>
      <c r="B21" s="13">
        <v>145088.57484000002</v>
      </c>
      <c r="C21" s="13"/>
      <c r="D21" s="13"/>
      <c r="E21" s="13">
        <f t="shared" si="0"/>
        <v>145088.57484000002</v>
      </c>
      <c r="F21" s="13"/>
      <c r="I21" s="13">
        <f t="shared" si="1"/>
        <v>145088.57484000002</v>
      </c>
    </row>
    <row r="22" spans="1:9" x14ac:dyDescent="0.2">
      <c r="A22" s="2" t="s">
        <v>28</v>
      </c>
      <c r="B22" s="13">
        <v>0</v>
      </c>
      <c r="C22" s="13"/>
      <c r="D22" s="13"/>
      <c r="E22" s="13">
        <f t="shared" si="0"/>
        <v>0</v>
      </c>
      <c r="F22" s="13"/>
      <c r="I22" s="13">
        <f t="shared" si="1"/>
        <v>0</v>
      </c>
    </row>
    <row r="23" spans="1:9" x14ac:dyDescent="0.2">
      <c r="A23" s="2" t="s">
        <v>31</v>
      </c>
      <c r="B23" s="13">
        <v>3687159.4638799997</v>
      </c>
      <c r="C23" s="13"/>
      <c r="D23" s="13"/>
      <c r="E23" s="13">
        <f t="shared" si="0"/>
        <v>3687159.4638799997</v>
      </c>
      <c r="F23" s="13"/>
      <c r="I23" s="13">
        <f t="shared" si="1"/>
        <v>3687159.4638799997</v>
      </c>
    </row>
    <row r="24" spans="1:9" x14ac:dyDescent="0.2">
      <c r="A24" s="2" t="s">
        <v>32</v>
      </c>
      <c r="B24" s="13">
        <v>354.01131000000004</v>
      </c>
      <c r="C24" s="13"/>
      <c r="D24" s="13"/>
      <c r="E24" s="13">
        <f t="shared" si="0"/>
        <v>354.01131000000004</v>
      </c>
      <c r="F24" s="13"/>
      <c r="I24" s="13">
        <f t="shared" si="1"/>
        <v>354.01131000000004</v>
      </c>
    </row>
    <row r="25" spans="1:9" x14ac:dyDescent="0.2">
      <c r="A25" s="2" t="s">
        <v>33</v>
      </c>
      <c r="B25" s="13">
        <v>54377.352590000002</v>
      </c>
      <c r="C25" s="13"/>
      <c r="D25" s="13"/>
      <c r="E25" s="13">
        <f t="shared" si="0"/>
        <v>54377.352590000002</v>
      </c>
      <c r="F25" s="13"/>
      <c r="I25" s="13">
        <f t="shared" si="1"/>
        <v>54377.352590000002</v>
      </c>
    </row>
    <row r="26" spans="1:9" x14ac:dyDescent="0.2">
      <c r="A26" s="2" t="s">
        <v>34</v>
      </c>
      <c r="B26" s="13">
        <v>90338.097200000004</v>
      </c>
      <c r="C26" s="13"/>
      <c r="D26" s="13"/>
      <c r="E26" s="13">
        <f t="shared" si="0"/>
        <v>90338.097200000004</v>
      </c>
      <c r="F26" s="13"/>
      <c r="I26" s="13">
        <f t="shared" si="1"/>
        <v>90338.097200000004</v>
      </c>
    </row>
    <row r="27" spans="1:9" x14ac:dyDescent="0.2">
      <c r="A27" s="38" t="s">
        <v>35</v>
      </c>
      <c r="B27" s="13">
        <v>0</v>
      </c>
      <c r="C27" s="13"/>
      <c r="D27" s="13"/>
      <c r="E27" s="13">
        <f t="shared" si="0"/>
        <v>0</v>
      </c>
      <c r="F27" s="13"/>
      <c r="I27" s="13">
        <f t="shared" si="1"/>
        <v>0</v>
      </c>
    </row>
    <row r="28" spans="1:9" x14ac:dyDescent="0.2">
      <c r="A28" s="2" t="s">
        <v>36</v>
      </c>
      <c r="B28" s="13">
        <v>1304137.0230600003</v>
      </c>
      <c r="C28" s="13"/>
      <c r="D28" s="13"/>
      <c r="E28" s="13">
        <f t="shared" si="0"/>
        <v>1304137.0230600003</v>
      </c>
      <c r="F28" s="13"/>
      <c r="I28" s="13">
        <f t="shared" si="1"/>
        <v>1304137.0230600003</v>
      </c>
    </row>
    <row r="29" spans="1:9" x14ac:dyDescent="0.2">
      <c r="A29" s="2" t="s">
        <v>37</v>
      </c>
      <c r="B29" s="13">
        <v>5736.6326099999997</v>
      </c>
      <c r="C29" s="13"/>
      <c r="D29" s="13"/>
      <c r="E29" s="13">
        <f t="shared" si="0"/>
        <v>5736.6326099999997</v>
      </c>
      <c r="F29" s="13"/>
      <c r="I29" s="13">
        <f t="shared" si="1"/>
        <v>5736.6326099999997</v>
      </c>
    </row>
    <row r="30" spans="1:9" x14ac:dyDescent="0.2">
      <c r="A30" s="2" t="s">
        <v>38</v>
      </c>
      <c r="B30" s="13">
        <v>57676.39056</v>
      </c>
      <c r="C30" s="13"/>
      <c r="D30" s="13"/>
      <c r="E30" s="13">
        <f t="shared" si="0"/>
        <v>57676.39056</v>
      </c>
      <c r="F30" s="13"/>
      <c r="I30" s="13">
        <f t="shared" si="1"/>
        <v>57676.39056</v>
      </c>
    </row>
    <row r="31" spans="1:9" x14ac:dyDescent="0.2">
      <c r="A31" s="2" t="s">
        <v>39</v>
      </c>
      <c r="B31" s="13">
        <v>2902352.5425800001</v>
      </c>
      <c r="C31" s="13"/>
      <c r="D31" s="13"/>
      <c r="E31" s="13">
        <f t="shared" si="0"/>
        <v>2902352.5425800001</v>
      </c>
      <c r="F31" s="13"/>
      <c r="I31" s="13">
        <f t="shared" si="1"/>
        <v>2902352.5425800001</v>
      </c>
    </row>
    <row r="32" spans="1:9" x14ac:dyDescent="0.2">
      <c r="A32" s="2" t="s">
        <v>40</v>
      </c>
      <c r="B32" s="13">
        <v>2170426.1045499998</v>
      </c>
      <c r="C32" s="13"/>
      <c r="D32" s="13"/>
      <c r="E32" s="13">
        <f t="shared" si="0"/>
        <v>2170426.1045499998</v>
      </c>
      <c r="F32" s="13"/>
      <c r="I32" s="13">
        <f t="shared" si="1"/>
        <v>2170426.1045499998</v>
      </c>
    </row>
    <row r="33" spans="1:16" x14ac:dyDescent="0.2">
      <c r="A33" s="2" t="s">
        <v>41</v>
      </c>
      <c r="B33" s="13">
        <v>0</v>
      </c>
      <c r="C33" s="13"/>
      <c r="D33" s="13"/>
      <c r="E33" s="13">
        <f t="shared" si="0"/>
        <v>0</v>
      </c>
      <c r="F33" s="13"/>
      <c r="I33" s="13">
        <f t="shared" si="1"/>
        <v>0</v>
      </c>
    </row>
    <row r="34" spans="1:16" x14ac:dyDescent="0.2">
      <c r="A34" s="2" t="s">
        <v>28</v>
      </c>
      <c r="B34" s="13">
        <v>0</v>
      </c>
      <c r="C34" s="13"/>
      <c r="D34" s="13"/>
      <c r="E34" s="13">
        <f t="shared" si="0"/>
        <v>0</v>
      </c>
      <c r="F34" s="13"/>
      <c r="I34" s="13">
        <f t="shared" si="1"/>
        <v>0</v>
      </c>
    </row>
    <row r="35" spans="1:16" x14ac:dyDescent="0.2">
      <c r="A35" s="2" t="s">
        <v>42</v>
      </c>
      <c r="B35" s="13">
        <v>205479.06233999997</v>
      </c>
      <c r="C35" s="13"/>
      <c r="D35" s="13"/>
      <c r="E35" s="13">
        <f t="shared" si="0"/>
        <v>205479.06233999997</v>
      </c>
      <c r="F35" s="13"/>
      <c r="I35" s="13">
        <f t="shared" si="1"/>
        <v>205479.06233999997</v>
      </c>
    </row>
    <row r="36" spans="1:16" x14ac:dyDescent="0.2">
      <c r="A36" s="2" t="s">
        <v>43</v>
      </c>
      <c r="B36" s="13">
        <v>178922.18098999999</v>
      </c>
      <c r="C36" s="13"/>
      <c r="D36" s="13"/>
      <c r="E36" s="13">
        <f t="shared" si="0"/>
        <v>178922.18098999999</v>
      </c>
      <c r="F36" s="13"/>
      <c r="I36" s="13">
        <f t="shared" si="1"/>
        <v>178922.18098999999</v>
      </c>
      <c r="M36" s="13"/>
      <c r="N36" s="4"/>
      <c r="O36" s="13"/>
    </row>
    <row r="37" spans="1:16" x14ac:dyDescent="0.2">
      <c r="A37" s="2" t="s">
        <v>44</v>
      </c>
      <c r="B37" s="13">
        <v>922434.58802000014</v>
      </c>
      <c r="C37" s="13"/>
      <c r="D37" s="13"/>
      <c r="E37" s="13">
        <f t="shared" si="0"/>
        <v>922434.58802000014</v>
      </c>
      <c r="F37" s="13"/>
      <c r="I37" s="13">
        <f t="shared" si="1"/>
        <v>922434.58802000014</v>
      </c>
      <c r="K37" s="4"/>
      <c r="L37" s="13"/>
    </row>
    <row r="38" spans="1:16" x14ac:dyDescent="0.2">
      <c r="A38" s="2" t="s">
        <v>45</v>
      </c>
      <c r="B38" s="13">
        <v>518681.64980000001</v>
      </c>
      <c r="C38" s="13"/>
      <c r="D38" s="13"/>
      <c r="E38" s="13">
        <f t="shared" si="0"/>
        <v>518681.64980000001</v>
      </c>
      <c r="F38" s="13"/>
      <c r="I38" s="13">
        <f t="shared" si="1"/>
        <v>518681.64980000001</v>
      </c>
      <c r="K38" s="4"/>
    </row>
    <row r="39" spans="1:16" x14ac:dyDescent="0.2">
      <c r="A39" s="2" t="s">
        <v>46</v>
      </c>
      <c r="B39" s="13">
        <v>1640630.3865799997</v>
      </c>
      <c r="C39" s="13"/>
      <c r="D39" s="13"/>
      <c r="E39" s="13">
        <f t="shared" si="0"/>
        <v>1640630.3865799997</v>
      </c>
      <c r="F39" s="13"/>
      <c r="I39" s="13">
        <f t="shared" si="1"/>
        <v>1640630.3865799997</v>
      </c>
    </row>
    <row r="40" spans="1:16" x14ac:dyDescent="0.2">
      <c r="A40" s="2" t="s">
        <v>47</v>
      </c>
      <c r="B40" s="13">
        <v>387303.89314</v>
      </c>
      <c r="C40" s="13"/>
      <c r="D40" s="13"/>
      <c r="E40" s="13">
        <f t="shared" si="0"/>
        <v>387303.89314</v>
      </c>
      <c r="F40" s="13"/>
      <c r="I40" s="13">
        <f t="shared" si="1"/>
        <v>387303.89314</v>
      </c>
    </row>
    <row r="41" spans="1:16" x14ac:dyDescent="0.2">
      <c r="A41" s="2" t="s">
        <v>48</v>
      </c>
      <c r="B41" s="13">
        <v>136.17259999999999</v>
      </c>
      <c r="C41" s="13"/>
      <c r="D41" s="13"/>
      <c r="E41" s="13">
        <f t="shared" si="0"/>
        <v>136.17259999999999</v>
      </c>
      <c r="F41" s="13"/>
      <c r="I41" s="13">
        <f t="shared" si="1"/>
        <v>136.17259999999999</v>
      </c>
      <c r="K41" s="9"/>
      <c r="L41" s="9"/>
    </row>
    <row r="42" spans="1:16" x14ac:dyDescent="0.2">
      <c r="A42" s="2" t="s">
        <v>49</v>
      </c>
      <c r="B42" s="13">
        <v>8405.1595300000008</v>
      </c>
      <c r="C42" s="13"/>
      <c r="D42" s="13"/>
      <c r="E42" s="13">
        <f t="shared" si="0"/>
        <v>8405.1595300000008</v>
      </c>
      <c r="F42" s="13"/>
      <c r="I42" s="13">
        <f t="shared" si="1"/>
        <v>8405.1595300000008</v>
      </c>
      <c r="K42" s="4"/>
      <c r="L42" s="4"/>
    </row>
    <row r="43" spans="1:16" x14ac:dyDescent="0.2">
      <c r="A43" s="2" t="s">
        <v>50</v>
      </c>
      <c r="B43" s="13">
        <v>62230.920810000003</v>
      </c>
      <c r="C43" s="13"/>
      <c r="D43" s="13"/>
      <c r="E43" s="13">
        <f t="shared" si="0"/>
        <v>62230.920810000003</v>
      </c>
      <c r="I43" s="13">
        <f t="shared" si="1"/>
        <v>62230.920810000003</v>
      </c>
      <c r="J43" s="39"/>
      <c r="K43" s="40"/>
      <c r="L43" s="4"/>
    </row>
    <row r="44" spans="1:16" x14ac:dyDescent="0.2">
      <c r="I44" s="13"/>
    </row>
    <row r="45" spans="1:16" x14ac:dyDescent="0.2">
      <c r="A45" s="1" t="s">
        <v>51</v>
      </c>
      <c r="B45" s="37">
        <f t="shared" ref="B45:I45" si="2">SUM(B11:B43)</f>
        <v>116192719.26365998</v>
      </c>
      <c r="C45" s="37">
        <f t="shared" si="2"/>
        <v>-4261467.0086399997</v>
      </c>
      <c r="D45" s="37">
        <f t="shared" si="2"/>
        <v>-183529.68254999997</v>
      </c>
      <c r="E45" s="37">
        <f t="shared" si="2"/>
        <v>111747722.57246999</v>
      </c>
      <c r="F45" s="37">
        <f t="shared" si="2"/>
        <v>1242750</v>
      </c>
      <c r="G45" s="37">
        <f t="shared" si="2"/>
        <v>-1155000</v>
      </c>
      <c r="H45" s="37">
        <f t="shared" si="2"/>
        <v>-213125.95139999999</v>
      </c>
      <c r="I45" s="37">
        <f t="shared" si="2"/>
        <v>111622346.62106998</v>
      </c>
    </row>
    <row r="46" spans="1:16" x14ac:dyDescent="0.2">
      <c r="A46" s="2" t="s">
        <v>52</v>
      </c>
      <c r="B46" s="13">
        <f>B11+B12+B13+B14+B15+B16+B17+B18+B20+B21+B23+B24+B25+B26+B30+B31+B32+B33+B35+B36+B37+B38+B39+B40+B41</f>
        <v>114812209.52765</v>
      </c>
      <c r="C46" s="13"/>
      <c r="D46" s="13"/>
      <c r="E46" s="13"/>
      <c r="F46" s="13"/>
      <c r="I46" s="13">
        <f>I11+I12+I13+I14+I15+I16+I17+I18+I20+I21+I23+I24+I25+I26+I30+I31+I32+I33+I35+I36+I37+I38+I39+I40+I41</f>
        <v>110241836.88506</v>
      </c>
    </row>
    <row r="47" spans="1:16" x14ac:dyDescent="0.2">
      <c r="F47" s="13"/>
    </row>
    <row r="48" spans="1:16" x14ac:dyDescent="0.2">
      <c r="K48" s="18"/>
      <c r="N48" s="18"/>
      <c r="O48" s="18"/>
      <c r="P48" s="18"/>
    </row>
    <row r="49" spans="1:15" x14ac:dyDescent="0.2">
      <c r="A49" s="44" t="s">
        <v>53</v>
      </c>
      <c r="B49" s="41"/>
      <c r="C49" s="41"/>
      <c r="D49" s="41"/>
      <c r="E49" s="41"/>
      <c r="F49" s="41"/>
      <c r="G49" s="41"/>
      <c r="H49" s="42" t="s">
        <v>54</v>
      </c>
      <c r="I49" s="41"/>
      <c r="J49" s="45"/>
      <c r="K49" s="41"/>
      <c r="L49" s="45"/>
      <c r="M49" s="46"/>
      <c r="N49" s="41" t="s">
        <v>56</v>
      </c>
      <c r="O49" s="43"/>
    </row>
    <row r="50" spans="1:15" x14ac:dyDescent="0.2">
      <c r="A50" s="25"/>
      <c r="B50" s="18" t="s">
        <v>57</v>
      </c>
      <c r="C50" s="18" t="s">
        <v>58</v>
      </c>
      <c r="D50" s="18" t="s">
        <v>55</v>
      </c>
      <c r="E50" s="18" t="s">
        <v>57</v>
      </c>
      <c r="F50" s="18" t="s">
        <v>58</v>
      </c>
      <c r="G50" s="18" t="s">
        <v>55</v>
      </c>
      <c r="H50" s="48" t="s">
        <v>58</v>
      </c>
      <c r="I50" s="18" t="s">
        <v>55</v>
      </c>
      <c r="J50" s="18" t="s">
        <v>58</v>
      </c>
      <c r="K50" s="18" t="s">
        <v>55</v>
      </c>
      <c r="L50" s="18" t="s">
        <v>58</v>
      </c>
      <c r="M50" s="49" t="s">
        <v>55</v>
      </c>
      <c r="N50" s="18" t="s">
        <v>58</v>
      </c>
      <c r="O50" s="49" t="s">
        <v>55</v>
      </c>
    </row>
    <row r="51" spans="1:15" x14ac:dyDescent="0.2">
      <c r="A51" s="25"/>
      <c r="H51" s="25" t="s">
        <v>59</v>
      </c>
      <c r="I51" s="18"/>
      <c r="J51" s="18" t="s">
        <v>60</v>
      </c>
      <c r="K51" s="18" t="s">
        <v>61</v>
      </c>
      <c r="L51" s="18" t="s">
        <v>62</v>
      </c>
      <c r="M51" s="49" t="s">
        <v>62</v>
      </c>
      <c r="N51" s="18"/>
      <c r="O51" s="49"/>
    </row>
    <row r="52" spans="1:15" x14ac:dyDescent="0.2">
      <c r="A52" s="25"/>
      <c r="H52" s="25"/>
      <c r="M52" s="47"/>
      <c r="O52" s="47"/>
    </row>
    <row r="53" spans="1:15" x14ac:dyDescent="0.2">
      <c r="A53" s="25" t="s">
        <v>18</v>
      </c>
      <c r="B53" s="50">
        <v>0.67934000000000005</v>
      </c>
      <c r="C53" s="50">
        <v>0.20216999999999999</v>
      </c>
      <c r="D53" s="50">
        <v>0.11849</v>
      </c>
      <c r="E53" s="51">
        <f t="shared" ref="E53:G68" si="3">B53*$I11</f>
        <v>3286225.9305359963</v>
      </c>
      <c r="F53" s="51">
        <f t="shared" si="3"/>
        <v>977973.17451712291</v>
      </c>
      <c r="G53" s="51">
        <f t="shared" si="3"/>
        <v>573181.19131688133</v>
      </c>
      <c r="H53" s="25"/>
      <c r="I53" s="13"/>
      <c r="J53" s="40"/>
      <c r="K53" s="13"/>
      <c r="L53" s="40"/>
      <c r="M53" s="27"/>
      <c r="N53" s="13">
        <f>F53+H53+J53+L53</f>
        <v>977973.17451712291</v>
      </c>
      <c r="O53" s="27">
        <f>G53+I53+K53+M53</f>
        <v>573181.19131688133</v>
      </c>
    </row>
    <row r="54" spans="1:15" x14ac:dyDescent="0.2">
      <c r="A54" s="25" t="s">
        <v>20</v>
      </c>
      <c r="B54" s="50">
        <v>0.67934000000000005</v>
      </c>
      <c r="C54" s="50">
        <v>0.20216999999999999</v>
      </c>
      <c r="D54" s="50">
        <v>0.11849</v>
      </c>
      <c r="E54" s="51">
        <f t="shared" si="3"/>
        <v>26198627.751089592</v>
      </c>
      <c r="F54" s="51">
        <f t="shared" si="3"/>
        <v>7796650.5320425443</v>
      </c>
      <c r="G54" s="51">
        <f t="shared" si="3"/>
        <v>4569546.0332478667</v>
      </c>
      <c r="H54" s="25"/>
      <c r="I54" s="13"/>
      <c r="J54" s="40"/>
      <c r="K54" s="13"/>
      <c r="L54" s="40"/>
      <c r="M54" s="27"/>
      <c r="N54" s="13">
        <f t="shared" ref="N54:O85" si="4">F54+H54+J54+L54</f>
        <v>7796650.5320425443</v>
      </c>
      <c r="O54" s="27">
        <f t="shared" si="4"/>
        <v>4569546.0332478667</v>
      </c>
    </row>
    <row r="55" spans="1:15" x14ac:dyDescent="0.2">
      <c r="A55" s="25" t="s">
        <v>22</v>
      </c>
      <c r="B55" s="50">
        <v>0.67934000000000005</v>
      </c>
      <c r="C55" s="50">
        <v>0.20216999999999999</v>
      </c>
      <c r="D55" s="50">
        <v>0.11849</v>
      </c>
      <c r="E55" s="51">
        <f t="shared" si="3"/>
        <v>2539953.2234642841</v>
      </c>
      <c r="F55" s="51">
        <f t="shared" si="3"/>
        <v>755884.15695789189</v>
      </c>
      <c r="G55" s="51">
        <f t="shared" si="3"/>
        <v>443016.83611782466</v>
      </c>
      <c r="H55" s="25"/>
      <c r="I55" s="13"/>
      <c r="J55" s="40"/>
      <c r="K55" s="13"/>
      <c r="L55" s="40"/>
      <c r="M55" s="27"/>
      <c r="N55" s="13">
        <f t="shared" si="4"/>
        <v>755884.15695789189</v>
      </c>
      <c r="O55" s="27">
        <f t="shared" si="4"/>
        <v>443016.83611782466</v>
      </c>
    </row>
    <row r="56" spans="1:15" x14ac:dyDescent="0.2">
      <c r="A56" s="25" t="s">
        <v>23</v>
      </c>
      <c r="B56" s="50">
        <v>0.67934000000000005</v>
      </c>
      <c r="C56" s="50">
        <v>0.20216999999999999</v>
      </c>
      <c r="D56" s="50">
        <v>0.11849</v>
      </c>
      <c r="E56" s="51">
        <f t="shared" si="3"/>
        <v>2015666.5684655851</v>
      </c>
      <c r="F56" s="51">
        <f t="shared" si="3"/>
        <v>599857.67089629243</v>
      </c>
      <c r="G56" s="51">
        <f t="shared" si="3"/>
        <v>351571.13035812281</v>
      </c>
      <c r="H56" s="25"/>
      <c r="I56" s="13"/>
      <c r="J56" s="40"/>
      <c r="K56" s="13"/>
      <c r="L56" s="40"/>
      <c r="M56" s="27"/>
      <c r="N56" s="13">
        <f t="shared" si="4"/>
        <v>599857.67089629243</v>
      </c>
      <c r="O56" s="27">
        <f t="shared" si="4"/>
        <v>351571.13035812281</v>
      </c>
    </row>
    <row r="57" spans="1:15" x14ac:dyDescent="0.2">
      <c r="A57" s="25" t="s">
        <v>24</v>
      </c>
      <c r="B57" s="50">
        <v>0.67934000000000005</v>
      </c>
      <c r="C57" s="50">
        <v>0.20216999999999999</v>
      </c>
      <c r="D57" s="50">
        <v>0.11849</v>
      </c>
      <c r="E57" s="51">
        <f t="shared" si="3"/>
        <v>0</v>
      </c>
      <c r="F57" s="51">
        <f t="shared" si="3"/>
        <v>0</v>
      </c>
      <c r="G57" s="51">
        <f t="shared" si="3"/>
        <v>0</v>
      </c>
      <c r="H57" s="25"/>
      <c r="I57" s="13"/>
      <c r="J57" s="40"/>
      <c r="K57" s="13"/>
      <c r="L57" s="40"/>
      <c r="M57" s="27"/>
      <c r="N57" s="13">
        <f t="shared" si="4"/>
        <v>0</v>
      </c>
      <c r="O57" s="27">
        <f t="shared" si="4"/>
        <v>0</v>
      </c>
    </row>
    <row r="58" spans="1:15" x14ac:dyDescent="0.2">
      <c r="A58" s="25" t="s">
        <v>25</v>
      </c>
      <c r="B58" s="50">
        <v>0.67934000000000005</v>
      </c>
      <c r="C58" s="50">
        <v>0.20216999999999999</v>
      </c>
      <c r="D58" s="50">
        <v>0.11849</v>
      </c>
      <c r="E58" s="51">
        <f t="shared" si="3"/>
        <v>8056790.1611619154</v>
      </c>
      <c r="F58" s="51">
        <f t="shared" si="3"/>
        <v>2397681.9661467075</v>
      </c>
      <c r="G58" s="51">
        <f t="shared" si="3"/>
        <v>1405259.6140313763</v>
      </c>
      <c r="H58" s="25"/>
      <c r="I58" s="13"/>
      <c r="J58" s="40"/>
      <c r="K58" s="13"/>
      <c r="L58" s="40"/>
      <c r="M58" s="27"/>
      <c r="N58" s="13">
        <f t="shared" si="4"/>
        <v>2397681.9661467075</v>
      </c>
      <c r="O58" s="27">
        <f t="shared" si="4"/>
        <v>1405259.6140313763</v>
      </c>
    </row>
    <row r="59" spans="1:15" x14ac:dyDescent="0.2">
      <c r="A59" s="25" t="s">
        <v>26</v>
      </c>
      <c r="B59" s="50">
        <v>0.67934000000000005</v>
      </c>
      <c r="C59" s="50">
        <v>0.20216999999999999</v>
      </c>
      <c r="D59" s="50">
        <v>0.11849</v>
      </c>
      <c r="E59" s="51">
        <f t="shared" si="3"/>
        <v>23866564.786343243</v>
      </c>
      <c r="F59" s="51">
        <f t="shared" si="3"/>
        <v>7102634.0313466201</v>
      </c>
      <c r="G59" s="51">
        <f t="shared" si="3"/>
        <v>4162789.2683101404</v>
      </c>
      <c r="H59" s="52">
        <v>-244656</v>
      </c>
      <c r="I59" s="13">
        <v>-127158</v>
      </c>
      <c r="J59" s="13">
        <f>-O10</f>
        <v>-529568.04436240252</v>
      </c>
      <c r="K59" s="13">
        <f>-O9</f>
        <v>-235010.52425440561</v>
      </c>
      <c r="L59" s="13">
        <v>24600.000000000007</v>
      </c>
      <c r="M59" s="27">
        <v>19200</v>
      </c>
      <c r="N59" s="13">
        <f t="shared" si="4"/>
        <v>6353009.9869842175</v>
      </c>
      <c r="O59" s="27">
        <f t="shared" si="4"/>
        <v>3819820.7440557349</v>
      </c>
    </row>
    <row r="60" spans="1:15" x14ac:dyDescent="0.2">
      <c r="A60" s="25" t="s">
        <v>27</v>
      </c>
      <c r="B60" s="50">
        <v>0.67934000000000005</v>
      </c>
      <c r="C60" s="50">
        <v>0.20216999999999999</v>
      </c>
      <c r="D60" s="50">
        <v>0.11849</v>
      </c>
      <c r="E60" s="51">
        <f t="shared" si="3"/>
        <v>121435.52497326682</v>
      </c>
      <c r="F60" s="51">
        <f t="shared" si="3"/>
        <v>36138.929083883399</v>
      </c>
      <c r="G60" s="51">
        <f t="shared" si="3"/>
        <v>21180.697962849801</v>
      </c>
      <c r="H60" s="25"/>
      <c r="I60" s="13"/>
      <c r="J60" s="40"/>
      <c r="K60" s="13"/>
      <c r="L60" s="40"/>
      <c r="M60" s="27"/>
      <c r="N60" s="13">
        <f t="shared" si="4"/>
        <v>36138.929083883399</v>
      </c>
      <c r="O60" s="27">
        <f t="shared" si="4"/>
        <v>21180.697962849801</v>
      </c>
    </row>
    <row r="61" spans="1:15" x14ac:dyDescent="0.2">
      <c r="A61" s="25" t="s">
        <v>28</v>
      </c>
      <c r="B61" s="53"/>
      <c r="C61" s="53"/>
      <c r="D61" s="53"/>
      <c r="E61" s="51">
        <f t="shared" si="3"/>
        <v>0</v>
      </c>
      <c r="F61" s="51">
        <f t="shared" si="3"/>
        <v>0</v>
      </c>
      <c r="G61" s="51">
        <f t="shared" si="3"/>
        <v>0</v>
      </c>
      <c r="H61" s="25"/>
      <c r="I61" s="13"/>
      <c r="J61" s="40"/>
      <c r="K61" s="13"/>
      <c r="L61" s="40"/>
      <c r="M61" s="27"/>
      <c r="N61" s="13">
        <f t="shared" si="4"/>
        <v>0</v>
      </c>
      <c r="O61" s="27">
        <f t="shared" si="4"/>
        <v>0</v>
      </c>
    </row>
    <row r="62" spans="1:15" x14ac:dyDescent="0.2">
      <c r="A62" s="25" t="s">
        <v>29</v>
      </c>
      <c r="B62" s="50">
        <v>0.67934000000000005</v>
      </c>
      <c r="C62" s="50">
        <v>0.20216999999999999</v>
      </c>
      <c r="D62" s="50">
        <v>0.11849</v>
      </c>
      <c r="E62" s="51">
        <f t="shared" si="3"/>
        <v>1254.9011072314001</v>
      </c>
      <c r="F62" s="51">
        <f t="shared" si="3"/>
        <v>373.45564349069997</v>
      </c>
      <c r="G62" s="51">
        <f t="shared" si="3"/>
        <v>218.87895927789998</v>
      </c>
      <c r="H62" s="25"/>
      <c r="I62" s="13"/>
      <c r="J62" s="40"/>
      <c r="K62" s="13"/>
      <c r="L62" s="40"/>
      <c r="M62" s="27"/>
      <c r="N62" s="13">
        <f t="shared" si="4"/>
        <v>373.45564349069997</v>
      </c>
      <c r="O62" s="27">
        <f t="shared" si="4"/>
        <v>218.87895927789998</v>
      </c>
    </row>
    <row r="63" spans="1:15" x14ac:dyDescent="0.2">
      <c r="A63" s="25" t="s">
        <v>30</v>
      </c>
      <c r="B63" s="50">
        <v>0.67934000000000005</v>
      </c>
      <c r="C63" s="50">
        <v>0.20216999999999999</v>
      </c>
      <c r="D63" s="50">
        <v>0.11849</v>
      </c>
      <c r="E63" s="51">
        <f t="shared" si="3"/>
        <v>98564.472431805625</v>
      </c>
      <c r="F63" s="51">
        <f t="shared" si="3"/>
        <v>29332.557175402802</v>
      </c>
      <c r="G63" s="51">
        <f t="shared" si="3"/>
        <v>17191.545232791603</v>
      </c>
      <c r="H63" s="25"/>
      <c r="I63" s="13"/>
      <c r="J63" s="40"/>
      <c r="K63" s="13"/>
      <c r="L63" s="40"/>
      <c r="M63" s="27"/>
      <c r="N63" s="13">
        <f t="shared" si="4"/>
        <v>29332.557175402802</v>
      </c>
      <c r="O63" s="27">
        <f t="shared" si="4"/>
        <v>17191.545232791603</v>
      </c>
    </row>
    <row r="64" spans="1:15" x14ac:dyDescent="0.2">
      <c r="A64" s="25" t="s">
        <v>28</v>
      </c>
      <c r="B64" s="53"/>
      <c r="C64" s="53"/>
      <c r="D64" s="53"/>
      <c r="E64" s="51">
        <f t="shared" si="3"/>
        <v>0</v>
      </c>
      <c r="F64" s="51">
        <f t="shared" si="3"/>
        <v>0</v>
      </c>
      <c r="G64" s="51">
        <f t="shared" si="3"/>
        <v>0</v>
      </c>
      <c r="H64" s="25"/>
      <c r="I64" s="13"/>
      <c r="J64" s="40"/>
      <c r="K64" s="13"/>
      <c r="L64" s="40"/>
      <c r="M64" s="27"/>
      <c r="N64" s="13">
        <f t="shared" si="4"/>
        <v>0</v>
      </c>
      <c r="O64" s="27">
        <f t="shared" si="4"/>
        <v>0</v>
      </c>
    </row>
    <row r="65" spans="1:15" x14ac:dyDescent="0.2">
      <c r="A65" s="25" t="s">
        <v>31</v>
      </c>
      <c r="B65" s="50">
        <v>0.67934000000000005</v>
      </c>
      <c r="C65" s="50">
        <v>0.20216999999999999</v>
      </c>
      <c r="D65" s="50">
        <v>0.11849</v>
      </c>
      <c r="E65" s="51">
        <f t="shared" si="3"/>
        <v>2504834.9101922391</v>
      </c>
      <c r="F65" s="51">
        <f t="shared" si="3"/>
        <v>745433.02881261951</v>
      </c>
      <c r="G65" s="51">
        <f t="shared" si="3"/>
        <v>436891.52487514116</v>
      </c>
      <c r="H65" s="25"/>
      <c r="I65" s="13"/>
      <c r="J65" s="40"/>
      <c r="K65" s="13"/>
      <c r="L65" s="40"/>
      <c r="M65" s="27"/>
      <c r="N65" s="13">
        <f t="shared" si="4"/>
        <v>745433.02881261951</v>
      </c>
      <c r="O65" s="27">
        <f t="shared" si="4"/>
        <v>436891.52487514116</v>
      </c>
    </row>
    <row r="66" spans="1:15" x14ac:dyDescent="0.2">
      <c r="A66" s="25" t="s">
        <v>32</v>
      </c>
      <c r="B66" s="50">
        <v>0.67934000000000005</v>
      </c>
      <c r="C66" s="50">
        <v>0.20216999999999999</v>
      </c>
      <c r="D66" s="50">
        <v>0.11849</v>
      </c>
      <c r="E66" s="51">
        <f t="shared" si="3"/>
        <v>240.49404333540005</v>
      </c>
      <c r="F66" s="51">
        <f t="shared" si="3"/>
        <v>71.570466542700004</v>
      </c>
      <c r="G66" s="51">
        <f t="shared" si="3"/>
        <v>41.946800121900004</v>
      </c>
      <c r="H66" s="25"/>
      <c r="I66" s="13"/>
      <c r="J66" s="40"/>
      <c r="K66" s="13"/>
      <c r="L66" s="40"/>
      <c r="M66" s="27"/>
      <c r="N66" s="13">
        <f t="shared" si="4"/>
        <v>71.570466542700004</v>
      </c>
      <c r="O66" s="27">
        <f t="shared" si="4"/>
        <v>41.946800121900004</v>
      </c>
    </row>
    <row r="67" spans="1:15" x14ac:dyDescent="0.2">
      <c r="A67" s="25" t="s">
        <v>33</v>
      </c>
      <c r="B67" s="50">
        <v>0.67934000000000005</v>
      </c>
      <c r="C67" s="50">
        <v>0.20216999999999999</v>
      </c>
      <c r="D67" s="50">
        <v>0.11849</v>
      </c>
      <c r="E67" s="51">
        <f t="shared" si="3"/>
        <v>36940.710708490602</v>
      </c>
      <c r="F67" s="51">
        <f t="shared" si="3"/>
        <v>10993.469373120301</v>
      </c>
      <c r="G67" s="51">
        <f t="shared" si="3"/>
        <v>6443.1725083891006</v>
      </c>
      <c r="H67" s="25"/>
      <c r="I67" s="13"/>
      <c r="J67" s="40"/>
      <c r="K67" s="13"/>
      <c r="L67" s="40"/>
      <c r="M67" s="27"/>
      <c r="N67" s="13">
        <f t="shared" si="4"/>
        <v>10993.469373120301</v>
      </c>
      <c r="O67" s="27">
        <f t="shared" si="4"/>
        <v>6443.1725083891006</v>
      </c>
    </row>
    <row r="68" spans="1:15" x14ac:dyDescent="0.2">
      <c r="A68" s="25" t="s">
        <v>34</v>
      </c>
      <c r="B68" s="50">
        <v>0.67934000000000005</v>
      </c>
      <c r="C68" s="50">
        <v>0.20216999999999999</v>
      </c>
      <c r="D68" s="50">
        <v>0.11849</v>
      </c>
      <c r="E68" s="51">
        <f t="shared" si="3"/>
        <v>61370.282951848007</v>
      </c>
      <c r="F68" s="51">
        <f t="shared" si="3"/>
        <v>18263.653110923999</v>
      </c>
      <c r="G68" s="51">
        <f t="shared" si="3"/>
        <v>10704.161137228</v>
      </c>
      <c r="H68" s="25"/>
      <c r="I68" s="13"/>
      <c r="J68" s="40"/>
      <c r="K68" s="13"/>
      <c r="L68" s="40"/>
      <c r="M68" s="27"/>
      <c r="N68" s="13">
        <f t="shared" si="4"/>
        <v>18263.653110923999</v>
      </c>
      <c r="O68" s="27">
        <f t="shared" si="4"/>
        <v>10704.161137228</v>
      </c>
    </row>
    <row r="69" spans="1:15" x14ac:dyDescent="0.2">
      <c r="A69" s="25" t="s">
        <v>63</v>
      </c>
      <c r="B69" s="50">
        <v>0</v>
      </c>
      <c r="C69" s="50">
        <v>1</v>
      </c>
      <c r="D69" s="50">
        <v>0</v>
      </c>
      <c r="E69" s="51">
        <f t="shared" ref="E69:G84" si="5">B69*$I27</f>
        <v>0</v>
      </c>
      <c r="F69" s="51">
        <f t="shared" si="5"/>
        <v>0</v>
      </c>
      <c r="G69" s="51">
        <f t="shared" si="5"/>
        <v>0</v>
      </c>
      <c r="H69" s="25"/>
      <c r="I69" s="13"/>
      <c r="J69" s="40"/>
      <c r="K69" s="13"/>
      <c r="L69" s="40"/>
      <c r="M69" s="27"/>
      <c r="N69" s="13">
        <f t="shared" si="4"/>
        <v>0</v>
      </c>
      <c r="O69" s="27">
        <f t="shared" si="4"/>
        <v>0</v>
      </c>
    </row>
    <row r="70" spans="1:15" x14ac:dyDescent="0.2">
      <c r="A70" s="25" t="s">
        <v>36</v>
      </c>
      <c r="B70" s="50">
        <v>5.7020000000000001E-2</v>
      </c>
      <c r="C70" s="50">
        <v>5.5599999999999998E-3</v>
      </c>
      <c r="D70" s="50">
        <v>0.93742000000000003</v>
      </c>
      <c r="E70" s="51">
        <f t="shared" si="5"/>
        <v>74361.89305488122</v>
      </c>
      <c r="F70" s="51">
        <f t="shared" si="5"/>
        <v>7251.0018482136011</v>
      </c>
      <c r="G70" s="51">
        <f t="shared" si="5"/>
        <v>1222524.1281569055</v>
      </c>
      <c r="H70" s="25"/>
      <c r="I70" s="13"/>
      <c r="J70" s="40"/>
      <c r="K70" s="13"/>
      <c r="L70" s="40"/>
      <c r="M70" s="27"/>
      <c r="N70" s="13">
        <f t="shared" si="4"/>
        <v>7251.0018482136011</v>
      </c>
      <c r="O70" s="27">
        <f t="shared" si="4"/>
        <v>1222524.1281569055</v>
      </c>
    </row>
    <row r="71" spans="1:15" x14ac:dyDescent="0.2">
      <c r="A71" s="25" t="s">
        <v>37</v>
      </c>
      <c r="B71" s="50">
        <v>0.04</v>
      </c>
      <c r="C71" s="50">
        <v>0</v>
      </c>
      <c r="D71" s="50">
        <v>0.96</v>
      </c>
      <c r="E71" s="51">
        <f t="shared" si="5"/>
        <v>229.46530439999998</v>
      </c>
      <c r="F71" s="51">
        <f t="shared" si="5"/>
        <v>0</v>
      </c>
      <c r="G71" s="51">
        <f t="shared" si="5"/>
        <v>5507.1673055999991</v>
      </c>
      <c r="H71" s="25"/>
      <c r="I71" s="13"/>
      <c r="J71" s="40"/>
      <c r="K71" s="13"/>
      <c r="L71" s="40"/>
      <c r="M71" s="27"/>
      <c r="N71" s="13">
        <f t="shared" si="4"/>
        <v>0</v>
      </c>
      <c r="O71" s="27">
        <f t="shared" si="4"/>
        <v>5507.1673055999991</v>
      </c>
    </row>
    <row r="72" spans="1:15" x14ac:dyDescent="0.2">
      <c r="A72" s="25" t="s">
        <v>38</v>
      </c>
      <c r="B72" s="50">
        <v>0.67934000000000005</v>
      </c>
      <c r="C72" s="50">
        <v>0.20216999999999999</v>
      </c>
      <c r="D72" s="50">
        <v>0.11849</v>
      </c>
      <c r="E72" s="51">
        <f t="shared" si="5"/>
        <v>39181.879163030404</v>
      </c>
      <c r="F72" s="51">
        <f t="shared" si="5"/>
        <v>11660.4358795152</v>
      </c>
      <c r="G72" s="51">
        <f t="shared" si="5"/>
        <v>6834.0755174544001</v>
      </c>
      <c r="H72" s="25"/>
      <c r="I72" s="13"/>
      <c r="J72" s="40"/>
      <c r="K72" s="13"/>
      <c r="L72" s="40"/>
      <c r="M72" s="27"/>
      <c r="N72" s="13">
        <f t="shared" si="4"/>
        <v>11660.4358795152</v>
      </c>
      <c r="O72" s="27">
        <f t="shared" si="4"/>
        <v>6834.0755174544001</v>
      </c>
    </row>
    <row r="73" spans="1:15" x14ac:dyDescent="0.2">
      <c r="A73" s="25" t="s">
        <v>39</v>
      </c>
      <c r="B73" s="50">
        <v>0.67934000000000005</v>
      </c>
      <c r="C73" s="50">
        <v>0.20216999999999999</v>
      </c>
      <c r="D73" s="50">
        <v>0.11849</v>
      </c>
      <c r="E73" s="51">
        <f t="shared" si="5"/>
        <v>1971684.1762762975</v>
      </c>
      <c r="F73" s="51">
        <f t="shared" si="5"/>
        <v>586768.6135333986</v>
      </c>
      <c r="G73" s="51">
        <f t="shared" si="5"/>
        <v>343899.75277030421</v>
      </c>
      <c r="H73" s="25"/>
      <c r="I73" s="13"/>
      <c r="J73" s="40"/>
      <c r="K73" s="13"/>
      <c r="L73" s="40"/>
      <c r="M73" s="27"/>
      <c r="N73" s="13">
        <f t="shared" si="4"/>
        <v>586768.6135333986</v>
      </c>
      <c r="O73" s="27">
        <f t="shared" si="4"/>
        <v>343899.75277030421</v>
      </c>
    </row>
    <row r="74" spans="1:15" x14ac:dyDescent="0.2">
      <c r="A74" s="25" t="s">
        <v>40</v>
      </c>
      <c r="B74" s="50">
        <v>0.67934000000000005</v>
      </c>
      <c r="C74" s="50">
        <v>0.20216999999999999</v>
      </c>
      <c r="D74" s="50">
        <v>0.11849</v>
      </c>
      <c r="E74" s="51">
        <f t="shared" si="5"/>
        <v>1474457.2698649969</v>
      </c>
      <c r="F74" s="51">
        <f t="shared" si="5"/>
        <v>438795.04555687343</v>
      </c>
      <c r="G74" s="51">
        <f t="shared" si="5"/>
        <v>257173.78912812949</v>
      </c>
      <c r="H74" s="25"/>
      <c r="I74" s="13"/>
      <c r="J74" s="40"/>
      <c r="K74" s="13"/>
      <c r="L74" s="40"/>
      <c r="M74" s="27"/>
      <c r="N74" s="13">
        <f t="shared" si="4"/>
        <v>438795.04555687343</v>
      </c>
      <c r="O74" s="27">
        <f t="shared" si="4"/>
        <v>257173.78912812949</v>
      </c>
    </row>
    <row r="75" spans="1:15" x14ac:dyDescent="0.2">
      <c r="A75" s="25" t="s">
        <v>41</v>
      </c>
      <c r="B75" s="50">
        <v>0.67934000000000005</v>
      </c>
      <c r="C75" s="50">
        <v>0.20216999999999999</v>
      </c>
      <c r="D75" s="50">
        <v>0.11849</v>
      </c>
      <c r="E75" s="51">
        <f t="shared" si="5"/>
        <v>0</v>
      </c>
      <c r="F75" s="51">
        <f t="shared" si="5"/>
        <v>0</v>
      </c>
      <c r="G75" s="51">
        <f t="shared" si="5"/>
        <v>0</v>
      </c>
      <c r="H75" s="25"/>
      <c r="I75" s="13"/>
      <c r="J75" s="40"/>
      <c r="K75" s="13"/>
      <c r="L75" s="40"/>
      <c r="M75" s="27"/>
      <c r="N75" s="13">
        <f t="shared" si="4"/>
        <v>0</v>
      </c>
      <c r="O75" s="27">
        <f t="shared" si="4"/>
        <v>0</v>
      </c>
    </row>
    <row r="76" spans="1:15" x14ac:dyDescent="0.2">
      <c r="A76" s="25" t="s">
        <v>28</v>
      </c>
      <c r="B76" s="53"/>
      <c r="C76" s="53"/>
      <c r="D76" s="53"/>
      <c r="E76" s="51">
        <f t="shared" si="5"/>
        <v>0</v>
      </c>
      <c r="F76" s="51">
        <f t="shared" si="5"/>
        <v>0</v>
      </c>
      <c r="G76" s="51">
        <f t="shared" si="5"/>
        <v>0</v>
      </c>
      <c r="H76" s="25"/>
      <c r="I76" s="13"/>
      <c r="J76" s="40"/>
      <c r="K76" s="13"/>
      <c r="L76" s="40"/>
      <c r="M76" s="27"/>
      <c r="N76" s="13">
        <f t="shared" si="4"/>
        <v>0</v>
      </c>
      <c r="O76" s="27">
        <f t="shared" si="4"/>
        <v>0</v>
      </c>
    </row>
    <row r="77" spans="1:15" x14ac:dyDescent="0.2">
      <c r="A77" s="25" t="s">
        <v>42</v>
      </c>
      <c r="B77" s="50">
        <v>0.67934000000000005</v>
      </c>
      <c r="C77" s="50">
        <v>0.20216999999999999</v>
      </c>
      <c r="D77" s="50">
        <v>0.11849</v>
      </c>
      <c r="E77" s="51">
        <f t="shared" si="5"/>
        <v>139590.14621005559</v>
      </c>
      <c r="F77" s="51">
        <f t="shared" si="5"/>
        <v>41541.70203327779</v>
      </c>
      <c r="G77" s="51">
        <f t="shared" si="5"/>
        <v>24347.214096666597</v>
      </c>
      <c r="H77" s="25"/>
      <c r="I77" s="13"/>
      <c r="J77" s="40"/>
      <c r="K77" s="13"/>
      <c r="L77" s="40"/>
      <c r="M77" s="27"/>
      <c r="N77" s="13">
        <f t="shared" si="4"/>
        <v>41541.70203327779</v>
      </c>
      <c r="O77" s="27">
        <f t="shared" si="4"/>
        <v>24347.214096666597</v>
      </c>
    </row>
    <row r="78" spans="1:15" x14ac:dyDescent="0.2">
      <c r="A78" s="25" t="s">
        <v>43</v>
      </c>
      <c r="B78" s="50">
        <v>0.67934000000000005</v>
      </c>
      <c r="C78" s="50">
        <v>0.20216999999999999</v>
      </c>
      <c r="D78" s="50">
        <v>0.11849</v>
      </c>
      <c r="E78" s="51">
        <f t="shared" si="5"/>
        <v>121548.9944337466</v>
      </c>
      <c r="F78" s="51">
        <f t="shared" si="5"/>
        <v>36172.697330748299</v>
      </c>
      <c r="G78" s="51">
        <f t="shared" si="5"/>
        <v>21200.489225505098</v>
      </c>
      <c r="H78" s="25"/>
      <c r="I78" s="13"/>
      <c r="J78" s="40"/>
      <c r="K78" s="13"/>
      <c r="L78" s="40"/>
      <c r="M78" s="27"/>
      <c r="N78" s="13">
        <f t="shared" si="4"/>
        <v>36172.697330748299</v>
      </c>
      <c r="O78" s="27">
        <f t="shared" si="4"/>
        <v>21200.489225505098</v>
      </c>
    </row>
    <row r="79" spans="1:15" x14ac:dyDescent="0.2">
      <c r="A79" s="25" t="s">
        <v>44</v>
      </c>
      <c r="B79" s="50">
        <v>0.67934000000000005</v>
      </c>
      <c r="C79" s="50">
        <v>0.20216999999999999</v>
      </c>
      <c r="D79" s="50">
        <v>0.11849</v>
      </c>
      <c r="E79" s="51">
        <f t="shared" si="5"/>
        <v>626646.71302550694</v>
      </c>
      <c r="F79" s="51">
        <f t="shared" si="5"/>
        <v>186488.60066000343</v>
      </c>
      <c r="G79" s="51">
        <f t="shared" si="5"/>
        <v>109299.27433448982</v>
      </c>
      <c r="H79" s="25"/>
      <c r="I79" s="13"/>
      <c r="J79" s="40"/>
      <c r="K79" s="13"/>
      <c r="L79" s="40"/>
      <c r="M79" s="27"/>
      <c r="N79" s="13">
        <f t="shared" si="4"/>
        <v>186488.60066000343</v>
      </c>
      <c r="O79" s="27">
        <f t="shared" si="4"/>
        <v>109299.27433448982</v>
      </c>
    </row>
    <row r="80" spans="1:15" x14ac:dyDescent="0.2">
      <c r="A80" s="25" t="s">
        <v>45</v>
      </c>
      <c r="B80" s="50">
        <v>0.67934000000000005</v>
      </c>
      <c r="C80" s="50">
        <v>0.20216999999999999</v>
      </c>
      <c r="D80" s="50">
        <v>0.11849</v>
      </c>
      <c r="E80" s="51">
        <f t="shared" si="5"/>
        <v>352361.19197513204</v>
      </c>
      <c r="F80" s="51">
        <f t="shared" si="5"/>
        <v>104861.869140066</v>
      </c>
      <c r="G80" s="51">
        <f t="shared" si="5"/>
        <v>61458.588684802002</v>
      </c>
      <c r="H80" s="25"/>
      <c r="I80" s="13"/>
      <c r="J80" s="40"/>
      <c r="K80" s="13"/>
      <c r="L80" s="40"/>
      <c r="M80" s="27"/>
      <c r="N80" s="13">
        <f t="shared" si="4"/>
        <v>104861.869140066</v>
      </c>
      <c r="O80" s="27">
        <f t="shared" si="4"/>
        <v>61458.588684802002</v>
      </c>
    </row>
    <row r="81" spans="1:33" x14ac:dyDescent="0.2">
      <c r="A81" s="25" t="s">
        <v>46</v>
      </c>
      <c r="B81" s="50">
        <v>0.67934000000000005</v>
      </c>
      <c r="C81" s="50">
        <v>0.20216999999999999</v>
      </c>
      <c r="D81" s="50">
        <v>0.11849</v>
      </c>
      <c r="E81" s="51">
        <f t="shared" si="5"/>
        <v>1114545.8468192571</v>
      </c>
      <c r="F81" s="51">
        <f t="shared" si="5"/>
        <v>331686.24525487854</v>
      </c>
      <c r="G81" s="51">
        <f t="shared" si="5"/>
        <v>194398.29450586415</v>
      </c>
      <c r="H81" s="25"/>
      <c r="I81" s="13"/>
      <c r="J81" s="40"/>
      <c r="K81" s="13"/>
      <c r="L81" s="40"/>
      <c r="M81" s="27"/>
      <c r="N81" s="13">
        <f t="shared" si="4"/>
        <v>331686.24525487854</v>
      </c>
      <c r="O81" s="27">
        <f t="shared" si="4"/>
        <v>194398.29450586415</v>
      </c>
    </row>
    <row r="82" spans="1:33" x14ac:dyDescent="0.2">
      <c r="A82" s="25" t="s">
        <v>47</v>
      </c>
      <c r="B82" s="50">
        <v>0.67934000000000005</v>
      </c>
      <c r="C82" s="50">
        <v>0.20216999999999999</v>
      </c>
      <c r="D82" s="50">
        <v>0.11849</v>
      </c>
      <c r="E82" s="51">
        <f t="shared" si="5"/>
        <v>263111.02676572761</v>
      </c>
      <c r="F82" s="51">
        <f t="shared" si="5"/>
        <v>78301.228076113795</v>
      </c>
      <c r="G82" s="51">
        <f t="shared" si="5"/>
        <v>45891.638298158599</v>
      </c>
      <c r="H82" s="25"/>
      <c r="I82" s="13"/>
      <c r="J82" s="40"/>
      <c r="K82" s="13"/>
      <c r="L82" s="40"/>
      <c r="M82" s="27"/>
      <c r="N82" s="13">
        <f t="shared" si="4"/>
        <v>78301.228076113795</v>
      </c>
      <c r="O82" s="27">
        <f t="shared" si="4"/>
        <v>45891.638298158599</v>
      </c>
    </row>
    <row r="83" spans="1:33" x14ac:dyDescent="0.2">
      <c r="A83" s="25" t="s">
        <v>64</v>
      </c>
      <c r="B83" s="50">
        <v>0.67934000000000005</v>
      </c>
      <c r="C83" s="50">
        <v>0.20216999999999999</v>
      </c>
      <c r="D83" s="50">
        <v>0.11849</v>
      </c>
      <c r="E83" s="51">
        <f t="shared" si="5"/>
        <v>92.507494084000001</v>
      </c>
      <c r="F83" s="51">
        <f t="shared" si="5"/>
        <v>27.530014541999996</v>
      </c>
      <c r="G83" s="51">
        <f t="shared" si="5"/>
        <v>16.135091373999998</v>
      </c>
      <c r="H83" s="25"/>
      <c r="I83" s="13"/>
      <c r="J83" s="40"/>
      <c r="K83" s="13"/>
      <c r="L83" s="40"/>
      <c r="M83" s="27"/>
      <c r="N83" s="13">
        <f t="shared" si="4"/>
        <v>27.530014541999996</v>
      </c>
      <c r="O83" s="27">
        <f t="shared" si="4"/>
        <v>16.135091373999998</v>
      </c>
    </row>
    <row r="84" spans="1:33" x14ac:dyDescent="0.2">
      <c r="A84" s="25" t="s">
        <v>65</v>
      </c>
      <c r="B84" s="50">
        <v>0.49</v>
      </c>
      <c r="C84" s="50">
        <v>7.0000000000000007E-2</v>
      </c>
      <c r="D84" s="50">
        <v>0.44</v>
      </c>
      <c r="E84" s="51">
        <f t="shared" si="5"/>
        <v>4118.5281697</v>
      </c>
      <c r="F84" s="51">
        <f t="shared" si="5"/>
        <v>588.3611671000001</v>
      </c>
      <c r="G84" s="51">
        <f t="shared" si="5"/>
        <v>3698.2701932000004</v>
      </c>
      <c r="H84" s="25"/>
      <c r="I84" s="13"/>
      <c r="J84" s="40"/>
      <c r="K84" s="13"/>
      <c r="L84" s="40"/>
      <c r="M84" s="54"/>
      <c r="N84" s="13">
        <f t="shared" si="4"/>
        <v>588.3611671000001</v>
      </c>
      <c r="O84" s="27">
        <f t="shared" si="4"/>
        <v>3698.2701932000004</v>
      </c>
    </row>
    <row r="85" spans="1:33" x14ac:dyDescent="0.2">
      <c r="A85" s="25" t="s">
        <v>66</v>
      </c>
      <c r="B85" s="50">
        <v>0.61</v>
      </c>
      <c r="C85" s="50">
        <v>0.2</v>
      </c>
      <c r="D85" s="50">
        <v>0.19</v>
      </c>
      <c r="E85" s="51">
        <f t="shared" ref="E85:G85" si="6">B85*$I43</f>
        <v>37960.8616941</v>
      </c>
      <c r="F85" s="51">
        <f t="shared" si="6"/>
        <v>12446.184162000001</v>
      </c>
      <c r="G85" s="51">
        <f t="shared" si="6"/>
        <v>11823.8749539</v>
      </c>
      <c r="H85" s="25"/>
      <c r="I85" s="13"/>
      <c r="J85" s="40"/>
      <c r="K85" s="13"/>
      <c r="L85" s="40"/>
      <c r="M85" s="54"/>
      <c r="N85" s="13">
        <f t="shared" si="4"/>
        <v>12446.184162000001</v>
      </c>
      <c r="O85" s="27">
        <f t="shared" si="4"/>
        <v>11823.8749539</v>
      </c>
    </row>
    <row r="86" spans="1:33" x14ac:dyDescent="0.2">
      <c r="A86" s="25"/>
      <c r="E86" s="51"/>
      <c r="F86" s="51"/>
      <c r="G86" s="51"/>
      <c r="H86" s="25"/>
      <c r="M86" s="47"/>
      <c r="N86" s="13"/>
      <c r="O86" s="27"/>
      <c r="P86" s="55"/>
    </row>
    <row r="87" spans="1:33" x14ac:dyDescent="0.2">
      <c r="A87" s="56" t="s">
        <v>51</v>
      </c>
      <c r="B87" s="57"/>
      <c r="C87" s="57"/>
      <c r="D87" s="57"/>
      <c r="E87" s="34">
        <f t="shared" ref="E87:K87" si="7">SUM(E53:E85)</f>
        <v>75008360.217719749</v>
      </c>
      <c r="F87" s="34">
        <f t="shared" si="7"/>
        <v>22307877.710229892</v>
      </c>
      <c r="G87" s="34">
        <f t="shared" si="7"/>
        <v>14306108.693120372</v>
      </c>
      <c r="H87" s="58">
        <f t="shared" si="7"/>
        <v>-244656</v>
      </c>
      <c r="I87" s="34">
        <f t="shared" si="7"/>
        <v>-127158</v>
      </c>
      <c r="J87" s="34">
        <f t="shared" si="7"/>
        <v>-529568.04436240252</v>
      </c>
      <c r="K87" s="34">
        <f t="shared" si="7"/>
        <v>-235010.52425440561</v>
      </c>
      <c r="L87" s="34">
        <f>SUM(L53:L85)</f>
        <v>24600.000000000007</v>
      </c>
      <c r="M87" s="59">
        <f>SUM(M53:M85)</f>
        <v>19200</v>
      </c>
      <c r="N87" s="60">
        <f>SUM(N53:N85)</f>
        <v>21558253.665867489</v>
      </c>
      <c r="O87" s="35">
        <f>SUM(O53:O85)</f>
        <v>13963140.168865966</v>
      </c>
      <c r="P87" s="61"/>
    </row>
    <row r="88" spans="1:33" x14ac:dyDescent="0.2">
      <c r="A88" s="2" t="s">
        <v>52</v>
      </c>
      <c r="E88" s="13">
        <f t="shared" ref="E88:K88" si="8">E53+E54+E55+E56+E57+E58+E59+E60+E62+E63+E65+E66+E67+E68+E72+E73+E74+E75+E77+E78+E79+E80+E81+E82+E83</f>
        <v>74891689.469496652</v>
      </c>
      <c r="F88" s="13">
        <f t="shared" si="8"/>
        <v>22287592.163052581</v>
      </c>
      <c r="G88" s="13">
        <f t="shared" si="8"/>
        <v>13062555.252510766</v>
      </c>
      <c r="H88" s="13">
        <f t="shared" si="8"/>
        <v>-244656</v>
      </c>
      <c r="I88" s="13">
        <f t="shared" si="8"/>
        <v>-127158</v>
      </c>
      <c r="J88" s="13">
        <f t="shared" si="8"/>
        <v>-529568.04436240252</v>
      </c>
      <c r="K88" s="13">
        <f t="shared" si="8"/>
        <v>-235010.52425440561</v>
      </c>
      <c r="L88" s="13">
        <f>L53+L54+L55+L56+L57+L58+L59+L60+L62+L63+L65+L66+L67+L68+L72+L73+L74+L75+L77+L78+L79+L80+L81+L82+L83</f>
        <v>24600.000000000007</v>
      </c>
      <c r="M88" s="13">
        <f>M53+M54+M55+M56+M57+M58+M59+M60+M62+M63+M65+M66+M67+M68+M72+M73+M74+M75+M77+M78+M79+M80+M81+M82+M83</f>
        <v>19200</v>
      </c>
      <c r="N88" s="13">
        <f>N53+N54+N55+N56+N57+N58+N59+N60+N62+N63+N65+N66+N67+N68+N72+N73+N74+N75+N77+N78+N79+N80+N81+N82+N83</f>
        <v>21537968.118690178</v>
      </c>
      <c r="O88" s="13">
        <f>O53+O54+O55+O56+O57+O58+O59+O60+O62+O63+O65+O66+O67+O68+O72+O73+O74+O75+O77+O78+O79+O80+O81+O82+O83</f>
        <v>12719586.72825636</v>
      </c>
      <c r="P88" s="61"/>
    </row>
    <row r="89" spans="1:33" x14ac:dyDescent="0.2">
      <c r="A89" s="2" t="s">
        <v>67</v>
      </c>
      <c r="F89" s="12"/>
      <c r="G89" s="12"/>
      <c r="H89" s="51"/>
      <c r="K89" s="13"/>
      <c r="N89" s="9">
        <f>N88-N66</f>
        <v>21537896.548223633</v>
      </c>
      <c r="O89" s="9">
        <f>O88-O66</f>
        <v>12719544.781456238</v>
      </c>
      <c r="P89" s="62"/>
    </row>
    <row r="90" spans="1:33" ht="12.75" x14ac:dyDescent="0.2">
      <c r="A90" s="3"/>
      <c r="B90" s="3"/>
      <c r="F90" s="12"/>
      <c r="G90" s="12"/>
      <c r="H90" s="12"/>
      <c r="K90" s="13"/>
      <c r="L90" s="13"/>
      <c r="M90" s="13"/>
      <c r="N90" s="13"/>
      <c r="O90" s="13"/>
      <c r="P90" s="13"/>
      <c r="X90" s="63"/>
      <c r="Y90" s="63"/>
      <c r="AB90" s="63"/>
      <c r="AC90" s="63"/>
      <c r="AF90" s="63"/>
      <c r="AG90" s="63"/>
    </row>
    <row r="91" spans="1:33" ht="12.75" x14ac:dyDescent="0.2">
      <c r="A91" s="3"/>
      <c r="B91" s="3"/>
      <c r="F91" s="64"/>
      <c r="G91" s="13"/>
      <c r="H91" s="13"/>
      <c r="I91" s="13"/>
      <c r="L91" s="13"/>
      <c r="P91" s="13"/>
      <c r="R91" s="65"/>
      <c r="S91" s="66"/>
    </row>
    <row r="92" spans="1:33" ht="12.75" x14ac:dyDescent="0.2">
      <c r="A92" s="3"/>
      <c r="B92" s="3"/>
      <c r="G92" s="13"/>
      <c r="H92" s="13"/>
      <c r="I92" s="13"/>
      <c r="R92" s="65"/>
      <c r="S92" s="66"/>
    </row>
    <row r="93" spans="1:33" x14ac:dyDescent="0.2">
      <c r="G93" s="1" t="s">
        <v>68</v>
      </c>
      <c r="R93" s="65"/>
      <c r="S93" s="66"/>
    </row>
    <row r="94" spans="1:33" x14ac:dyDescent="0.2">
      <c r="R94" s="65"/>
      <c r="S94" s="66"/>
    </row>
    <row r="95" spans="1:33" x14ac:dyDescent="0.2">
      <c r="A95" s="1" t="s">
        <v>68</v>
      </c>
      <c r="G95" s="18" t="s">
        <v>69</v>
      </c>
      <c r="H95" s="18" t="s">
        <v>70</v>
      </c>
      <c r="I95" s="18" t="s">
        <v>71</v>
      </c>
      <c r="J95" s="18" t="s">
        <v>72</v>
      </c>
      <c r="K95" s="18" t="s">
        <v>73</v>
      </c>
      <c r="L95" s="18" t="s">
        <v>74</v>
      </c>
      <c r="M95" s="18" t="s">
        <v>75</v>
      </c>
      <c r="N95" s="18" t="s">
        <v>76</v>
      </c>
      <c r="O95" s="18" t="s">
        <v>77</v>
      </c>
      <c r="P95" s="62" t="s">
        <v>51</v>
      </c>
      <c r="R95" s="65"/>
      <c r="S95" s="66"/>
    </row>
    <row r="96" spans="1:33" x14ac:dyDescent="0.2">
      <c r="E96" s="65" t="s">
        <v>78</v>
      </c>
      <c r="G96" s="2" t="s">
        <v>79</v>
      </c>
      <c r="R96" s="65"/>
      <c r="S96" s="66"/>
    </row>
    <row r="97" spans="1:19" x14ac:dyDescent="0.2">
      <c r="A97" s="2" t="s">
        <v>79</v>
      </c>
      <c r="B97" s="67">
        <v>0.17235</v>
      </c>
      <c r="C97" s="68" t="s">
        <v>80</v>
      </c>
      <c r="D97" s="68"/>
      <c r="E97" s="13">
        <f>$O$88*B97</f>
        <v>2192220.7726149838</v>
      </c>
      <c r="G97" s="13">
        <f t="shared" ref="G97:O98" si="9">$E97*B213</f>
        <v>72388.329866369357</v>
      </c>
      <c r="H97" s="13">
        <f t="shared" si="9"/>
        <v>136544.61855206682</v>
      </c>
      <c r="I97" s="13">
        <f t="shared" si="9"/>
        <v>413021.23599705799</v>
      </c>
      <c r="J97" s="13">
        <f t="shared" si="9"/>
        <v>366630.30135652859</v>
      </c>
      <c r="K97" s="13">
        <f t="shared" si="9"/>
        <v>136806.31075809558</v>
      </c>
      <c r="L97" s="13">
        <f t="shared" si="9"/>
        <v>304152.48539155035</v>
      </c>
      <c r="M97" s="13">
        <f t="shared" si="9"/>
        <v>185721.42489139133</v>
      </c>
      <c r="N97" s="13">
        <f t="shared" si="9"/>
        <v>98153.748850967721</v>
      </c>
      <c r="O97" s="13">
        <f t="shared" si="9"/>
        <v>478802.31695095601</v>
      </c>
      <c r="P97" s="13">
        <f>SUM(G97:O97)</f>
        <v>2192220.7726149834</v>
      </c>
      <c r="R97" s="65"/>
      <c r="S97" s="66"/>
    </row>
    <row r="98" spans="1:19" ht="12.75" x14ac:dyDescent="0.2">
      <c r="B98" s="67">
        <v>0.58514999999999995</v>
      </c>
      <c r="C98" s="68" t="s">
        <v>81</v>
      </c>
      <c r="D98" s="3"/>
      <c r="E98" s="13">
        <f>$O$88*B98</f>
        <v>7442866.1740392083</v>
      </c>
      <c r="G98" s="13">
        <f t="shared" si="9"/>
        <v>212695.4776634805</v>
      </c>
      <c r="H98" s="13">
        <f t="shared" si="9"/>
        <v>454191.47359463997</v>
      </c>
      <c r="I98" s="13">
        <f t="shared" si="9"/>
        <v>1262196.773922526</v>
      </c>
      <c r="J98" s="13">
        <f t="shared" si="9"/>
        <v>1167305.8612683308</v>
      </c>
      <c r="K98" s="13">
        <f t="shared" si="9"/>
        <v>450553.87309637683</v>
      </c>
      <c r="L98" s="13">
        <f t="shared" si="9"/>
        <v>986291.05611422681</v>
      </c>
      <c r="M98" s="13">
        <f t="shared" si="9"/>
        <v>584566.03794353199</v>
      </c>
      <c r="N98" s="13">
        <f t="shared" si="9"/>
        <v>317377.19982500718</v>
      </c>
      <c r="O98" s="13">
        <f t="shared" si="9"/>
        <v>2007688.4206110882</v>
      </c>
      <c r="P98" s="13">
        <f>SUM(G98:O98)</f>
        <v>7442866.1740392083</v>
      </c>
      <c r="R98" s="65"/>
      <c r="S98" s="66"/>
    </row>
    <row r="99" spans="1:19" x14ac:dyDescent="0.2">
      <c r="B99" s="67">
        <v>0.24249999999999999</v>
      </c>
      <c r="C99" s="68" t="s">
        <v>82</v>
      </c>
      <c r="D99" s="68"/>
      <c r="E99" s="13">
        <f>$O$88*B99</f>
        <v>3084499.7816021671</v>
      </c>
      <c r="G99" s="13">
        <f t="shared" ref="G99:O99" si="10">$E99*B222</f>
        <v>41208.917082204956</v>
      </c>
      <c r="H99" s="13">
        <f t="shared" si="10"/>
        <v>176279.16251856385</v>
      </c>
      <c r="I99" s="13">
        <f t="shared" si="10"/>
        <v>408757.91105791915</v>
      </c>
      <c r="J99" s="13">
        <f t="shared" si="10"/>
        <v>492070.2501589937</v>
      </c>
      <c r="K99" s="13">
        <f t="shared" si="10"/>
        <v>261442.20148859968</v>
      </c>
      <c r="L99" s="13">
        <f t="shared" si="10"/>
        <v>290991.70939634839</v>
      </c>
      <c r="M99" s="13">
        <f t="shared" si="10"/>
        <v>309344.48309688136</v>
      </c>
      <c r="N99" s="13">
        <f t="shared" si="10"/>
        <v>173965.78768236222</v>
      </c>
      <c r="O99" s="13">
        <f t="shared" si="10"/>
        <v>930439.35912029364</v>
      </c>
      <c r="P99" s="13">
        <f>SUM(G99:O99)</f>
        <v>3084499.7816021666</v>
      </c>
      <c r="R99" s="65"/>
      <c r="S99" s="66"/>
    </row>
    <row r="100" spans="1:19" x14ac:dyDescent="0.2">
      <c r="A100" s="53"/>
      <c r="B100" s="67"/>
      <c r="C100" s="68"/>
      <c r="D100" s="68"/>
      <c r="E100" s="13"/>
      <c r="F100" s="53"/>
      <c r="G100" s="13">
        <f t="shared" ref="G100:O100" si="11">SUM(G97:G99)</f>
        <v>326292.72461205482</v>
      </c>
      <c r="H100" s="13">
        <f t="shared" si="11"/>
        <v>767015.25466527068</v>
      </c>
      <c r="I100" s="13">
        <f t="shared" si="11"/>
        <v>2083975.9209775031</v>
      </c>
      <c r="J100" s="13">
        <f t="shared" si="11"/>
        <v>2026006.4127838532</v>
      </c>
      <c r="K100" s="13">
        <f t="shared" si="11"/>
        <v>848802.385343072</v>
      </c>
      <c r="L100" s="13">
        <f t="shared" si="11"/>
        <v>1581435.2509021256</v>
      </c>
      <c r="M100" s="13">
        <f t="shared" si="11"/>
        <v>1079631.9459318046</v>
      </c>
      <c r="N100" s="13">
        <f t="shared" si="11"/>
        <v>589496.7363583371</v>
      </c>
      <c r="O100" s="13">
        <f t="shared" si="11"/>
        <v>3416930.0966823376</v>
      </c>
      <c r="P100" s="13">
        <f>SUM(G100:O100)</f>
        <v>12719586.72825636</v>
      </c>
      <c r="R100" s="65"/>
      <c r="S100" s="66"/>
    </row>
    <row r="101" spans="1:19" x14ac:dyDescent="0.2">
      <c r="A101" s="53"/>
      <c r="B101" s="67"/>
      <c r="C101" s="68"/>
      <c r="D101" s="68"/>
      <c r="E101" s="13"/>
      <c r="F101" s="53"/>
      <c r="G101" s="13"/>
      <c r="H101" s="13"/>
      <c r="I101" s="13"/>
      <c r="J101" s="13"/>
      <c r="K101" s="13"/>
      <c r="L101" s="13"/>
      <c r="M101" s="13"/>
      <c r="N101" s="13"/>
      <c r="O101" s="13"/>
      <c r="P101" s="37"/>
      <c r="R101" s="65"/>
      <c r="S101" s="66"/>
    </row>
    <row r="102" spans="1:19" x14ac:dyDescent="0.2">
      <c r="A102" s="1" t="s">
        <v>83</v>
      </c>
      <c r="B102" s="67"/>
      <c r="C102" s="68"/>
      <c r="D102" s="68"/>
      <c r="E102" s="13"/>
      <c r="G102" s="18" t="s">
        <v>69</v>
      </c>
      <c r="H102" s="18" t="s">
        <v>70</v>
      </c>
      <c r="I102" s="18" t="s">
        <v>71</v>
      </c>
      <c r="J102" s="18" t="s">
        <v>72</v>
      </c>
      <c r="K102" s="18" t="s">
        <v>73</v>
      </c>
      <c r="L102" s="18" t="s">
        <v>74</v>
      </c>
      <c r="M102" s="18" t="s">
        <v>75</v>
      </c>
      <c r="N102" s="18" t="s">
        <v>76</v>
      </c>
      <c r="O102" s="18" t="s">
        <v>77</v>
      </c>
      <c r="P102" s="62" t="s">
        <v>51</v>
      </c>
      <c r="R102" s="65"/>
      <c r="S102" s="66"/>
    </row>
    <row r="103" spans="1:19" x14ac:dyDescent="0.2">
      <c r="B103" s="67"/>
      <c r="C103" s="68"/>
      <c r="D103" s="68"/>
      <c r="E103" s="13"/>
      <c r="G103" s="1" t="s">
        <v>83</v>
      </c>
      <c r="H103" s="13"/>
      <c r="I103" s="13"/>
      <c r="J103" s="13"/>
      <c r="K103" s="13"/>
      <c r="L103" s="13"/>
      <c r="M103" s="13"/>
      <c r="N103" s="13"/>
      <c r="O103" s="13"/>
      <c r="P103" s="13"/>
      <c r="R103" s="65"/>
      <c r="S103" s="66"/>
    </row>
    <row r="104" spans="1:19" x14ac:dyDescent="0.2">
      <c r="A104" s="2" t="s">
        <v>18</v>
      </c>
      <c r="B104" s="67"/>
      <c r="C104" s="68"/>
      <c r="D104" s="68"/>
      <c r="E104" s="13">
        <f t="shared" ref="E104:E111" si="12">O53</f>
        <v>573181.19131688133</v>
      </c>
      <c r="G104" s="13">
        <f t="shared" ref="G104:O111" si="13">$E104*$B$97*B$213+$E104*$B$98*B$214+$E104*$B$99*B$222</f>
        <v>14703.689404915644</v>
      </c>
      <c r="H104" s="13">
        <f t="shared" si="13"/>
        <v>34563.915229306192</v>
      </c>
      <c r="I104" s="13">
        <f t="shared" si="13"/>
        <v>93909.953725778425</v>
      </c>
      <c r="J104" s="13">
        <f t="shared" si="13"/>
        <v>91297.680821291957</v>
      </c>
      <c r="K104" s="13">
        <f t="shared" si="13"/>
        <v>38249.478761975937</v>
      </c>
      <c r="L104" s="13">
        <f t="shared" si="13"/>
        <v>71264.024568418536</v>
      </c>
      <c r="M104" s="13">
        <f t="shared" si="13"/>
        <v>48651.323205198583</v>
      </c>
      <c r="N104" s="13">
        <f t="shared" si="13"/>
        <v>26564.419807183778</v>
      </c>
      <c r="O104" s="13">
        <f t="shared" si="13"/>
        <v>153976.70579281222</v>
      </c>
      <c r="P104" s="13">
        <f>SUM(G104:O104)</f>
        <v>573181.19131688122</v>
      </c>
      <c r="R104" s="65"/>
      <c r="S104" s="66"/>
    </row>
    <row r="105" spans="1:19" x14ac:dyDescent="0.2">
      <c r="A105" s="2" t="s">
        <v>20</v>
      </c>
      <c r="B105" s="67"/>
      <c r="C105" s="68"/>
      <c r="D105" s="68"/>
      <c r="E105" s="13">
        <f t="shared" si="12"/>
        <v>4569546.0332478667</v>
      </c>
      <c r="G105" s="13">
        <f t="shared" si="13"/>
        <v>117221.54636647113</v>
      </c>
      <c r="H105" s="13">
        <f t="shared" si="13"/>
        <v>275552.31072171428</v>
      </c>
      <c r="I105" s="13">
        <f t="shared" si="13"/>
        <v>748674.00227178901</v>
      </c>
      <c r="J105" s="13">
        <f t="shared" si="13"/>
        <v>727848.29921438044</v>
      </c>
      <c r="K105" s="13">
        <f t="shared" si="13"/>
        <v>304934.55926043744</v>
      </c>
      <c r="L105" s="13">
        <f t="shared" si="13"/>
        <v>568134.90343555959</v>
      </c>
      <c r="M105" s="13">
        <f t="shared" si="13"/>
        <v>387860.70501338079</v>
      </c>
      <c r="N105" s="13">
        <f t="shared" si="13"/>
        <v>211778.30151153568</v>
      </c>
      <c r="O105" s="13">
        <f t="shared" si="13"/>
        <v>1227541.4054525979</v>
      </c>
      <c r="P105" s="13">
        <f t="shared" ref="P105:P136" si="14">SUM(G105:O105)</f>
        <v>4569546.0332478657</v>
      </c>
      <c r="R105" s="65"/>
      <c r="S105" s="66"/>
    </row>
    <row r="106" spans="1:19" x14ac:dyDescent="0.2">
      <c r="A106" s="2" t="s">
        <v>22</v>
      </c>
      <c r="B106" s="67"/>
      <c r="C106" s="68"/>
      <c r="D106" s="68"/>
      <c r="E106" s="13">
        <f t="shared" si="12"/>
        <v>443016.83611782466</v>
      </c>
      <c r="G106" s="13">
        <f t="shared" si="13"/>
        <v>11364.612199606659</v>
      </c>
      <c r="H106" s="13">
        <f t="shared" si="13"/>
        <v>26714.757219356343</v>
      </c>
      <c r="I106" s="13">
        <f t="shared" si="13"/>
        <v>72583.837728487531</v>
      </c>
      <c r="J106" s="13">
        <f t="shared" si="13"/>
        <v>70564.788787675163</v>
      </c>
      <c r="K106" s="13">
        <f t="shared" si="13"/>
        <v>29563.362024066191</v>
      </c>
      <c r="L106" s="13">
        <f t="shared" si="13"/>
        <v>55080.597848629834</v>
      </c>
      <c r="M106" s="13">
        <f t="shared" si="13"/>
        <v>37603.040026128634</v>
      </c>
      <c r="N106" s="13">
        <f t="shared" si="13"/>
        <v>20531.876123231097</v>
      </c>
      <c r="O106" s="13">
        <f t="shared" si="13"/>
        <v>119009.96416064317</v>
      </c>
      <c r="P106" s="13">
        <f t="shared" si="14"/>
        <v>443016.8361178246</v>
      </c>
      <c r="R106" s="65"/>
      <c r="S106" s="66"/>
    </row>
    <row r="107" spans="1:19" x14ac:dyDescent="0.2">
      <c r="A107" s="2" t="s">
        <v>23</v>
      </c>
      <c r="B107" s="67"/>
      <c r="C107" s="68"/>
      <c r="D107" s="68"/>
      <c r="E107" s="13">
        <f t="shared" si="12"/>
        <v>351571.13035812281</v>
      </c>
      <c r="G107" s="13">
        <f t="shared" si="13"/>
        <v>9018.7758824470311</v>
      </c>
      <c r="H107" s="13">
        <f t="shared" si="13"/>
        <v>21200.407359583962</v>
      </c>
      <c r="I107" s="13">
        <f t="shared" si="13"/>
        <v>57601.381698162048</v>
      </c>
      <c r="J107" s="13">
        <f t="shared" si="13"/>
        <v>55999.09650153132</v>
      </c>
      <c r="K107" s="13">
        <f t="shared" si="13"/>
        <v>23461.014924550334</v>
      </c>
      <c r="L107" s="13">
        <f t="shared" si="13"/>
        <v>43711.08831018272</v>
      </c>
      <c r="M107" s="13">
        <f t="shared" si="13"/>
        <v>29841.175795341002</v>
      </c>
      <c r="N107" s="13">
        <f t="shared" si="13"/>
        <v>16293.771045526366</v>
      </c>
      <c r="O107" s="13">
        <f t="shared" si="13"/>
        <v>94444.418840798011</v>
      </c>
      <c r="P107" s="13">
        <f t="shared" si="14"/>
        <v>351571.13035812281</v>
      </c>
      <c r="R107" s="65"/>
      <c r="S107" s="66"/>
    </row>
    <row r="108" spans="1:19" x14ac:dyDescent="0.2">
      <c r="A108" s="2" t="s">
        <v>24</v>
      </c>
      <c r="B108" s="67"/>
      <c r="C108" s="68"/>
      <c r="D108" s="68"/>
      <c r="E108" s="13">
        <f t="shared" si="12"/>
        <v>0</v>
      </c>
      <c r="G108" s="13">
        <f t="shared" si="13"/>
        <v>0</v>
      </c>
      <c r="H108" s="13">
        <f t="shared" si="13"/>
        <v>0</v>
      </c>
      <c r="I108" s="13">
        <f t="shared" si="13"/>
        <v>0</v>
      </c>
      <c r="J108" s="13">
        <f t="shared" si="13"/>
        <v>0</v>
      </c>
      <c r="K108" s="13">
        <f t="shared" si="13"/>
        <v>0</v>
      </c>
      <c r="L108" s="13">
        <f t="shared" si="13"/>
        <v>0</v>
      </c>
      <c r="M108" s="13">
        <f t="shared" si="13"/>
        <v>0</v>
      </c>
      <c r="N108" s="13">
        <f t="shared" si="13"/>
        <v>0</v>
      </c>
      <c r="O108" s="13">
        <f t="shared" si="13"/>
        <v>0</v>
      </c>
      <c r="P108" s="13">
        <f t="shared" si="14"/>
        <v>0</v>
      </c>
      <c r="R108" s="65"/>
      <c r="S108" s="66"/>
    </row>
    <row r="109" spans="1:19" x14ac:dyDescent="0.2">
      <c r="A109" s="2" t="s">
        <v>25</v>
      </c>
      <c r="B109" s="67"/>
      <c r="C109" s="68"/>
      <c r="D109" s="68"/>
      <c r="E109" s="13">
        <f t="shared" si="12"/>
        <v>1405259.6140313763</v>
      </c>
      <c r="G109" s="13">
        <f t="shared" si="13"/>
        <v>36048.811808560902</v>
      </c>
      <c r="H109" s="13">
        <f t="shared" si="13"/>
        <v>84739.825574101153</v>
      </c>
      <c r="I109" s="13">
        <f t="shared" si="13"/>
        <v>230237.60605821034</v>
      </c>
      <c r="J109" s="13">
        <f t="shared" si="13"/>
        <v>223833.13628649752</v>
      </c>
      <c r="K109" s="13">
        <f t="shared" si="13"/>
        <v>93775.665664227767</v>
      </c>
      <c r="L109" s="13">
        <f t="shared" si="13"/>
        <v>174716.92577569908</v>
      </c>
      <c r="M109" s="13">
        <f t="shared" si="13"/>
        <v>119277.70957099713</v>
      </c>
      <c r="N109" s="13">
        <f t="shared" si="13"/>
        <v>65127.58424512366</v>
      </c>
      <c r="O109" s="13">
        <f t="shared" si="13"/>
        <v>377502.34904795868</v>
      </c>
      <c r="P109" s="13">
        <f t="shared" si="14"/>
        <v>1405259.6140313763</v>
      </c>
      <c r="R109" s="65"/>
      <c r="S109" s="66"/>
    </row>
    <row r="110" spans="1:19" x14ac:dyDescent="0.2">
      <c r="A110" s="2" t="s">
        <v>26</v>
      </c>
      <c r="B110" s="67"/>
      <c r="C110" s="68"/>
      <c r="D110" s="68"/>
      <c r="E110" s="13">
        <f t="shared" si="12"/>
        <v>3819820.7440557349</v>
      </c>
      <c r="G110" s="13">
        <f t="shared" si="13"/>
        <v>97989.010550066028</v>
      </c>
      <c r="H110" s="13">
        <f t="shared" si="13"/>
        <v>230342.45084936239</v>
      </c>
      <c r="I110" s="13">
        <f t="shared" si="13"/>
        <v>625839.07976967422</v>
      </c>
      <c r="J110" s="13">
        <f t="shared" si="13"/>
        <v>608430.24922733416</v>
      </c>
      <c r="K110" s="13">
        <f t="shared" si="13"/>
        <v>254903.95469648385</v>
      </c>
      <c r="L110" s="13">
        <f t="shared" si="13"/>
        <v>474921.02580325073</v>
      </c>
      <c r="M110" s="13">
        <f t="shared" si="13"/>
        <v>324224.41004739294</v>
      </c>
      <c r="N110" s="13">
        <f t="shared" si="13"/>
        <v>177031.84153715114</v>
      </c>
      <c r="O110" s="13">
        <f t="shared" si="13"/>
        <v>1026138.7215750192</v>
      </c>
      <c r="P110" s="13">
        <f t="shared" si="14"/>
        <v>3819820.744055734</v>
      </c>
      <c r="R110" s="65"/>
      <c r="S110" s="66"/>
    </row>
    <row r="111" spans="1:19" x14ac:dyDescent="0.2">
      <c r="A111" s="2" t="s">
        <v>27</v>
      </c>
      <c r="B111" s="67"/>
      <c r="C111" s="68"/>
      <c r="D111" s="68"/>
      <c r="E111" s="13">
        <f t="shared" si="12"/>
        <v>21180.697962849801</v>
      </c>
      <c r="G111" s="13">
        <f t="shared" si="13"/>
        <v>543.34372610788876</v>
      </c>
      <c r="H111" s="13">
        <f t="shared" si="13"/>
        <v>1277.2363433690316</v>
      </c>
      <c r="I111" s="13">
        <f t="shared" si="13"/>
        <v>3470.2436083099919</v>
      </c>
      <c r="J111" s="13">
        <f t="shared" si="13"/>
        <v>3373.7125911994262</v>
      </c>
      <c r="K111" s="13">
        <f t="shared" si="13"/>
        <v>1413.428544353545</v>
      </c>
      <c r="L111" s="13">
        <f t="shared" si="13"/>
        <v>2633.4112194660302</v>
      </c>
      <c r="M111" s="13">
        <f t="shared" si="13"/>
        <v>1797.8066934380713</v>
      </c>
      <c r="N111" s="13">
        <f t="shared" si="13"/>
        <v>981.63191852407374</v>
      </c>
      <c r="O111" s="13">
        <f t="shared" si="13"/>
        <v>5689.8833180817401</v>
      </c>
      <c r="P111" s="13">
        <f>SUM(G111:O111)</f>
        <v>21180.697962849801</v>
      </c>
      <c r="R111" s="65"/>
      <c r="S111" s="66"/>
    </row>
    <row r="112" spans="1:19" x14ac:dyDescent="0.2">
      <c r="R112" s="65"/>
      <c r="S112" s="66"/>
    </row>
    <row r="113" spans="1:19" x14ac:dyDescent="0.2">
      <c r="A113" s="2" t="s">
        <v>29</v>
      </c>
      <c r="B113" s="67"/>
      <c r="C113" s="68"/>
      <c r="D113" s="68"/>
      <c r="E113" s="13">
        <f>O62</f>
        <v>218.87895927789998</v>
      </c>
      <c r="G113" s="13">
        <f t="shared" ref="G113:O114" si="15">$E113*$B$97*B$213+$E113*$B$98*B$214+$E113*$B$99*B$222</f>
        <v>5.6148531794969152</v>
      </c>
      <c r="H113" s="13">
        <f t="shared" si="15"/>
        <v>13.198817247612089</v>
      </c>
      <c r="I113" s="13">
        <f t="shared" si="15"/>
        <v>35.861108579137607</v>
      </c>
      <c r="J113" s="13">
        <f t="shared" si="15"/>
        <v>34.863567865405855</v>
      </c>
      <c r="K113" s="13">
        <f t="shared" si="15"/>
        <v>14.606212191137645</v>
      </c>
      <c r="L113" s="13">
        <f t="shared" si="15"/>
        <v>27.2133764467277</v>
      </c>
      <c r="M113" s="13">
        <f t="shared" si="15"/>
        <v>18.578332911066312</v>
      </c>
      <c r="N113" s="13">
        <f t="shared" si="15"/>
        <v>10.144074246154304</v>
      </c>
      <c r="O113" s="13">
        <f t="shared" si="15"/>
        <v>58.798616611161535</v>
      </c>
      <c r="P113" s="13">
        <f t="shared" si="14"/>
        <v>218.87895927789992</v>
      </c>
      <c r="R113" s="65"/>
      <c r="S113" s="66"/>
    </row>
    <row r="114" spans="1:19" x14ac:dyDescent="0.2">
      <c r="A114" s="2" t="s">
        <v>30</v>
      </c>
      <c r="B114" s="67"/>
      <c r="C114" s="68"/>
      <c r="D114" s="68"/>
      <c r="E114" s="13">
        <f>O63</f>
        <v>17191.545232791603</v>
      </c>
      <c r="G114" s="13">
        <f t="shared" si="15"/>
        <v>441.01087984545848</v>
      </c>
      <c r="H114" s="13">
        <f t="shared" si="15"/>
        <v>1036.682851929952</v>
      </c>
      <c r="I114" s="13">
        <f t="shared" si="15"/>
        <v>2816.6611915106241</v>
      </c>
      <c r="J114" s="13">
        <f t="shared" si="15"/>
        <v>2738.310735357838</v>
      </c>
      <c r="K114" s="13">
        <f t="shared" si="15"/>
        <v>1147.2247418943602</v>
      </c>
      <c r="L114" s="13">
        <f t="shared" si="15"/>
        <v>2137.4370275898068</v>
      </c>
      <c r="M114" s="13">
        <f t="shared" si="15"/>
        <v>1459.2094719572524</v>
      </c>
      <c r="N114" s="13">
        <f t="shared" si="15"/>
        <v>796.75228639103966</v>
      </c>
      <c r="O114" s="13">
        <f t="shared" si="15"/>
        <v>4618.2560463152695</v>
      </c>
      <c r="P114" s="13">
        <f t="shared" si="14"/>
        <v>17191.545232791603</v>
      </c>
      <c r="R114" s="65"/>
      <c r="S114" s="66"/>
    </row>
    <row r="115" spans="1:19" x14ac:dyDescent="0.2">
      <c r="B115" s="67"/>
      <c r="C115" s="68"/>
      <c r="D115" s="68"/>
      <c r="E115" s="13"/>
      <c r="G115" s="13"/>
      <c r="H115" s="13"/>
      <c r="I115" s="13"/>
      <c r="J115" s="13"/>
      <c r="K115" s="13"/>
      <c r="L115" s="13"/>
      <c r="M115" s="13"/>
      <c r="N115" s="13"/>
      <c r="O115" s="13"/>
      <c r="P115" s="13"/>
      <c r="R115" s="65"/>
      <c r="S115" s="66"/>
    </row>
    <row r="116" spans="1:19" x14ac:dyDescent="0.2">
      <c r="A116" s="2" t="s">
        <v>31</v>
      </c>
      <c r="B116" s="67"/>
      <c r="C116" s="68"/>
      <c r="D116" s="68"/>
      <c r="E116" s="13">
        <f t="shared" ref="E116:E126" si="16">O65</f>
        <v>436891.52487514116</v>
      </c>
      <c r="G116" s="13">
        <f t="shared" ref="G116:O119" si="17">$E116*$B$97*B$213+$E116*$B$98*B$214+$E116*$B$99*B$222</f>
        <v>11207.48095492305</v>
      </c>
      <c r="H116" s="13">
        <f t="shared" si="17"/>
        <v>26345.389309605478</v>
      </c>
      <c r="I116" s="13">
        <f t="shared" si="17"/>
        <v>71580.267297233819</v>
      </c>
      <c r="J116" s="13">
        <f t="shared" si="17"/>
        <v>69589.134458403176</v>
      </c>
      <c r="K116" s="13">
        <f t="shared" si="17"/>
        <v>29154.608272483325</v>
      </c>
      <c r="L116" s="13">
        <f t="shared" si="17"/>
        <v>54319.033551858483</v>
      </c>
      <c r="M116" s="13">
        <f t="shared" si="17"/>
        <v>37083.126774412245</v>
      </c>
      <c r="N116" s="13">
        <f t="shared" si="17"/>
        <v>20247.994967036022</v>
      </c>
      <c r="O116" s="13">
        <f t="shared" si="17"/>
        <v>117364.48928918554</v>
      </c>
      <c r="P116" s="13">
        <f t="shared" si="14"/>
        <v>436891.52487514116</v>
      </c>
      <c r="R116" s="65"/>
      <c r="S116" s="66"/>
    </row>
    <row r="117" spans="1:19" x14ac:dyDescent="0.2">
      <c r="A117" s="2" t="s">
        <v>32</v>
      </c>
      <c r="B117" s="67"/>
      <c r="C117" s="68"/>
      <c r="D117" s="68"/>
      <c r="E117" s="13">
        <f t="shared" si="16"/>
        <v>41.946800121900004</v>
      </c>
      <c r="G117" s="13">
        <f t="shared" si="17"/>
        <v>1.0760519184264625</v>
      </c>
      <c r="H117" s="13">
        <f t="shared" si="17"/>
        <v>2.5294717717847446</v>
      </c>
      <c r="I117" s="13">
        <f t="shared" si="17"/>
        <v>6.8725598782154051</v>
      </c>
      <c r="J117" s="13">
        <f t="shared" si="17"/>
        <v>6.6813873640988852</v>
      </c>
      <c r="K117" s="13">
        <f t="shared" si="17"/>
        <v>2.7991903166069747</v>
      </c>
      <c r="L117" s="13">
        <f t="shared" si="17"/>
        <v>5.2152754482151176</v>
      </c>
      <c r="M117" s="13">
        <f t="shared" si="17"/>
        <v>3.5604227093805481</v>
      </c>
      <c r="N117" s="13">
        <f t="shared" si="17"/>
        <v>1.9440491504023318</v>
      </c>
      <c r="O117" s="13">
        <f t="shared" si="17"/>
        <v>11.268391564769535</v>
      </c>
      <c r="P117" s="13">
        <f t="shared" si="14"/>
        <v>41.946800121900004</v>
      </c>
      <c r="R117" s="65"/>
      <c r="S117" s="66"/>
    </row>
    <row r="118" spans="1:19" x14ac:dyDescent="0.2">
      <c r="A118" s="2" t="s">
        <v>33</v>
      </c>
      <c r="B118" s="67"/>
      <c r="C118" s="68"/>
      <c r="D118" s="68"/>
      <c r="E118" s="13">
        <f t="shared" si="16"/>
        <v>6443.1725083891006</v>
      </c>
      <c r="G118" s="13">
        <f t="shared" si="17"/>
        <v>165.28526891816441</v>
      </c>
      <c r="H118" s="13">
        <f t="shared" si="17"/>
        <v>388.53554820265788</v>
      </c>
      <c r="I118" s="13">
        <f t="shared" si="17"/>
        <v>1055.6487918242119</v>
      </c>
      <c r="J118" s="13">
        <f t="shared" si="17"/>
        <v>1026.2840373319593</v>
      </c>
      <c r="K118" s="13">
        <f t="shared" si="17"/>
        <v>429.96524267162869</v>
      </c>
      <c r="L118" s="13">
        <f t="shared" si="17"/>
        <v>801.08421366979405</v>
      </c>
      <c r="M118" s="13">
        <f t="shared" si="17"/>
        <v>546.89315162679168</v>
      </c>
      <c r="N118" s="13">
        <f t="shared" si="17"/>
        <v>298.61262371452915</v>
      </c>
      <c r="O118" s="13">
        <f t="shared" si="17"/>
        <v>1730.8636304293634</v>
      </c>
      <c r="P118" s="13">
        <f>SUM(G118:O118)</f>
        <v>6443.1725083890997</v>
      </c>
      <c r="R118" s="65"/>
      <c r="S118" s="66"/>
    </row>
    <row r="119" spans="1:19" x14ac:dyDescent="0.2">
      <c r="A119" s="2" t="s">
        <v>34</v>
      </c>
      <c r="B119" s="67"/>
      <c r="C119" s="68"/>
      <c r="D119" s="68"/>
      <c r="E119" s="13">
        <f t="shared" si="16"/>
        <v>10704.161137228</v>
      </c>
      <c r="G119" s="13">
        <f t="shared" si="17"/>
        <v>274.59146093116692</v>
      </c>
      <c r="H119" s="13">
        <f t="shared" si="17"/>
        <v>645.48126099176454</v>
      </c>
      <c r="I119" s="13">
        <f t="shared" si="17"/>
        <v>1753.7687773055707</v>
      </c>
      <c r="J119" s="13">
        <f t="shared" si="17"/>
        <v>1704.9845699246639</v>
      </c>
      <c r="K119" s="13">
        <f t="shared" si="17"/>
        <v>714.30917532815442</v>
      </c>
      <c r="L119" s="13">
        <f t="shared" si="17"/>
        <v>1330.8559558891798</v>
      </c>
      <c r="M119" s="13">
        <f t="shared" si="17"/>
        <v>908.5636636668678</v>
      </c>
      <c r="N119" s="13">
        <f t="shared" si="17"/>
        <v>496.09065063662297</v>
      </c>
      <c r="O119" s="13">
        <f t="shared" si="17"/>
        <v>2875.5156225540086</v>
      </c>
      <c r="P119" s="13">
        <f>SUM(G119:O119)</f>
        <v>10704.161137227999</v>
      </c>
      <c r="R119" s="65"/>
      <c r="S119" s="66"/>
    </row>
    <row r="120" spans="1:19" x14ac:dyDescent="0.2">
      <c r="A120" s="2" t="s">
        <v>63</v>
      </c>
      <c r="B120" s="67"/>
      <c r="C120" s="68"/>
      <c r="D120" s="68"/>
      <c r="E120" s="13">
        <f t="shared" si="16"/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f>SUM(G120:O120)</f>
        <v>0</v>
      </c>
      <c r="R120" s="65"/>
      <c r="S120" s="66"/>
    </row>
    <row r="121" spans="1:19" x14ac:dyDescent="0.2">
      <c r="A121" s="2" t="s">
        <v>36</v>
      </c>
      <c r="B121" s="69" t="s">
        <v>84</v>
      </c>
      <c r="C121" s="68" t="s">
        <v>85</v>
      </c>
      <c r="D121" s="68"/>
      <c r="E121" s="13">
        <f t="shared" si="16"/>
        <v>1222524.1281569055</v>
      </c>
      <c r="G121" s="13">
        <f t="shared" ref="G121:O122" si="18">$E121*B215</f>
        <v>27729.570307021004</v>
      </c>
      <c r="H121" s="13">
        <f t="shared" si="18"/>
        <v>63847.077394852407</v>
      </c>
      <c r="I121" s="13">
        <f t="shared" si="18"/>
        <v>184110.63633805703</v>
      </c>
      <c r="J121" s="13">
        <f t="shared" si="18"/>
        <v>158048.70814468124</v>
      </c>
      <c r="K121" s="13">
        <f t="shared" si="18"/>
        <v>108070.47875192582</v>
      </c>
      <c r="L121" s="13">
        <f t="shared" si="18"/>
        <v>138830.72529417084</v>
      </c>
      <c r="M121" s="13">
        <f t="shared" si="18"/>
        <v>144406.30495826923</v>
      </c>
      <c r="N121" s="13">
        <f t="shared" si="18"/>
        <v>72262.455955639423</v>
      </c>
      <c r="O121" s="13">
        <f t="shared" si="18"/>
        <v>325218.17101228848</v>
      </c>
      <c r="P121" s="13">
        <f>SUM(G121:O121)</f>
        <v>1222524.1281569055</v>
      </c>
      <c r="R121" s="65"/>
      <c r="S121" s="66"/>
    </row>
    <row r="122" spans="1:19" x14ac:dyDescent="0.2">
      <c r="A122" s="2" t="s">
        <v>37</v>
      </c>
      <c r="B122" s="69" t="s">
        <v>84</v>
      </c>
      <c r="C122" s="68" t="s">
        <v>86</v>
      </c>
      <c r="D122" s="68"/>
      <c r="E122" s="13">
        <f t="shared" si="16"/>
        <v>5507.1673055999991</v>
      </c>
      <c r="G122" s="13">
        <f t="shared" si="18"/>
        <v>170.97443519999999</v>
      </c>
      <c r="H122" s="13">
        <f t="shared" si="18"/>
        <v>600.41286719999994</v>
      </c>
      <c r="I122" s="13">
        <f t="shared" si="18"/>
        <v>965.67793919999997</v>
      </c>
      <c r="J122" s="13">
        <f t="shared" si="18"/>
        <v>1166.8835519999998</v>
      </c>
      <c r="K122" s="13">
        <f t="shared" si="18"/>
        <v>364.21783679999999</v>
      </c>
      <c r="L122" s="13">
        <f t="shared" si="18"/>
        <v>772.1164895999998</v>
      </c>
      <c r="M122" s="13">
        <f t="shared" si="18"/>
        <v>607.06435199999987</v>
      </c>
      <c r="N122" s="13">
        <f t="shared" si="18"/>
        <v>192.32904960000002</v>
      </c>
      <c r="O122" s="13">
        <f t="shared" si="18"/>
        <v>667.49078399999985</v>
      </c>
      <c r="P122" s="13">
        <f>SUM(G122:O122)</f>
        <v>5507.1673055999991</v>
      </c>
      <c r="R122" s="65"/>
      <c r="S122" s="66"/>
    </row>
    <row r="123" spans="1:19" x14ac:dyDescent="0.2">
      <c r="A123" s="2" t="s">
        <v>38</v>
      </c>
      <c r="B123" s="67"/>
      <c r="C123" s="68"/>
      <c r="D123" s="68"/>
      <c r="E123" s="13">
        <f t="shared" si="16"/>
        <v>6834.0755174544001</v>
      </c>
      <c r="G123" s="13">
        <f t="shared" ref="G123:O126" si="19">$E123*$B$97*B$213+$E123*$B$98*B$214+$E123*$B$99*B$222</f>
        <v>175.31301672255017</v>
      </c>
      <c r="H123" s="13">
        <f t="shared" si="19"/>
        <v>412.10774260277759</v>
      </c>
      <c r="I123" s="13">
        <f t="shared" si="19"/>
        <v>1119.6943049162403</v>
      </c>
      <c r="J123" s="13">
        <f t="shared" si="19"/>
        <v>1088.5480102158776</v>
      </c>
      <c r="K123" s="13">
        <f t="shared" si="19"/>
        <v>456.05094919818771</v>
      </c>
      <c r="L123" s="13">
        <f t="shared" si="19"/>
        <v>849.68546239167938</v>
      </c>
      <c r="M123" s="13">
        <f t="shared" si="19"/>
        <v>580.07279695365048</v>
      </c>
      <c r="N123" s="13">
        <f t="shared" si="19"/>
        <v>316.72925383779705</v>
      </c>
      <c r="O123" s="13">
        <f t="shared" si="19"/>
        <v>1835.8739806156395</v>
      </c>
      <c r="P123" s="13">
        <f t="shared" si="14"/>
        <v>6834.0755174543992</v>
      </c>
      <c r="R123" s="65"/>
      <c r="S123" s="66"/>
    </row>
    <row r="124" spans="1:19" x14ac:dyDescent="0.2">
      <c r="A124" s="2" t="s">
        <v>39</v>
      </c>
      <c r="B124" s="67"/>
      <c r="C124" s="68"/>
      <c r="D124" s="68"/>
      <c r="E124" s="13">
        <f t="shared" si="16"/>
        <v>343899.75277030421</v>
      </c>
      <c r="G124" s="13">
        <f t="shared" si="19"/>
        <v>8821.9837422514247</v>
      </c>
      <c r="H124" s="13">
        <f t="shared" si="19"/>
        <v>20737.808710755002</v>
      </c>
      <c r="I124" s="13">
        <f t="shared" si="19"/>
        <v>56344.503898962357</v>
      </c>
      <c r="J124" s="13">
        <f t="shared" si="19"/>
        <v>54777.18100066996</v>
      </c>
      <c r="K124" s="13">
        <f t="shared" si="19"/>
        <v>22949.089204436907</v>
      </c>
      <c r="L124" s="13">
        <f t="shared" si="19"/>
        <v>42757.300486761829</v>
      </c>
      <c r="M124" s="13">
        <f t="shared" si="19"/>
        <v>29190.033231509478</v>
      </c>
      <c r="N124" s="13">
        <f t="shared" si="19"/>
        <v>15938.236534224558</v>
      </c>
      <c r="O124" s="13">
        <f t="shared" si="19"/>
        <v>92383.61596073267</v>
      </c>
      <c r="P124" s="13">
        <f t="shared" si="14"/>
        <v>343899.75277030416</v>
      </c>
      <c r="R124" s="65"/>
      <c r="S124" s="66"/>
    </row>
    <row r="125" spans="1:19" x14ac:dyDescent="0.2">
      <c r="A125" s="2" t="s">
        <v>40</v>
      </c>
      <c r="B125" s="67"/>
      <c r="C125" s="68"/>
      <c r="D125" s="68"/>
      <c r="E125" s="13">
        <f t="shared" si="16"/>
        <v>257173.78912812949</v>
      </c>
      <c r="G125" s="13">
        <f t="shared" si="19"/>
        <v>6597.2219181469109</v>
      </c>
      <c r="H125" s="13">
        <f t="shared" si="19"/>
        <v>15508.068271050292</v>
      </c>
      <c r="I125" s="13">
        <f t="shared" si="19"/>
        <v>42135.329983558098</v>
      </c>
      <c r="J125" s="13">
        <f t="shared" si="19"/>
        <v>40963.260607834069</v>
      </c>
      <c r="K125" s="13">
        <f t="shared" si="19"/>
        <v>17161.699536569482</v>
      </c>
      <c r="L125" s="13">
        <f t="shared" si="19"/>
        <v>31974.599837572394</v>
      </c>
      <c r="M125" s="13">
        <f t="shared" si="19"/>
        <v>21828.778271722949</v>
      </c>
      <c r="N125" s="13">
        <f t="shared" si="19"/>
        <v>11918.870683994444</v>
      </c>
      <c r="O125" s="13">
        <f t="shared" si="19"/>
        <v>69085.960017680831</v>
      </c>
      <c r="P125" s="13">
        <f t="shared" si="14"/>
        <v>257173.78912812946</v>
      </c>
      <c r="R125" s="65"/>
      <c r="S125" s="66"/>
    </row>
    <row r="126" spans="1:19" x14ac:dyDescent="0.2">
      <c r="A126" s="2" t="s">
        <v>41</v>
      </c>
      <c r="B126" s="67"/>
      <c r="C126" s="68"/>
      <c r="D126" s="68"/>
      <c r="E126" s="13">
        <f t="shared" si="16"/>
        <v>0</v>
      </c>
      <c r="G126" s="13">
        <f t="shared" si="19"/>
        <v>0</v>
      </c>
      <c r="H126" s="13">
        <f t="shared" si="19"/>
        <v>0</v>
      </c>
      <c r="I126" s="13">
        <f t="shared" si="19"/>
        <v>0</v>
      </c>
      <c r="J126" s="13">
        <f t="shared" si="19"/>
        <v>0</v>
      </c>
      <c r="K126" s="13">
        <f t="shared" si="19"/>
        <v>0</v>
      </c>
      <c r="L126" s="13">
        <f t="shared" si="19"/>
        <v>0</v>
      </c>
      <c r="M126" s="13">
        <f t="shared" si="19"/>
        <v>0</v>
      </c>
      <c r="N126" s="13">
        <f t="shared" si="19"/>
        <v>0</v>
      </c>
      <c r="O126" s="13">
        <f t="shared" si="19"/>
        <v>0</v>
      </c>
      <c r="P126" s="13">
        <f t="shared" si="14"/>
        <v>0</v>
      </c>
      <c r="R126" s="65"/>
      <c r="S126" s="66"/>
    </row>
    <row r="127" spans="1:19" x14ac:dyDescent="0.2">
      <c r="B127" s="67"/>
      <c r="C127" s="68"/>
      <c r="D127" s="68"/>
      <c r="E127" s="13"/>
      <c r="G127" s="13"/>
      <c r="H127" s="13"/>
      <c r="I127" s="13"/>
      <c r="J127" s="13"/>
      <c r="K127" s="13"/>
      <c r="L127" s="13"/>
      <c r="M127" s="13"/>
      <c r="N127" s="13"/>
      <c r="O127" s="13"/>
      <c r="P127" s="13"/>
      <c r="R127" s="65"/>
      <c r="S127" s="66"/>
    </row>
    <row r="128" spans="1:19" x14ac:dyDescent="0.2">
      <c r="A128" s="2" t="s">
        <v>42</v>
      </c>
      <c r="B128" s="67"/>
      <c r="C128" s="68"/>
      <c r="D128" s="68"/>
      <c r="E128" s="13">
        <f t="shared" ref="E128:E136" si="20">O77</f>
        <v>24347.214096666597</v>
      </c>
      <c r="G128" s="13">
        <f t="shared" ref="G128:O134" si="21">$E128*$B$97*B$213+$E128*$B$98*B$214+$E128*$B$99*B$222</f>
        <v>624.5736590376946</v>
      </c>
      <c r="H128" s="13">
        <f t="shared" si="21"/>
        <v>1468.1832845448571</v>
      </c>
      <c r="I128" s="13">
        <f t="shared" si="21"/>
        <v>3989.0453207588353</v>
      </c>
      <c r="J128" s="13">
        <f t="shared" si="21"/>
        <v>3878.082908439741</v>
      </c>
      <c r="K128" s="13">
        <f t="shared" si="21"/>
        <v>1624.7362310758058</v>
      </c>
      <c r="L128" s="13">
        <f t="shared" si="21"/>
        <v>3027.1064191256069</v>
      </c>
      <c r="M128" s="13">
        <f t="shared" si="21"/>
        <v>2066.578945903048</v>
      </c>
      <c r="N128" s="13">
        <f t="shared" si="21"/>
        <v>1128.3859732265182</v>
      </c>
      <c r="O128" s="13">
        <f t="shared" si="21"/>
        <v>6540.5213545544875</v>
      </c>
      <c r="P128" s="13">
        <f>SUM(G128:O128)</f>
        <v>24347.214096666594</v>
      </c>
      <c r="R128" s="65"/>
      <c r="S128" s="66"/>
    </row>
    <row r="129" spans="1:19" x14ac:dyDescent="0.2">
      <c r="A129" s="2" t="s">
        <v>43</v>
      </c>
      <c r="B129" s="67"/>
      <c r="C129" s="68"/>
      <c r="D129" s="68"/>
      <c r="E129" s="13">
        <f t="shared" si="20"/>
        <v>21200.489225505098</v>
      </c>
      <c r="G129" s="13">
        <f t="shared" si="21"/>
        <v>543.85142695959678</v>
      </c>
      <c r="H129" s="13">
        <f t="shared" si="21"/>
        <v>1278.4297941225832</v>
      </c>
      <c r="I129" s="13">
        <f t="shared" si="21"/>
        <v>3473.4862069651635</v>
      </c>
      <c r="J129" s="13">
        <f t="shared" si="21"/>
        <v>3376.864991187992</v>
      </c>
      <c r="K129" s="13">
        <f t="shared" si="21"/>
        <v>1414.7492532185156</v>
      </c>
      <c r="L129" s="13">
        <f t="shared" si="21"/>
        <v>2635.8718812069828</v>
      </c>
      <c r="M129" s="13">
        <f t="shared" si="21"/>
        <v>1799.4865655808917</v>
      </c>
      <c r="N129" s="13">
        <f t="shared" si="21"/>
        <v>982.54915624515411</v>
      </c>
      <c r="O129" s="13">
        <f t="shared" si="21"/>
        <v>5695.1999500182174</v>
      </c>
      <c r="P129" s="13">
        <f>SUM(G129:O129)</f>
        <v>21200.489225505095</v>
      </c>
      <c r="R129" s="65"/>
      <c r="S129" s="66"/>
    </row>
    <row r="130" spans="1:19" x14ac:dyDescent="0.2">
      <c r="A130" s="2" t="s">
        <v>44</v>
      </c>
      <c r="B130" s="67"/>
      <c r="C130" s="68"/>
      <c r="D130" s="68"/>
      <c r="E130" s="13">
        <f t="shared" si="20"/>
        <v>109299.27433448982</v>
      </c>
      <c r="G130" s="13">
        <f t="shared" si="21"/>
        <v>2803.8299343087219</v>
      </c>
      <c r="H130" s="13">
        <f t="shared" si="21"/>
        <v>6590.9539774717377</v>
      </c>
      <c r="I130" s="13">
        <f t="shared" si="21"/>
        <v>17907.58306536706</v>
      </c>
      <c r="J130" s="13">
        <f t="shared" si="21"/>
        <v>17409.451694084546</v>
      </c>
      <c r="K130" s="13">
        <f t="shared" si="21"/>
        <v>7293.7499270543876</v>
      </c>
      <c r="L130" s="13">
        <f t="shared" si="21"/>
        <v>13589.25639829172</v>
      </c>
      <c r="M130" s="13">
        <f t="shared" si="21"/>
        <v>9277.2659017716069</v>
      </c>
      <c r="N130" s="13">
        <f t="shared" si="21"/>
        <v>5065.5392256874675</v>
      </c>
      <c r="O130" s="13">
        <f t="shared" si="21"/>
        <v>29361.644210452567</v>
      </c>
      <c r="P130" s="13">
        <f t="shared" ref="P130:P161" si="22">SUM(G130:O130)</f>
        <v>109299.27433448979</v>
      </c>
      <c r="R130" s="65"/>
      <c r="S130" s="66"/>
    </row>
    <row r="131" spans="1:19" x14ac:dyDescent="0.2">
      <c r="A131" s="2" t="s">
        <v>45</v>
      </c>
      <c r="B131" s="67"/>
      <c r="C131" s="68"/>
      <c r="D131" s="68"/>
      <c r="E131" s="13">
        <f t="shared" si="20"/>
        <v>61458.588684802002</v>
      </c>
      <c r="G131" s="13">
        <f t="shared" si="21"/>
        <v>1576.5834835047856</v>
      </c>
      <c r="H131" s="13">
        <f t="shared" si="21"/>
        <v>3706.0697063939579</v>
      </c>
      <c r="I131" s="13">
        <f t="shared" si="21"/>
        <v>10069.369523764799</v>
      </c>
      <c r="J131" s="13">
        <f t="shared" si="21"/>
        <v>9789.272046036278</v>
      </c>
      <c r="K131" s="13">
        <f t="shared" si="21"/>
        <v>4101.2493400899812</v>
      </c>
      <c r="L131" s="13">
        <f t="shared" si="21"/>
        <v>7641.1899767881741</v>
      </c>
      <c r="M131" s="13">
        <f t="shared" si="21"/>
        <v>5216.5732357163624</v>
      </c>
      <c r="N131" s="13">
        <f t="shared" si="21"/>
        <v>2848.3344801129933</v>
      </c>
      <c r="O131" s="13">
        <f t="shared" si="21"/>
        <v>16509.946892394666</v>
      </c>
      <c r="P131" s="13">
        <f t="shared" si="22"/>
        <v>61458.588684802002</v>
      </c>
      <c r="R131" s="65"/>
      <c r="S131" s="66"/>
    </row>
    <row r="132" spans="1:19" x14ac:dyDescent="0.2">
      <c r="A132" s="2" t="s">
        <v>46</v>
      </c>
      <c r="B132" s="67"/>
      <c r="C132" s="68"/>
      <c r="D132" s="68"/>
      <c r="E132" s="13">
        <f t="shared" si="20"/>
        <v>194398.29450586415</v>
      </c>
      <c r="G132" s="13">
        <f t="shared" si="21"/>
        <v>4986.8561400147273</v>
      </c>
      <c r="H132" s="13">
        <f t="shared" si="21"/>
        <v>11722.586633705014</v>
      </c>
      <c r="I132" s="13">
        <f t="shared" si="21"/>
        <v>31850.198711986723</v>
      </c>
      <c r="J132" s="13">
        <f t="shared" si="21"/>
        <v>30964.228611939765</v>
      </c>
      <c r="K132" s="13">
        <f t="shared" si="21"/>
        <v>12972.57054088439</v>
      </c>
      <c r="L132" s="13">
        <f t="shared" si="21"/>
        <v>24169.678010361724</v>
      </c>
      <c r="M132" s="13">
        <f t="shared" si="21"/>
        <v>16500.426740827057</v>
      </c>
      <c r="N132" s="13">
        <f t="shared" si="21"/>
        <v>9009.5034228005225</v>
      </c>
      <c r="O132" s="13">
        <f t="shared" si="21"/>
        <v>52222.245693344215</v>
      </c>
      <c r="P132" s="13">
        <f t="shared" si="22"/>
        <v>194398.29450586412</v>
      </c>
      <c r="R132" s="65"/>
      <c r="S132" s="66"/>
    </row>
    <row r="133" spans="1:19" x14ac:dyDescent="0.2">
      <c r="A133" s="2" t="s">
        <v>47</v>
      </c>
      <c r="B133" s="67"/>
      <c r="C133" s="68"/>
      <c r="D133" s="68"/>
      <c r="E133" s="13">
        <f t="shared" si="20"/>
        <v>45891.638298158599</v>
      </c>
      <c r="G133" s="13">
        <f t="shared" si="21"/>
        <v>1177.247973312871</v>
      </c>
      <c r="H133" s="13">
        <f t="shared" si="21"/>
        <v>2767.3530114051018</v>
      </c>
      <c r="I133" s="13">
        <f t="shared" si="21"/>
        <v>7518.8818025915334</v>
      </c>
      <c r="J133" s="13">
        <f t="shared" si="21"/>
        <v>7309.7306910671887</v>
      </c>
      <c r="K133" s="13">
        <f t="shared" si="21"/>
        <v>3062.4369240114684</v>
      </c>
      <c r="L133" s="13">
        <f t="shared" si="21"/>
        <v>5705.7399801468855</v>
      </c>
      <c r="M133" s="13">
        <f t="shared" si="21"/>
        <v>3895.2585344438648</v>
      </c>
      <c r="N133" s="13">
        <f t="shared" si="21"/>
        <v>2126.8749984466099</v>
      </c>
      <c r="O133" s="13">
        <f t="shared" si="21"/>
        <v>12328.114382733072</v>
      </c>
      <c r="P133" s="13">
        <f t="shared" si="22"/>
        <v>45891.638298158599</v>
      </c>
      <c r="R133" s="65"/>
      <c r="S133" s="66"/>
    </row>
    <row r="134" spans="1:19" x14ac:dyDescent="0.2">
      <c r="A134" s="2" t="s">
        <v>87</v>
      </c>
      <c r="B134" s="67"/>
      <c r="C134" s="68"/>
      <c r="D134" s="68"/>
      <c r="E134" s="13">
        <f t="shared" si="20"/>
        <v>16.135091373999998</v>
      </c>
      <c r="G134" s="13">
        <f t="shared" si="21"/>
        <v>0.41390990436751651</v>
      </c>
      <c r="H134" s="13">
        <f t="shared" si="21"/>
        <v>0.97297667633990337</v>
      </c>
      <c r="I134" s="13">
        <f t="shared" si="21"/>
        <v>2.6435718883452473</v>
      </c>
      <c r="J134" s="13">
        <f t="shared" si="21"/>
        <v>2.5700362199628355</v>
      </c>
      <c r="K134" s="13">
        <f t="shared" si="21"/>
        <v>1.0767255523762638</v>
      </c>
      <c r="L134" s="13">
        <f t="shared" si="21"/>
        <v>2.0060873690719592</v>
      </c>
      <c r="M134" s="13">
        <f t="shared" si="21"/>
        <v>1.3695382145711488</v>
      </c>
      <c r="N134" s="13">
        <f t="shared" si="21"/>
        <v>0.74779031025329801</v>
      </c>
      <c r="O134" s="13">
        <f t="shared" si="21"/>
        <v>4.3344552387118238</v>
      </c>
      <c r="P134" s="13">
        <f t="shared" si="22"/>
        <v>16.135091373999998</v>
      </c>
      <c r="R134" s="65"/>
      <c r="S134" s="66"/>
    </row>
    <row r="135" spans="1:19" x14ac:dyDescent="0.2">
      <c r="A135" s="2" t="s">
        <v>65</v>
      </c>
      <c r="B135" s="69" t="s">
        <v>84</v>
      </c>
      <c r="C135" s="68" t="s">
        <v>88</v>
      </c>
      <c r="D135" s="68"/>
      <c r="E135" s="13">
        <f t="shared" si="20"/>
        <v>3698.2701932000004</v>
      </c>
      <c r="G135" s="13">
        <f t="shared" ref="G135:O136" si="23">$E135*B218</f>
        <v>0</v>
      </c>
      <c r="H135" s="13">
        <f t="shared" si="23"/>
        <v>319</v>
      </c>
      <c r="I135" s="13">
        <f t="shared" si="23"/>
        <v>319</v>
      </c>
      <c r="J135" s="13">
        <f t="shared" si="23"/>
        <v>319</v>
      </c>
      <c r="K135" s="13">
        <f t="shared" si="23"/>
        <v>638</v>
      </c>
      <c r="L135" s="13">
        <f t="shared" si="23"/>
        <v>319</v>
      </c>
      <c r="M135" s="13">
        <f t="shared" si="23"/>
        <v>957</v>
      </c>
      <c r="N135" s="13">
        <f t="shared" si="23"/>
        <v>508.27019319999994</v>
      </c>
      <c r="O135" s="13">
        <f t="shared" si="23"/>
        <v>319</v>
      </c>
      <c r="P135" s="13">
        <f t="shared" si="22"/>
        <v>3698.2701932</v>
      </c>
      <c r="R135" s="65"/>
      <c r="S135" s="66"/>
    </row>
    <row r="136" spans="1:19" x14ac:dyDescent="0.2">
      <c r="A136" s="2" t="s">
        <v>66</v>
      </c>
      <c r="B136" s="69" t="s">
        <v>84</v>
      </c>
      <c r="C136" s="68" t="s">
        <v>89</v>
      </c>
      <c r="D136" s="68"/>
      <c r="E136" s="13">
        <f t="shared" si="20"/>
        <v>11823.8749539</v>
      </c>
      <c r="G136" s="13">
        <f t="shared" si="23"/>
        <v>0</v>
      </c>
      <c r="H136" s="13">
        <f t="shared" si="23"/>
        <v>786.35651499999994</v>
      </c>
      <c r="I136" s="13">
        <f t="shared" si="23"/>
        <v>789.74416369999994</v>
      </c>
      <c r="J136" s="13">
        <f t="shared" si="23"/>
        <v>724.94197899999995</v>
      </c>
      <c r="K136" s="13">
        <f t="shared" si="23"/>
        <v>1066.4514730999999</v>
      </c>
      <c r="L136" s="13">
        <f t="shared" si="23"/>
        <v>410.47805960000005</v>
      </c>
      <c r="M136" s="13">
        <f t="shared" si="23"/>
        <v>1355.931523</v>
      </c>
      <c r="N136" s="13">
        <f t="shared" si="23"/>
        <v>3554.5608290999999</v>
      </c>
      <c r="O136" s="13">
        <f t="shared" si="23"/>
        <v>3135.4104114000002</v>
      </c>
      <c r="P136" s="13">
        <f t="shared" si="22"/>
        <v>11823.8749539</v>
      </c>
      <c r="R136" s="65"/>
      <c r="S136" s="66"/>
    </row>
    <row r="137" spans="1:19" x14ac:dyDescent="0.2">
      <c r="E137" s="13"/>
      <c r="G137" s="13"/>
      <c r="H137" s="13"/>
      <c r="I137" s="13"/>
      <c r="J137" s="13"/>
      <c r="K137" s="13"/>
      <c r="L137" s="13"/>
      <c r="M137" s="13"/>
      <c r="N137" s="13"/>
      <c r="O137" s="13"/>
      <c r="P137" s="13"/>
      <c r="R137" s="65"/>
      <c r="S137" s="66"/>
    </row>
    <row r="138" spans="1:19" x14ac:dyDescent="0.2">
      <c r="A138" s="2" t="s">
        <v>90</v>
      </c>
      <c r="E138" s="13">
        <f>SUM(E104:E136)</f>
        <v>13963140.168865966</v>
      </c>
      <c r="G138" s="37">
        <f t="shared" ref="G138:O138" si="24">SUM(G104:G136)</f>
        <v>354193.26935427566</v>
      </c>
      <c r="H138" s="37">
        <f t="shared" si="24"/>
        <v>832568.10144232272</v>
      </c>
      <c r="I138" s="37">
        <f t="shared" si="24"/>
        <v>2270160.9794184593</v>
      </c>
      <c r="J138" s="37">
        <f t="shared" si="24"/>
        <v>2186265.9464595336</v>
      </c>
      <c r="K138" s="37">
        <f t="shared" si="24"/>
        <v>958941.53340489767</v>
      </c>
      <c r="L138" s="37">
        <f t="shared" si="24"/>
        <v>1721767.5707454958</v>
      </c>
      <c r="M138" s="37">
        <f t="shared" si="24"/>
        <v>1226958.2467650729</v>
      </c>
      <c r="N138" s="37">
        <f t="shared" si="24"/>
        <v>666014.35238587658</v>
      </c>
      <c r="O138" s="37">
        <f t="shared" si="24"/>
        <v>3746270.1688900245</v>
      </c>
      <c r="P138" s="37">
        <f>SUM(G138:O138)</f>
        <v>13963140.16886596</v>
      </c>
      <c r="R138" s="65"/>
      <c r="S138" s="66"/>
    </row>
    <row r="139" spans="1:19" x14ac:dyDescent="0.2">
      <c r="E139" s="13"/>
      <c r="F139" s="70"/>
      <c r="G139" s="70"/>
      <c r="H139" s="70"/>
      <c r="I139" s="70"/>
      <c r="J139" s="70"/>
      <c r="K139" s="70"/>
      <c r="L139" s="70"/>
      <c r="M139" s="70"/>
      <c r="N139" s="70"/>
      <c r="O139" s="13"/>
      <c r="P139" s="13"/>
      <c r="R139" s="65"/>
      <c r="S139" s="66"/>
    </row>
    <row r="140" spans="1:19" x14ac:dyDescent="0.2">
      <c r="A140" s="2" t="s">
        <v>91</v>
      </c>
      <c r="G140" s="13">
        <f>G138-G135-G136</f>
        <v>354193.26935427566</v>
      </c>
      <c r="H140" s="13">
        <f t="shared" ref="H140:O140" si="25">H138-H135-H136</f>
        <v>831462.74492732272</v>
      </c>
      <c r="I140" s="13">
        <f t="shared" si="25"/>
        <v>2269052.2352547594</v>
      </c>
      <c r="J140" s="13">
        <f t="shared" si="25"/>
        <v>2185222.0044805338</v>
      </c>
      <c r="K140" s="13">
        <f t="shared" si="25"/>
        <v>957237.08193179767</v>
      </c>
      <c r="L140" s="13">
        <f t="shared" si="25"/>
        <v>1721038.0926858957</v>
      </c>
      <c r="M140" s="13">
        <f t="shared" si="25"/>
        <v>1224645.315242073</v>
      </c>
      <c r="N140" s="13">
        <f t="shared" si="25"/>
        <v>661951.52136357664</v>
      </c>
      <c r="O140" s="13">
        <f t="shared" si="25"/>
        <v>3742815.7584786247</v>
      </c>
      <c r="P140" s="13">
        <f>SUM(G140:O140)</f>
        <v>13947618.02371886</v>
      </c>
      <c r="R140" s="65"/>
      <c r="S140" s="66"/>
    </row>
    <row r="141" spans="1:19" x14ac:dyDescent="0.2">
      <c r="A141" s="71">
        <v>7.6600000000000001E-2</v>
      </c>
      <c r="B141" s="2" t="s">
        <v>92</v>
      </c>
      <c r="G141" s="13">
        <f t="shared" ref="G141:O142" si="26">G$140*$A141</f>
        <v>27131.204432537517</v>
      </c>
      <c r="H141" s="13">
        <f t="shared" si="26"/>
        <v>63690.046261432923</v>
      </c>
      <c r="I141" s="13">
        <f t="shared" si="26"/>
        <v>173809.40122051458</v>
      </c>
      <c r="J141" s="13">
        <f t="shared" si="26"/>
        <v>167388.00554320888</v>
      </c>
      <c r="K141" s="13">
        <f t="shared" si="26"/>
        <v>73324.3604759757</v>
      </c>
      <c r="L141" s="13">
        <f t="shared" si="26"/>
        <v>131831.51789973961</v>
      </c>
      <c r="M141" s="13">
        <f t="shared" si="26"/>
        <v>93807.831147542791</v>
      </c>
      <c r="N141" s="13">
        <f t="shared" si="26"/>
        <v>50705.486536449971</v>
      </c>
      <c r="O141" s="13">
        <f t="shared" si="26"/>
        <v>286699.68709946267</v>
      </c>
      <c r="P141" s="13">
        <f>SUM(G141:O141)</f>
        <v>1068387.5406168648</v>
      </c>
      <c r="R141" s="65"/>
      <c r="S141" s="66"/>
    </row>
    <row r="142" spans="1:19" x14ac:dyDescent="0.2">
      <c r="A142" s="72">
        <v>0.128</v>
      </c>
      <c r="B142" s="2" t="s">
        <v>93</v>
      </c>
      <c r="G142" s="13">
        <f t="shared" si="26"/>
        <v>45336.738477347288</v>
      </c>
      <c r="H142" s="13">
        <f t="shared" si="26"/>
        <v>106427.23135069732</v>
      </c>
      <c r="I142" s="13">
        <f t="shared" si="26"/>
        <v>290438.68611260923</v>
      </c>
      <c r="J142" s="13">
        <f t="shared" si="26"/>
        <v>279708.41657350835</v>
      </c>
      <c r="K142" s="13">
        <f t="shared" si="26"/>
        <v>122526.3464872701</v>
      </c>
      <c r="L142" s="13">
        <f t="shared" si="26"/>
        <v>220292.87586379464</v>
      </c>
      <c r="M142" s="13">
        <f t="shared" si="26"/>
        <v>156754.60035098536</v>
      </c>
      <c r="N142" s="13">
        <f t="shared" si="26"/>
        <v>84729.794734537805</v>
      </c>
      <c r="O142" s="13">
        <f t="shared" si="26"/>
        <v>479080.41708526399</v>
      </c>
      <c r="P142" s="13">
        <f>SUM(G142:O142)</f>
        <v>1785295.1070360141</v>
      </c>
      <c r="R142" s="65"/>
      <c r="S142" s="66"/>
    </row>
    <row r="143" spans="1:19" x14ac:dyDescent="0.2">
      <c r="F143" s="73"/>
      <c r="I143" s="73"/>
      <c r="L143" s="72"/>
      <c r="M143" s="13"/>
      <c r="N143" s="13"/>
      <c r="O143" s="13"/>
      <c r="P143" s="13"/>
      <c r="R143" s="65"/>
      <c r="S143" s="66"/>
    </row>
    <row r="144" spans="1:19" x14ac:dyDescent="0.2">
      <c r="E144" s="73"/>
      <c r="J144" s="73"/>
      <c r="L144" s="37"/>
      <c r="M144" s="37"/>
      <c r="N144" s="37"/>
      <c r="O144" s="37"/>
      <c r="P144" s="37"/>
      <c r="R144" s="65"/>
      <c r="S144" s="66"/>
    </row>
    <row r="145" spans="1:19" x14ac:dyDescent="0.2">
      <c r="G145" s="1" t="s">
        <v>94</v>
      </c>
      <c r="H145" s="13"/>
      <c r="I145" s="13"/>
      <c r="J145" s="13"/>
      <c r="K145" s="13"/>
      <c r="L145" s="13"/>
      <c r="M145" s="13"/>
      <c r="N145" s="13"/>
      <c r="O145" s="13"/>
      <c r="R145" s="65"/>
      <c r="S145" s="66"/>
    </row>
    <row r="146" spans="1:19" x14ac:dyDescent="0.2">
      <c r="F146" s="13"/>
      <c r="G146" s="13"/>
      <c r="H146" s="13"/>
      <c r="I146" s="13"/>
      <c r="J146" s="13"/>
      <c r="K146" s="13"/>
      <c r="L146" s="13"/>
      <c r="M146" s="13"/>
      <c r="N146" s="13"/>
      <c r="O146" s="13"/>
      <c r="R146" s="65"/>
      <c r="S146" s="66"/>
    </row>
    <row r="147" spans="1:19" x14ac:dyDescent="0.2">
      <c r="A147" s="1" t="s">
        <v>94</v>
      </c>
      <c r="G147" s="18" t="s">
        <v>69</v>
      </c>
      <c r="H147" s="18" t="s">
        <v>70</v>
      </c>
      <c r="I147" s="18" t="s">
        <v>71</v>
      </c>
      <c r="J147" s="18" t="s">
        <v>72</v>
      </c>
      <c r="K147" s="18" t="s">
        <v>73</v>
      </c>
      <c r="L147" s="18" t="s">
        <v>74</v>
      </c>
      <c r="M147" s="18" t="s">
        <v>75</v>
      </c>
      <c r="N147" s="18" t="s">
        <v>76</v>
      </c>
      <c r="O147" s="18" t="s">
        <v>77</v>
      </c>
      <c r="P147" s="62" t="s">
        <v>51</v>
      </c>
      <c r="R147" s="65"/>
      <c r="S147" s="66"/>
    </row>
    <row r="148" spans="1:19" x14ac:dyDescent="0.2">
      <c r="D148" s="1" t="s">
        <v>95</v>
      </c>
      <c r="E148" s="74" t="s">
        <v>78</v>
      </c>
      <c r="G148" s="2" t="s">
        <v>96</v>
      </c>
      <c r="R148" s="65"/>
      <c r="S148" s="66"/>
    </row>
    <row r="149" spans="1:19" x14ac:dyDescent="0.2">
      <c r="A149" s="2" t="s">
        <v>79</v>
      </c>
      <c r="B149" s="67">
        <v>0.77017000000000002</v>
      </c>
      <c r="C149" s="68" t="s">
        <v>80</v>
      </c>
      <c r="D149" s="13">
        <v>-1780500</v>
      </c>
      <c r="E149" s="37">
        <f>$N$89*B149+D149</f>
        <v>14807341.784545396</v>
      </c>
      <c r="G149" s="13">
        <f t="shared" ref="G149:O149" si="27">$E149*B213</f>
        <v>488946.53081183933</v>
      </c>
      <c r="H149" s="13">
        <f t="shared" si="27"/>
        <v>922289.78987780446</v>
      </c>
      <c r="I149" s="13">
        <f t="shared" si="27"/>
        <v>2789749.4094030834</v>
      </c>
      <c r="J149" s="13">
        <f t="shared" si="27"/>
        <v>2476402.1254489096</v>
      </c>
      <c r="K149" s="13">
        <f t="shared" si="27"/>
        <v>924057.38828095119</v>
      </c>
      <c r="L149" s="13">
        <f t="shared" si="27"/>
        <v>2054396.1000969002</v>
      </c>
      <c r="M149" s="13">
        <f t="shared" si="27"/>
        <v>1254454.2271621807</v>
      </c>
      <c r="N149" s="13">
        <f t="shared" si="27"/>
        <v>662978.89556854707</v>
      </c>
      <c r="O149" s="13">
        <f t="shared" si="27"/>
        <v>3234067.3178951796</v>
      </c>
      <c r="P149" s="13">
        <f>SUM(G149:O149)</f>
        <v>14807341.784545396</v>
      </c>
      <c r="R149" s="65"/>
      <c r="S149" s="66"/>
    </row>
    <row r="150" spans="1:19" x14ac:dyDescent="0.2">
      <c r="A150" s="70" t="s">
        <v>97</v>
      </c>
      <c r="B150" s="67">
        <v>0.22983000000000001</v>
      </c>
      <c r="C150" s="68" t="s">
        <v>82</v>
      </c>
      <c r="D150" s="13">
        <v>1780500</v>
      </c>
      <c r="E150" s="37">
        <f>$N$89*B150+D150-E151</f>
        <v>6383163.8173894044</v>
      </c>
      <c r="F150" s="70"/>
      <c r="G150" s="13">
        <f t="shared" ref="G150:O150" si="28">$E150*B223</f>
        <v>222772.41722689022</v>
      </c>
      <c r="H150" s="13">
        <f t="shared" si="28"/>
        <v>459013.31010847207</v>
      </c>
      <c r="I150" s="13">
        <f t="shared" si="28"/>
        <v>1201311.4304326859</v>
      </c>
      <c r="J150" s="13">
        <f t="shared" si="28"/>
        <v>991369.17247874837</v>
      </c>
      <c r="K150" s="13">
        <f t="shared" si="28"/>
        <v>443502.2220322158</v>
      </c>
      <c r="L150" s="13">
        <f t="shared" si="28"/>
        <v>887004.44406443159</v>
      </c>
      <c r="M150" s="13">
        <f t="shared" si="28"/>
        <v>560505.61480496358</v>
      </c>
      <c r="N150" s="13">
        <f t="shared" si="28"/>
        <v>315647.45076990605</v>
      </c>
      <c r="O150" s="13">
        <f t="shared" si="28"/>
        <v>1302037.7554710908</v>
      </c>
      <c r="P150" s="13">
        <f>SUM(G150:O150)</f>
        <v>6383163.8173894044</v>
      </c>
      <c r="R150" s="65"/>
      <c r="S150" s="66"/>
    </row>
    <row r="151" spans="1:19" x14ac:dyDescent="0.2">
      <c r="A151" s="2" t="s">
        <v>98</v>
      </c>
      <c r="B151" s="75">
        <v>9.4900000000000002E-3</v>
      </c>
      <c r="C151" s="2" t="s">
        <v>99</v>
      </c>
      <c r="E151" s="13">
        <f>(B17+C17)*B151</f>
        <v>347390.94628883322</v>
      </c>
      <c r="G151" s="13">
        <f t="shared" ref="G151:O151" si="29">$E151*B220</f>
        <v>8934.895138548789</v>
      </c>
      <c r="H151" s="13">
        <f t="shared" si="29"/>
        <v>23959.553565540824</v>
      </c>
      <c r="I151" s="13">
        <f t="shared" si="29"/>
        <v>50201.465648199279</v>
      </c>
      <c r="J151" s="13">
        <f t="shared" si="29"/>
        <v>47564.768365867043</v>
      </c>
      <c r="K151" s="13">
        <f t="shared" si="29"/>
        <v>22333.763936909087</v>
      </c>
      <c r="L151" s="13">
        <f t="shared" si="29"/>
        <v>44757.849519853269</v>
      </c>
      <c r="M151" s="13">
        <f t="shared" si="29"/>
        <v>27728.745332774663</v>
      </c>
      <c r="N151" s="13">
        <f t="shared" si="29"/>
        <v>12912.521473555929</v>
      </c>
      <c r="O151" s="13">
        <f t="shared" si="29"/>
        <v>108997.3833075843</v>
      </c>
      <c r="P151" s="13">
        <f>SUM(G151:O151)</f>
        <v>347390.94628883316</v>
      </c>
      <c r="R151" s="65"/>
      <c r="S151" s="66"/>
    </row>
    <row r="152" spans="1:19" x14ac:dyDescent="0.2">
      <c r="A152" s="2" t="s">
        <v>100</v>
      </c>
      <c r="B152" s="13">
        <v>0</v>
      </c>
      <c r="E152" s="13"/>
      <c r="G152" s="13">
        <f t="shared" ref="G152:O152" si="30">$B$152*B221</f>
        <v>0</v>
      </c>
      <c r="H152" s="13">
        <f t="shared" si="30"/>
        <v>0</v>
      </c>
      <c r="I152" s="13">
        <f t="shared" si="30"/>
        <v>0</v>
      </c>
      <c r="J152" s="13">
        <f t="shared" si="30"/>
        <v>0</v>
      </c>
      <c r="K152" s="13">
        <f t="shared" si="30"/>
        <v>0</v>
      </c>
      <c r="L152" s="13">
        <f t="shared" si="30"/>
        <v>0</v>
      </c>
      <c r="M152" s="13">
        <f t="shared" si="30"/>
        <v>0</v>
      </c>
      <c r="N152" s="13">
        <f t="shared" si="30"/>
        <v>0</v>
      </c>
      <c r="O152" s="13">
        <f t="shared" si="30"/>
        <v>0</v>
      </c>
      <c r="P152" s="13">
        <f>SUM(G152:O152)</f>
        <v>0</v>
      </c>
      <c r="R152" s="65"/>
      <c r="S152" s="66"/>
    </row>
    <row r="153" spans="1:19" x14ac:dyDescent="0.2">
      <c r="B153" s="76"/>
      <c r="E153" s="13"/>
      <c r="G153" s="13">
        <f>SUM(G149:G152)</f>
        <v>720653.84317727841</v>
      </c>
      <c r="H153" s="13">
        <f t="shared" ref="H153:O153" si="31">SUM(H149:H152)</f>
        <v>1405262.6535518174</v>
      </c>
      <c r="I153" s="13">
        <f t="shared" si="31"/>
        <v>4041262.3054839689</v>
      </c>
      <c r="J153" s="13">
        <f t="shared" si="31"/>
        <v>3515336.066293525</v>
      </c>
      <c r="K153" s="13">
        <f t="shared" si="31"/>
        <v>1389893.374250076</v>
      </c>
      <c r="L153" s="13">
        <f t="shared" si="31"/>
        <v>2986158.3936811853</v>
      </c>
      <c r="M153" s="13">
        <f t="shared" si="31"/>
        <v>1842688.587299919</v>
      </c>
      <c r="N153" s="13">
        <f t="shared" si="31"/>
        <v>991538.86781200906</v>
      </c>
      <c r="O153" s="13">
        <f t="shared" si="31"/>
        <v>4645102.456673855</v>
      </c>
      <c r="P153" s="13">
        <f>SUM(G153:O153)</f>
        <v>21537896.548223637</v>
      </c>
      <c r="R153" s="65"/>
      <c r="S153" s="66"/>
    </row>
    <row r="154" spans="1:19" ht="12.75" x14ac:dyDescent="0.2">
      <c r="A154" s="3"/>
      <c r="B154" s="77"/>
      <c r="E154" s="13"/>
      <c r="F154" s="3"/>
      <c r="G154" s="13"/>
      <c r="H154" s="13"/>
      <c r="I154" s="13"/>
      <c r="J154" s="13"/>
      <c r="K154" s="13"/>
      <c r="L154" s="13"/>
      <c r="M154" s="13"/>
      <c r="N154" s="13"/>
      <c r="O154" s="13"/>
      <c r="P154" s="13"/>
      <c r="R154" s="65"/>
      <c r="S154" s="66"/>
    </row>
    <row r="155" spans="1:19" x14ac:dyDescent="0.2">
      <c r="A155" s="1" t="s">
        <v>83</v>
      </c>
      <c r="B155" s="67"/>
      <c r="E155" s="13"/>
      <c r="G155" s="18" t="s">
        <v>69</v>
      </c>
      <c r="H155" s="18" t="s">
        <v>70</v>
      </c>
      <c r="I155" s="18" t="s">
        <v>71</v>
      </c>
      <c r="J155" s="18" t="s">
        <v>72</v>
      </c>
      <c r="K155" s="18" t="s">
        <v>73</v>
      </c>
      <c r="L155" s="18" t="s">
        <v>74</v>
      </c>
      <c r="M155" s="18" t="s">
        <v>75</v>
      </c>
      <c r="N155" s="18" t="s">
        <v>76</v>
      </c>
      <c r="O155" s="18" t="s">
        <v>77</v>
      </c>
      <c r="P155" s="62" t="s">
        <v>51</v>
      </c>
      <c r="R155" s="65"/>
      <c r="S155" s="66"/>
    </row>
    <row r="156" spans="1:19" x14ac:dyDescent="0.2">
      <c r="B156" s="67"/>
      <c r="E156" s="13"/>
      <c r="G156" s="1" t="s">
        <v>83</v>
      </c>
      <c r="H156" s="13"/>
      <c r="I156" s="13"/>
      <c r="J156" s="13"/>
      <c r="K156" s="13"/>
      <c r="L156" s="13"/>
      <c r="M156" s="13"/>
      <c r="N156" s="13"/>
      <c r="O156" s="13"/>
      <c r="P156" s="13"/>
      <c r="R156" s="65"/>
      <c r="S156" s="66"/>
    </row>
    <row r="157" spans="1:19" x14ac:dyDescent="0.2">
      <c r="A157" s="2" t="s">
        <v>18</v>
      </c>
      <c r="B157" s="67"/>
      <c r="E157" s="13">
        <f t="shared" ref="E157:E163" si="32">N53</f>
        <v>977973.17451712291</v>
      </c>
      <c r="G157" s="13">
        <f t="shared" ref="G157:O162" si="33">$E157*$B$149*B$213+$E157*$B$150*B$223</f>
        <v>32715.649544705702</v>
      </c>
      <c r="H157" s="13">
        <f t="shared" si="33"/>
        <v>63077.185000602753</v>
      </c>
      <c r="I157" s="13">
        <f t="shared" si="33"/>
        <v>184207.54349583239</v>
      </c>
      <c r="J157" s="13">
        <f t="shared" si="33"/>
        <v>160875.89013242198</v>
      </c>
      <c r="K157" s="13">
        <f t="shared" si="33"/>
        <v>62620.912287146173</v>
      </c>
      <c r="L157" s="13">
        <f t="shared" si="33"/>
        <v>135734.74425462028</v>
      </c>
      <c r="M157" s="13">
        <f t="shared" si="33"/>
        <v>83547.210101240038</v>
      </c>
      <c r="N157" s="13">
        <f t="shared" si="33"/>
        <v>44838.528463201808</v>
      </c>
      <c r="O157" s="13">
        <f t="shared" si="33"/>
        <v>210355.51123735184</v>
      </c>
      <c r="P157" s="13">
        <f t="shared" ref="P157:P190" si="34">SUM(G157:O157)</f>
        <v>977973.17451712303</v>
      </c>
      <c r="R157" s="65"/>
      <c r="S157" s="66"/>
    </row>
    <row r="158" spans="1:19" x14ac:dyDescent="0.2">
      <c r="A158" s="2" t="s">
        <v>20</v>
      </c>
      <c r="B158" s="67"/>
      <c r="E158" s="13">
        <f t="shared" si="32"/>
        <v>7796650.5320425443</v>
      </c>
      <c r="G158" s="13">
        <f t="shared" si="33"/>
        <v>260817.46726313827</v>
      </c>
      <c r="H158" s="13">
        <f t="shared" si="33"/>
        <v>502867.33911440725</v>
      </c>
      <c r="I158" s="13">
        <f t="shared" si="33"/>
        <v>1468549.3216234283</v>
      </c>
      <c r="J158" s="13">
        <f t="shared" si="33"/>
        <v>1282543.4552569161</v>
      </c>
      <c r="K158" s="13">
        <f t="shared" si="33"/>
        <v>499229.81715897715</v>
      </c>
      <c r="L158" s="13">
        <f t="shared" si="33"/>
        <v>1082111.8549923119</v>
      </c>
      <c r="M158" s="13">
        <f t="shared" si="33"/>
        <v>666059.57817618898</v>
      </c>
      <c r="N158" s="13">
        <f t="shared" si="33"/>
        <v>357464.13695982855</v>
      </c>
      <c r="O158" s="13">
        <f t="shared" si="33"/>
        <v>1677007.5614973479</v>
      </c>
      <c r="P158" s="13">
        <f t="shared" si="34"/>
        <v>7796650.5320425443</v>
      </c>
      <c r="R158" s="65"/>
      <c r="S158" s="66"/>
    </row>
    <row r="159" spans="1:19" x14ac:dyDescent="0.2">
      <c r="A159" s="2" t="s">
        <v>22</v>
      </c>
      <c r="B159" s="67"/>
      <c r="E159" s="13">
        <f t="shared" si="32"/>
        <v>755884.15695789189</v>
      </c>
      <c r="G159" s="13">
        <f t="shared" si="33"/>
        <v>25286.21624784324</v>
      </c>
      <c r="H159" s="13">
        <f t="shared" si="33"/>
        <v>48752.916797538193</v>
      </c>
      <c r="I159" s="13">
        <f t="shared" si="33"/>
        <v>142375.64725574543</v>
      </c>
      <c r="J159" s="13">
        <f t="shared" si="33"/>
        <v>124342.40504361311</v>
      </c>
      <c r="K159" s="13">
        <f t="shared" si="33"/>
        <v>48400.25956281976</v>
      </c>
      <c r="L159" s="13">
        <f t="shared" si="33"/>
        <v>104910.58998776488</v>
      </c>
      <c r="M159" s="13">
        <f t="shared" si="33"/>
        <v>64574.38109664018</v>
      </c>
      <c r="N159" s="13">
        <f t="shared" si="33"/>
        <v>34656.097089139861</v>
      </c>
      <c r="O159" s="13">
        <f t="shared" si="33"/>
        <v>162585.64387678722</v>
      </c>
      <c r="P159" s="13">
        <f t="shared" si="34"/>
        <v>755884.15695789177</v>
      </c>
      <c r="R159" s="65"/>
      <c r="S159" s="66"/>
    </row>
    <row r="160" spans="1:19" x14ac:dyDescent="0.2">
      <c r="A160" s="2" t="s">
        <v>23</v>
      </c>
      <c r="B160" s="67"/>
      <c r="E160" s="13">
        <f t="shared" si="32"/>
        <v>599857.67089629243</v>
      </c>
      <c r="G160" s="13">
        <f t="shared" si="33"/>
        <v>20066.739915883973</v>
      </c>
      <c r="H160" s="13">
        <f t="shared" si="33"/>
        <v>38689.541049874315</v>
      </c>
      <c r="I160" s="13">
        <f t="shared" si="33"/>
        <v>112987.05412599517</v>
      </c>
      <c r="J160" s="13">
        <f t="shared" si="33"/>
        <v>98676.15929838868</v>
      </c>
      <c r="K160" s="13">
        <f t="shared" si="33"/>
        <v>38409.677865157886</v>
      </c>
      <c r="L160" s="13">
        <f t="shared" si="33"/>
        <v>83255.379257700552</v>
      </c>
      <c r="M160" s="13">
        <f t="shared" si="33"/>
        <v>51245.204027153588</v>
      </c>
      <c r="N160" s="13">
        <f t="shared" si="33"/>
        <v>27502.528649248168</v>
      </c>
      <c r="O160" s="13">
        <f t="shared" si="33"/>
        <v>129025.38670689013</v>
      </c>
      <c r="P160" s="13">
        <f t="shared" si="34"/>
        <v>599857.67089629255</v>
      </c>
      <c r="R160" s="65"/>
      <c r="S160" s="66"/>
    </row>
    <row r="161" spans="1:19" x14ac:dyDescent="0.2">
      <c r="A161" s="2" t="s">
        <v>24</v>
      </c>
      <c r="B161" s="67"/>
      <c r="E161" s="13">
        <f t="shared" si="32"/>
        <v>0</v>
      </c>
      <c r="G161" s="13">
        <f t="shared" si="33"/>
        <v>0</v>
      </c>
      <c r="H161" s="13">
        <f t="shared" si="33"/>
        <v>0</v>
      </c>
      <c r="I161" s="13">
        <f t="shared" si="33"/>
        <v>0</v>
      </c>
      <c r="J161" s="13">
        <f t="shared" si="33"/>
        <v>0</v>
      </c>
      <c r="K161" s="13">
        <f t="shared" si="33"/>
        <v>0</v>
      </c>
      <c r="L161" s="13">
        <f t="shared" si="33"/>
        <v>0</v>
      </c>
      <c r="M161" s="13">
        <f t="shared" si="33"/>
        <v>0</v>
      </c>
      <c r="N161" s="13">
        <f t="shared" si="33"/>
        <v>0</v>
      </c>
      <c r="O161" s="13">
        <f t="shared" si="33"/>
        <v>0</v>
      </c>
      <c r="P161" s="13">
        <f>SUM(G161:O161)</f>
        <v>0</v>
      </c>
      <c r="R161" s="65"/>
      <c r="S161" s="66"/>
    </row>
    <row r="162" spans="1:19" x14ac:dyDescent="0.2">
      <c r="A162" s="2" t="s">
        <v>25</v>
      </c>
      <c r="B162" s="67"/>
      <c r="E162" s="13">
        <f t="shared" si="32"/>
        <v>2397681.9661467075</v>
      </c>
      <c r="G162" s="13">
        <f t="shared" si="33"/>
        <v>80208.460689985106</v>
      </c>
      <c r="H162" s="13">
        <f t="shared" si="33"/>
        <v>154645.37565247586</v>
      </c>
      <c r="I162" s="13">
        <f t="shared" si="33"/>
        <v>451618.83431641047</v>
      </c>
      <c r="J162" s="13">
        <f t="shared" si="33"/>
        <v>394416.97442137124</v>
      </c>
      <c r="K162" s="13">
        <f t="shared" si="33"/>
        <v>153526.73877653107</v>
      </c>
      <c r="L162" s="13">
        <f t="shared" si="33"/>
        <v>332778.80923424079</v>
      </c>
      <c r="M162" s="13">
        <f t="shared" si="33"/>
        <v>204831.42503425179</v>
      </c>
      <c r="N162" s="13">
        <f t="shared" si="33"/>
        <v>109929.93865895912</v>
      </c>
      <c r="O162" s="13">
        <f t="shared" si="33"/>
        <v>515725.40936248231</v>
      </c>
      <c r="P162" s="13">
        <f t="shared" si="34"/>
        <v>2397681.966146708</v>
      </c>
      <c r="R162" s="65"/>
      <c r="S162" s="66"/>
    </row>
    <row r="163" spans="1:19" x14ac:dyDescent="0.2">
      <c r="A163" s="2" t="s">
        <v>26</v>
      </c>
      <c r="B163" s="67"/>
      <c r="E163" s="13">
        <f t="shared" si="32"/>
        <v>6353009.9869842175</v>
      </c>
      <c r="G163" s="13">
        <f t="shared" ref="G163:O163" si="35">($E163*$B$149+$D$149)*B$213+($E163*$B$150+$D$150-$E$151)*B$223+G151</f>
        <v>212681.39561100618</v>
      </c>
      <c r="H163" s="13">
        <f t="shared" si="35"/>
        <v>425869.84013503673</v>
      </c>
      <c r="I163" s="13">
        <f t="shared" si="35"/>
        <v>1181091.1631723184</v>
      </c>
      <c r="J163" s="13">
        <f t="shared" si="35"/>
        <v>1017433.0503898184</v>
      </c>
      <c r="K163" s="13">
        <f t="shared" si="35"/>
        <v>417585.05923811934</v>
      </c>
      <c r="L163" s="13">
        <f t="shared" si="35"/>
        <v>878619.30402984074</v>
      </c>
      <c r="M163" s="13">
        <f t="shared" si="35"/>
        <v>545459.8483605634</v>
      </c>
      <c r="N163" s="13">
        <f t="shared" si="35"/>
        <v>295335.75506016426</v>
      </c>
      <c r="O163" s="13">
        <f t="shared" si="35"/>
        <v>1378934.5709873501</v>
      </c>
      <c r="P163" s="13">
        <f t="shared" si="34"/>
        <v>6353009.9869842185</v>
      </c>
      <c r="R163" s="65"/>
      <c r="S163" s="66"/>
    </row>
    <row r="164" spans="1:19" x14ac:dyDescent="0.2">
      <c r="A164" s="2" t="s">
        <v>100</v>
      </c>
      <c r="B164" s="13">
        <v>0</v>
      </c>
      <c r="E164" s="13"/>
      <c r="G164" s="13">
        <f t="shared" ref="G164:O164" si="36">$B$164*B221</f>
        <v>0</v>
      </c>
      <c r="H164" s="13">
        <f t="shared" si="36"/>
        <v>0</v>
      </c>
      <c r="I164" s="13">
        <f t="shared" si="36"/>
        <v>0</v>
      </c>
      <c r="J164" s="13">
        <f t="shared" si="36"/>
        <v>0</v>
      </c>
      <c r="K164" s="13">
        <f t="shared" si="36"/>
        <v>0</v>
      </c>
      <c r="L164" s="13">
        <f t="shared" si="36"/>
        <v>0</v>
      </c>
      <c r="M164" s="13">
        <f t="shared" si="36"/>
        <v>0</v>
      </c>
      <c r="N164" s="13">
        <f t="shared" si="36"/>
        <v>0</v>
      </c>
      <c r="O164" s="13">
        <f t="shared" si="36"/>
        <v>0</v>
      </c>
      <c r="P164" s="13">
        <f t="shared" si="34"/>
        <v>0</v>
      </c>
      <c r="R164" s="65"/>
      <c r="S164" s="66"/>
    </row>
    <row r="165" spans="1:19" x14ac:dyDescent="0.2">
      <c r="A165" s="2" t="s">
        <v>27</v>
      </c>
      <c r="B165" s="67"/>
      <c r="E165" s="13">
        <f>N60</f>
        <v>36138.929083883399</v>
      </c>
      <c r="G165" s="13">
        <f t="shared" ref="G165:O165" si="37">$E165*$B$149*B$213+$E165*$B$150*B$223</f>
        <v>1208.9375962823005</v>
      </c>
      <c r="H165" s="13">
        <f t="shared" si="37"/>
        <v>2330.8838881734223</v>
      </c>
      <c r="I165" s="13">
        <f t="shared" si="37"/>
        <v>6806.9999510970192</v>
      </c>
      <c r="J165" s="13">
        <f t="shared" si="37"/>
        <v>5944.8280753435138</v>
      </c>
      <c r="K165" s="13">
        <f t="shared" si="37"/>
        <v>2314.0232956089485</v>
      </c>
      <c r="L165" s="13">
        <f t="shared" si="37"/>
        <v>5015.7902329568315</v>
      </c>
      <c r="M165" s="13">
        <f t="shared" si="37"/>
        <v>3087.3103472350472</v>
      </c>
      <c r="N165" s="13">
        <f t="shared" si="37"/>
        <v>1656.9129323587251</v>
      </c>
      <c r="O165" s="13">
        <f t="shared" si="37"/>
        <v>7773.242764827588</v>
      </c>
      <c r="P165" s="13">
        <f>SUM(G165:O165)</f>
        <v>36138.929083883399</v>
      </c>
      <c r="R165" s="65"/>
      <c r="S165" s="66"/>
    </row>
    <row r="166" spans="1:19" x14ac:dyDescent="0.2">
      <c r="B166" s="67"/>
      <c r="E166" s="13"/>
      <c r="G166" s="13"/>
      <c r="H166" s="13"/>
      <c r="I166" s="13"/>
      <c r="J166" s="13"/>
      <c r="K166" s="13"/>
      <c r="L166" s="13"/>
      <c r="M166" s="13"/>
      <c r="N166" s="13"/>
      <c r="O166" s="13"/>
      <c r="P166" s="13"/>
      <c r="R166" s="65"/>
      <c r="S166" s="66"/>
    </row>
    <row r="167" spans="1:19" x14ac:dyDescent="0.2">
      <c r="A167" s="2" t="s">
        <v>29</v>
      </c>
      <c r="B167" s="67"/>
      <c r="E167" s="13">
        <f>N62</f>
        <v>373.45564349069997</v>
      </c>
      <c r="G167" s="13">
        <f t="shared" ref="G167:O168" si="38">$E167*$B$149*B$213+$E167*$B$150*B$223</f>
        <v>12.493025648650219</v>
      </c>
      <c r="H167" s="13">
        <f t="shared" si="38"/>
        <v>24.087092905808113</v>
      </c>
      <c r="I167" s="13">
        <f t="shared" si="38"/>
        <v>70.342774714699203</v>
      </c>
      <c r="J167" s="13">
        <f t="shared" si="38"/>
        <v>61.433187164062531</v>
      </c>
      <c r="K167" s="13">
        <f t="shared" si="38"/>
        <v>23.912857431613936</v>
      </c>
      <c r="L167" s="13">
        <f t="shared" si="38"/>
        <v>51.832614207116258</v>
      </c>
      <c r="M167" s="13">
        <f t="shared" si="38"/>
        <v>31.903919169988459</v>
      </c>
      <c r="N167" s="13">
        <f t="shared" si="38"/>
        <v>17.12235257236896</v>
      </c>
      <c r="O167" s="13">
        <f t="shared" si="38"/>
        <v>80.327819676392309</v>
      </c>
      <c r="P167" s="13">
        <f>SUM(G167:O167)</f>
        <v>373.45564349070003</v>
      </c>
      <c r="R167" s="65"/>
      <c r="S167" s="66"/>
    </row>
    <row r="168" spans="1:19" x14ac:dyDescent="0.2">
      <c r="A168" s="2" t="s">
        <v>30</v>
      </c>
      <c r="B168" s="67"/>
      <c r="E168" s="13">
        <f>N63</f>
        <v>29332.557175402802</v>
      </c>
      <c r="G168" s="13">
        <f t="shared" si="38"/>
        <v>981.24742662225117</v>
      </c>
      <c r="H168" s="13">
        <f t="shared" si="38"/>
        <v>1891.8874092913534</v>
      </c>
      <c r="I168" s="13">
        <f t="shared" si="38"/>
        <v>5524.9759835180412</v>
      </c>
      <c r="J168" s="13">
        <f t="shared" si="38"/>
        <v>4825.184747815867</v>
      </c>
      <c r="K168" s="13">
        <f t="shared" si="38"/>
        <v>1878.2023248700455</v>
      </c>
      <c r="L168" s="13">
        <f t="shared" si="38"/>
        <v>4071.1210187367128</v>
      </c>
      <c r="M168" s="13">
        <f t="shared" si="38"/>
        <v>2505.8492206087667</v>
      </c>
      <c r="N168" s="13">
        <f t="shared" si="38"/>
        <v>1344.8515093036074</v>
      </c>
      <c r="O168" s="13">
        <f t="shared" si="38"/>
        <v>6309.2375346361569</v>
      </c>
      <c r="P168" s="13">
        <f>SUM(G168:O168)</f>
        <v>29332.557175402799</v>
      </c>
      <c r="R168" s="65"/>
      <c r="S168" s="66"/>
    </row>
    <row r="169" spans="1:19" x14ac:dyDescent="0.2">
      <c r="R169" s="65"/>
      <c r="S169" s="66"/>
    </row>
    <row r="170" spans="1:19" x14ac:dyDescent="0.2">
      <c r="A170" s="2" t="s">
        <v>31</v>
      </c>
      <c r="B170" s="67"/>
      <c r="E170" s="13">
        <f t="shared" ref="E170:E190" si="39">N65</f>
        <v>745433.02881261951</v>
      </c>
      <c r="G170" s="13">
        <f t="shared" ref="G170:O170" si="40">$E170*$B$149*B$213+$E170*$B$150*B$223</f>
        <v>24936.599863000825</v>
      </c>
      <c r="H170" s="13">
        <f t="shared" si="40"/>
        <v>48078.841310948446</v>
      </c>
      <c r="I170" s="13">
        <f t="shared" si="40"/>
        <v>140407.10998645751</v>
      </c>
      <c r="J170" s="13">
        <f t="shared" si="40"/>
        <v>122623.20191302738</v>
      </c>
      <c r="K170" s="13">
        <f t="shared" si="40"/>
        <v>47731.060042894314</v>
      </c>
      <c r="L170" s="13">
        <f t="shared" si="40"/>
        <v>103460.05817060002</v>
      </c>
      <c r="M170" s="13">
        <f t="shared" si="40"/>
        <v>63681.552313908818</v>
      </c>
      <c r="N170" s="13">
        <f t="shared" si="40"/>
        <v>34176.929337891735</v>
      </c>
      <c r="O170" s="13">
        <f t="shared" si="40"/>
        <v>160337.67587389049</v>
      </c>
      <c r="P170" s="13">
        <f t="shared" ref="P170:P176" si="41">SUM(G170:O170)</f>
        <v>745433.02881261962</v>
      </c>
      <c r="R170" s="65"/>
      <c r="S170" s="66"/>
    </row>
    <row r="171" spans="1:19" x14ac:dyDescent="0.2">
      <c r="A171" s="2" t="s">
        <v>32</v>
      </c>
      <c r="B171" s="69" t="s">
        <v>84</v>
      </c>
      <c r="C171" s="2" t="s">
        <v>101</v>
      </c>
      <c r="E171" s="13">
        <f t="shared" si="39"/>
        <v>71.570466542700004</v>
      </c>
      <c r="G171" s="13">
        <f t="shared" ref="G171:O171" si="42">$E171*B217</f>
        <v>0</v>
      </c>
      <c r="H171" s="13">
        <f t="shared" si="42"/>
        <v>0.42075620400000002</v>
      </c>
      <c r="I171" s="13">
        <f t="shared" si="42"/>
        <v>2.2070514777000003</v>
      </c>
      <c r="J171" s="13">
        <f t="shared" si="42"/>
        <v>4.8298190613000003</v>
      </c>
      <c r="K171" s="13">
        <f t="shared" si="42"/>
        <v>0</v>
      </c>
      <c r="L171" s="13">
        <f t="shared" si="42"/>
        <v>15.104628146699998</v>
      </c>
      <c r="M171" s="13">
        <f t="shared" si="42"/>
        <v>23.197139449200002</v>
      </c>
      <c r="N171" s="13">
        <f t="shared" si="42"/>
        <v>21.925536648300003</v>
      </c>
      <c r="O171" s="13">
        <f t="shared" si="42"/>
        <v>3.8855355555000002</v>
      </c>
      <c r="P171" s="13">
        <f t="shared" si="41"/>
        <v>71.570466542700004</v>
      </c>
      <c r="R171" s="65"/>
      <c r="S171" s="66"/>
    </row>
    <row r="172" spans="1:19" x14ac:dyDescent="0.2">
      <c r="A172" s="2" t="s">
        <v>33</v>
      </c>
      <c r="B172" s="69"/>
      <c r="E172" s="13">
        <f t="shared" si="39"/>
        <v>10993.469373120301</v>
      </c>
      <c r="G172" s="13">
        <f t="shared" ref="G172:O173" si="43">$E172*$B$149*B$213+$E172*$B$150*B$223</f>
        <v>367.75905583406382</v>
      </c>
      <c r="H172" s="13">
        <f t="shared" si="43"/>
        <v>709.055339671414</v>
      </c>
      <c r="I172" s="13">
        <f t="shared" si="43"/>
        <v>2070.6907310817069</v>
      </c>
      <c r="J172" s="13">
        <f t="shared" si="43"/>
        <v>1808.4178759989927</v>
      </c>
      <c r="K172" s="13">
        <f t="shared" si="43"/>
        <v>703.9263440794316</v>
      </c>
      <c r="L172" s="13">
        <f t="shared" si="43"/>
        <v>1525.8043806449609</v>
      </c>
      <c r="M172" s="13">
        <f t="shared" si="43"/>
        <v>939.16041808726345</v>
      </c>
      <c r="N172" s="13">
        <f t="shared" si="43"/>
        <v>504.03324164732646</v>
      </c>
      <c r="O172" s="13">
        <f t="shared" si="43"/>
        <v>2364.6219860751416</v>
      </c>
      <c r="P172" s="13">
        <f t="shared" si="41"/>
        <v>10993.469373120301</v>
      </c>
      <c r="R172" s="65"/>
      <c r="S172" s="66"/>
    </row>
    <row r="173" spans="1:19" x14ac:dyDescent="0.2">
      <c r="A173" s="2" t="s">
        <v>34</v>
      </c>
      <c r="B173" s="69"/>
      <c r="E173" s="13">
        <f t="shared" si="39"/>
        <v>18263.653110923999</v>
      </c>
      <c r="G173" s="13">
        <f t="shared" si="43"/>
        <v>610.96489162709861</v>
      </c>
      <c r="H173" s="13">
        <f t="shared" si="43"/>
        <v>1177.9666928322447</v>
      </c>
      <c r="I173" s="13">
        <f t="shared" si="43"/>
        <v>3440.0766426793462</v>
      </c>
      <c r="J173" s="13">
        <f t="shared" si="43"/>
        <v>3004.3579188564263</v>
      </c>
      <c r="K173" s="13">
        <f t="shared" si="43"/>
        <v>1169.4457980064071</v>
      </c>
      <c r="L173" s="13">
        <f t="shared" si="43"/>
        <v>2534.8469147841288</v>
      </c>
      <c r="M173" s="13">
        <f t="shared" si="43"/>
        <v>1560.2444969187829</v>
      </c>
      <c r="N173" s="13">
        <f t="shared" si="43"/>
        <v>837.35970596591437</v>
      </c>
      <c r="O173" s="13">
        <f t="shared" si="43"/>
        <v>3928.3900492536495</v>
      </c>
      <c r="P173" s="13">
        <f t="shared" si="41"/>
        <v>18263.653110923999</v>
      </c>
      <c r="R173" s="65"/>
      <c r="S173" s="66"/>
    </row>
    <row r="174" spans="1:19" x14ac:dyDescent="0.2">
      <c r="A174" s="2" t="s">
        <v>63</v>
      </c>
      <c r="B174" s="69" t="s">
        <v>84</v>
      </c>
      <c r="C174" s="2" t="s">
        <v>102</v>
      </c>
      <c r="E174" s="13">
        <f t="shared" si="39"/>
        <v>0</v>
      </c>
      <c r="G174" s="13">
        <f t="shared" ref="G174:O174" si="44">$E$174*B213</f>
        <v>0</v>
      </c>
      <c r="H174" s="13">
        <f t="shared" si="44"/>
        <v>0</v>
      </c>
      <c r="I174" s="13">
        <f t="shared" si="44"/>
        <v>0</v>
      </c>
      <c r="J174" s="13">
        <f t="shared" si="44"/>
        <v>0</v>
      </c>
      <c r="K174" s="13">
        <f t="shared" si="44"/>
        <v>0</v>
      </c>
      <c r="L174" s="13">
        <f t="shared" si="44"/>
        <v>0</v>
      </c>
      <c r="M174" s="13">
        <f t="shared" si="44"/>
        <v>0</v>
      </c>
      <c r="N174" s="13">
        <f t="shared" si="44"/>
        <v>0</v>
      </c>
      <c r="O174" s="13">
        <f t="shared" si="44"/>
        <v>0</v>
      </c>
      <c r="P174" s="13">
        <f t="shared" si="41"/>
        <v>0</v>
      </c>
      <c r="R174" s="65"/>
      <c r="S174" s="66"/>
    </row>
    <row r="175" spans="1:19" x14ac:dyDescent="0.2">
      <c r="A175" s="2" t="s">
        <v>36</v>
      </c>
      <c r="B175" s="69" t="s">
        <v>84</v>
      </c>
      <c r="C175" s="68" t="s">
        <v>85</v>
      </c>
      <c r="E175" s="13">
        <f t="shared" si="39"/>
        <v>7251.0018482136011</v>
      </c>
      <c r="G175" s="13">
        <f>$E175*B215</f>
        <v>164.46887297800001</v>
      </c>
      <c r="H175" s="13">
        <f t="shared" ref="H175:O175" si="45">$E175*C215</f>
        <v>378.6880483832</v>
      </c>
      <c r="I175" s="13">
        <f t="shared" si="45"/>
        <v>1091.991997226</v>
      </c>
      <c r="J175" s="13">
        <f t="shared" si="45"/>
        <v>937.41419778160014</v>
      </c>
      <c r="K175" s="13">
        <f t="shared" si="45"/>
        <v>640.98468334440008</v>
      </c>
      <c r="L175" s="13">
        <f t="shared" si="45"/>
        <v>823.4290207544002</v>
      </c>
      <c r="M175" s="13">
        <f t="shared" si="45"/>
        <v>856.49874716559998</v>
      </c>
      <c r="N175" s="13">
        <f t="shared" si="45"/>
        <v>428.60111274920013</v>
      </c>
      <c r="O175" s="13">
        <f t="shared" si="45"/>
        <v>1928.9251678312003</v>
      </c>
      <c r="P175" s="13">
        <f t="shared" si="41"/>
        <v>7251.0018482136011</v>
      </c>
      <c r="R175" s="65"/>
      <c r="S175" s="66"/>
    </row>
    <row r="176" spans="1:19" x14ac:dyDescent="0.2">
      <c r="A176" s="2" t="s">
        <v>37</v>
      </c>
      <c r="B176" s="53"/>
      <c r="E176" s="13">
        <f t="shared" si="39"/>
        <v>0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0</v>
      </c>
      <c r="O176" s="13">
        <v>0</v>
      </c>
      <c r="P176" s="13">
        <f t="shared" si="41"/>
        <v>0</v>
      </c>
      <c r="R176" s="65"/>
      <c r="S176" s="66"/>
    </row>
    <row r="177" spans="1:19" x14ac:dyDescent="0.2">
      <c r="A177" s="2" t="s">
        <v>38</v>
      </c>
      <c r="B177" s="67"/>
      <c r="E177" s="13">
        <f t="shared" si="39"/>
        <v>11660.4358795152</v>
      </c>
      <c r="G177" s="13">
        <f t="shared" ref="G177:O180" si="46">$E177*$B$149*B$213+$E177*$B$150*B$223</f>
        <v>390.07075420150227</v>
      </c>
      <c r="H177" s="13">
        <f t="shared" si="46"/>
        <v>752.07325755433453</v>
      </c>
      <c r="I177" s="13">
        <f t="shared" si="46"/>
        <v>2196.3181664126037</v>
      </c>
      <c r="J177" s="13">
        <f t="shared" si="46"/>
        <v>1918.133390903346</v>
      </c>
      <c r="K177" s="13">
        <f t="shared" si="46"/>
        <v>746.63308919648603</v>
      </c>
      <c r="L177" s="13">
        <f t="shared" si="46"/>
        <v>1618.3739219481863</v>
      </c>
      <c r="M177" s="13">
        <f t="shared" si="46"/>
        <v>996.13865868959715</v>
      </c>
      <c r="N177" s="13">
        <f t="shared" si="46"/>
        <v>534.61260461989059</v>
      </c>
      <c r="O177" s="13">
        <f t="shared" si="46"/>
        <v>2508.0820359892541</v>
      </c>
      <c r="P177" s="13">
        <f t="shared" si="34"/>
        <v>11660.4358795152</v>
      </c>
      <c r="R177" s="65"/>
      <c r="S177" s="66"/>
    </row>
    <row r="178" spans="1:19" x14ac:dyDescent="0.2">
      <c r="A178" s="2" t="s">
        <v>39</v>
      </c>
      <c r="B178" s="67"/>
      <c r="E178" s="13">
        <f t="shared" si="39"/>
        <v>586768.6135333986</v>
      </c>
      <c r="G178" s="13">
        <f t="shared" si="46"/>
        <v>19628.87819869892</v>
      </c>
      <c r="H178" s="13">
        <f t="shared" si="46"/>
        <v>37845.324752049564</v>
      </c>
      <c r="I178" s="13">
        <f t="shared" si="46"/>
        <v>110521.64590589222</v>
      </c>
      <c r="J178" s="13">
        <f t="shared" si="46"/>
        <v>96523.018691756413</v>
      </c>
      <c r="K178" s="13">
        <f t="shared" si="46"/>
        <v>37571.5682580637</v>
      </c>
      <c r="L178" s="13">
        <f t="shared" si="46"/>
        <v>81438.724261449082</v>
      </c>
      <c r="M178" s="13">
        <f t="shared" si="46"/>
        <v>50127.019751736399</v>
      </c>
      <c r="N178" s="13">
        <f t="shared" si="46"/>
        <v>26902.41600156499</v>
      </c>
      <c r="O178" s="13">
        <f t="shared" si="46"/>
        <v>126210.01771218736</v>
      </c>
      <c r="P178" s="13">
        <f t="shared" si="34"/>
        <v>586768.6135333986</v>
      </c>
      <c r="R178" s="65"/>
      <c r="S178" s="66"/>
    </row>
    <row r="179" spans="1:19" x14ac:dyDescent="0.2">
      <c r="A179" s="2" t="s">
        <v>40</v>
      </c>
      <c r="B179" s="67"/>
      <c r="E179" s="13">
        <f t="shared" si="39"/>
        <v>438795.04555687343</v>
      </c>
      <c r="G179" s="13">
        <f t="shared" si="46"/>
        <v>14678.792124824789</v>
      </c>
      <c r="H179" s="13">
        <f t="shared" si="46"/>
        <v>28301.345054382386</v>
      </c>
      <c r="I179" s="13">
        <f t="shared" si="46"/>
        <v>82649.87174119908</v>
      </c>
      <c r="J179" s="13">
        <f t="shared" si="46"/>
        <v>72181.472231601292</v>
      </c>
      <c r="K179" s="13">
        <f t="shared" si="46"/>
        <v>28096.625526992088</v>
      </c>
      <c r="L179" s="13">
        <f t="shared" si="46"/>
        <v>60901.193244144415</v>
      </c>
      <c r="M179" s="13">
        <f t="shared" si="46"/>
        <v>37485.794925432725</v>
      </c>
      <c r="N179" s="13">
        <f t="shared" si="46"/>
        <v>20118.061161982641</v>
      </c>
      <c r="O179" s="13">
        <f t="shared" si="46"/>
        <v>94381.889546314022</v>
      </c>
      <c r="P179" s="13">
        <f t="shared" si="34"/>
        <v>438795.04555687343</v>
      </c>
      <c r="R179" s="65"/>
      <c r="S179" s="66"/>
    </row>
    <row r="180" spans="1:19" x14ac:dyDescent="0.2">
      <c r="A180" s="2" t="s">
        <v>41</v>
      </c>
      <c r="B180" s="67"/>
      <c r="E180" s="13">
        <f t="shared" si="39"/>
        <v>0</v>
      </c>
      <c r="G180" s="13">
        <f t="shared" si="46"/>
        <v>0</v>
      </c>
      <c r="H180" s="13">
        <f t="shared" si="46"/>
        <v>0</v>
      </c>
      <c r="I180" s="13">
        <f t="shared" si="46"/>
        <v>0</v>
      </c>
      <c r="J180" s="13">
        <f t="shared" si="46"/>
        <v>0</v>
      </c>
      <c r="K180" s="13">
        <f t="shared" si="46"/>
        <v>0</v>
      </c>
      <c r="L180" s="13">
        <f t="shared" si="46"/>
        <v>0</v>
      </c>
      <c r="M180" s="13">
        <f t="shared" si="46"/>
        <v>0</v>
      </c>
      <c r="N180" s="13">
        <f t="shared" si="46"/>
        <v>0</v>
      </c>
      <c r="O180" s="13">
        <f t="shared" si="46"/>
        <v>0</v>
      </c>
      <c r="P180" s="13">
        <f t="shared" si="34"/>
        <v>0</v>
      </c>
      <c r="R180" s="65"/>
      <c r="S180" s="66"/>
    </row>
    <row r="181" spans="1:19" x14ac:dyDescent="0.2">
      <c r="B181" s="67"/>
      <c r="E181" s="13">
        <f t="shared" si="39"/>
        <v>0</v>
      </c>
      <c r="G181" s="13">
        <f t="shared" ref="G181:O181" si="47">$E181*$B$149*B$213/100+$E181*$B$150*B$223/100</f>
        <v>0</v>
      </c>
      <c r="H181" s="13">
        <f t="shared" si="47"/>
        <v>0</v>
      </c>
      <c r="I181" s="13">
        <f t="shared" si="47"/>
        <v>0</v>
      </c>
      <c r="J181" s="13">
        <f t="shared" si="47"/>
        <v>0</v>
      </c>
      <c r="K181" s="13">
        <f t="shared" si="47"/>
        <v>0</v>
      </c>
      <c r="L181" s="13">
        <f t="shared" si="47"/>
        <v>0</v>
      </c>
      <c r="M181" s="13">
        <f t="shared" si="47"/>
        <v>0</v>
      </c>
      <c r="N181" s="13">
        <f t="shared" si="47"/>
        <v>0</v>
      </c>
      <c r="O181" s="13">
        <f t="shared" si="47"/>
        <v>0</v>
      </c>
      <c r="P181" s="13">
        <f>SUM(G181:O181)</f>
        <v>0</v>
      </c>
      <c r="R181" s="65"/>
      <c r="S181" s="66"/>
    </row>
    <row r="182" spans="1:19" x14ac:dyDescent="0.2">
      <c r="A182" s="2" t="s">
        <v>42</v>
      </c>
      <c r="B182" s="67"/>
      <c r="E182" s="13">
        <f t="shared" si="39"/>
        <v>41541.70203327779</v>
      </c>
      <c r="G182" s="13">
        <f t="shared" ref="G182:O188" si="48">$E182*$B$149*B$213+$E182*$B$150*B$223</f>
        <v>1389.6738690019242</v>
      </c>
      <c r="H182" s="13">
        <f t="shared" si="48"/>
        <v>2679.3512262611657</v>
      </c>
      <c r="I182" s="13">
        <f t="shared" si="48"/>
        <v>7824.6470185281605</v>
      </c>
      <c r="J182" s="13">
        <f t="shared" si="48"/>
        <v>6833.5803745528992</v>
      </c>
      <c r="K182" s="13">
        <f t="shared" si="48"/>
        <v>2659.9699736846965</v>
      </c>
      <c r="L182" s="13">
        <f t="shared" si="48"/>
        <v>5765.6512962870383</v>
      </c>
      <c r="M182" s="13">
        <f t="shared" si="48"/>
        <v>3548.8635048206047</v>
      </c>
      <c r="N182" s="13">
        <f t="shared" si="48"/>
        <v>1904.6215556461175</v>
      </c>
      <c r="O182" s="13">
        <f t="shared" si="48"/>
        <v>8935.3432144951821</v>
      </c>
      <c r="P182" s="13">
        <f>SUM(G182:O182)</f>
        <v>41541.70203327779</v>
      </c>
      <c r="R182" s="65"/>
      <c r="S182" s="66"/>
    </row>
    <row r="183" spans="1:19" x14ac:dyDescent="0.2">
      <c r="A183" s="2" t="s">
        <v>43</v>
      </c>
      <c r="B183" s="67"/>
      <c r="E183" s="13">
        <f t="shared" si="39"/>
        <v>36172.697330748299</v>
      </c>
      <c r="G183" s="13">
        <f t="shared" si="48"/>
        <v>1210.0672286269883</v>
      </c>
      <c r="H183" s="13">
        <f t="shared" si="48"/>
        <v>2333.06186811208</v>
      </c>
      <c r="I183" s="13">
        <f t="shared" si="48"/>
        <v>6813.3604177899997</v>
      </c>
      <c r="J183" s="13">
        <f t="shared" si="48"/>
        <v>5950.382927883601</v>
      </c>
      <c r="K183" s="13">
        <f t="shared" si="48"/>
        <v>2316.1855209952041</v>
      </c>
      <c r="L183" s="13">
        <f t="shared" si="48"/>
        <v>5020.4769917264657</v>
      </c>
      <c r="M183" s="13">
        <f t="shared" si="48"/>
        <v>3090.1951327169863</v>
      </c>
      <c r="N183" s="13">
        <f t="shared" si="48"/>
        <v>1658.4611532482725</v>
      </c>
      <c r="O183" s="13">
        <f t="shared" si="48"/>
        <v>7780.5060896487048</v>
      </c>
      <c r="P183" s="13">
        <f>SUM(G183:O183)</f>
        <v>36172.697330748306</v>
      </c>
      <c r="R183" s="65"/>
      <c r="S183" s="66"/>
    </row>
    <row r="184" spans="1:19" x14ac:dyDescent="0.2">
      <c r="A184" s="2" t="s">
        <v>44</v>
      </c>
      <c r="B184" s="67"/>
      <c r="E184" s="13">
        <f t="shared" si="39"/>
        <v>186488.60066000343</v>
      </c>
      <c r="G184" s="13">
        <f t="shared" si="48"/>
        <v>6238.5102804968847</v>
      </c>
      <c r="H184" s="13">
        <f t="shared" si="48"/>
        <v>12028.117202849317</v>
      </c>
      <c r="I184" s="13">
        <f t="shared" si="48"/>
        <v>35126.328525847544</v>
      </c>
      <c r="J184" s="13">
        <f t="shared" si="48"/>
        <v>30677.241884002768</v>
      </c>
      <c r="K184" s="13">
        <f t="shared" si="48"/>
        <v>11941.111074185439</v>
      </c>
      <c r="L184" s="13">
        <f t="shared" si="48"/>
        <v>25883.105157241083</v>
      </c>
      <c r="M184" s="13">
        <f t="shared" si="48"/>
        <v>15931.523181625635</v>
      </c>
      <c r="N184" s="13">
        <f t="shared" si="48"/>
        <v>8550.2083765078096</v>
      </c>
      <c r="O184" s="13">
        <f t="shared" si="48"/>
        <v>40112.454977246947</v>
      </c>
      <c r="P184" s="13">
        <f t="shared" si="34"/>
        <v>186488.60066000343</v>
      </c>
      <c r="R184" s="65"/>
      <c r="S184" s="66"/>
    </row>
    <row r="185" spans="1:19" x14ac:dyDescent="0.2">
      <c r="A185" s="2" t="s">
        <v>45</v>
      </c>
      <c r="B185" s="67"/>
      <c r="E185" s="13">
        <f t="shared" si="39"/>
        <v>104861.869140066</v>
      </c>
      <c r="G185" s="13">
        <f t="shared" si="48"/>
        <v>3507.8918837247957</v>
      </c>
      <c r="H185" s="13">
        <f t="shared" si="48"/>
        <v>6763.367024379595</v>
      </c>
      <c r="I185" s="13">
        <f t="shared" si="48"/>
        <v>19751.40814083218</v>
      </c>
      <c r="J185" s="13">
        <f t="shared" si="48"/>
        <v>17249.702730534664</v>
      </c>
      <c r="K185" s="13">
        <f t="shared" si="48"/>
        <v>6714.4437912916419</v>
      </c>
      <c r="L185" s="13">
        <f t="shared" si="48"/>
        <v>14553.976899024965</v>
      </c>
      <c r="M185" s="13">
        <f t="shared" si="48"/>
        <v>8958.2381612660902</v>
      </c>
      <c r="N185" s="13">
        <f t="shared" si="48"/>
        <v>4807.7514053112409</v>
      </c>
      <c r="O185" s="13">
        <f t="shared" si="48"/>
        <v>22555.08910370083</v>
      </c>
      <c r="P185" s="13">
        <f t="shared" si="34"/>
        <v>104861.86914006599</v>
      </c>
      <c r="R185" s="65"/>
      <c r="S185" s="66"/>
    </row>
    <row r="186" spans="1:19" x14ac:dyDescent="0.2">
      <c r="A186" s="2" t="s">
        <v>46</v>
      </c>
      <c r="B186" s="67"/>
      <c r="E186" s="13">
        <f t="shared" si="39"/>
        <v>331686.24525487854</v>
      </c>
      <c r="G186" s="13">
        <f t="shared" si="48"/>
        <v>11095.734771984709</v>
      </c>
      <c r="H186" s="13">
        <f t="shared" si="48"/>
        <v>21393.055759865281</v>
      </c>
      <c r="I186" s="13">
        <f t="shared" si="48"/>
        <v>62475.239650540745</v>
      </c>
      <c r="J186" s="13">
        <f t="shared" si="48"/>
        <v>54562.150926487557</v>
      </c>
      <c r="K186" s="13">
        <f t="shared" si="48"/>
        <v>21238.307769754618</v>
      </c>
      <c r="L186" s="13">
        <f t="shared" si="48"/>
        <v>46035.360524766562</v>
      </c>
      <c r="M186" s="13">
        <f t="shared" si="48"/>
        <v>28335.603820302516</v>
      </c>
      <c r="N186" s="13">
        <f t="shared" si="48"/>
        <v>15207.291504755904</v>
      </c>
      <c r="O186" s="13">
        <f t="shared" si="48"/>
        <v>71343.500526420641</v>
      </c>
      <c r="P186" s="13">
        <f t="shared" si="34"/>
        <v>331686.24525487854</v>
      </c>
      <c r="R186" s="65"/>
      <c r="S186" s="66"/>
    </row>
    <row r="187" spans="1:19" x14ac:dyDescent="0.2">
      <c r="A187" s="2" t="s">
        <v>47</v>
      </c>
      <c r="B187" s="67"/>
      <c r="E187" s="13">
        <f t="shared" si="39"/>
        <v>78301.228076113795</v>
      </c>
      <c r="G187" s="13">
        <f t="shared" si="48"/>
        <v>2619.3719862746175</v>
      </c>
      <c r="H187" s="13">
        <f t="shared" si="48"/>
        <v>5050.2622953539358</v>
      </c>
      <c r="I187" s="13">
        <f t="shared" si="48"/>
        <v>14748.540402173665</v>
      </c>
      <c r="J187" s="13">
        <f t="shared" si="48"/>
        <v>12880.496207297603</v>
      </c>
      <c r="K187" s="13">
        <f t="shared" si="48"/>
        <v>5013.7309111276645</v>
      </c>
      <c r="L187" s="13">
        <f t="shared" si="48"/>
        <v>10867.575353466829</v>
      </c>
      <c r="M187" s="13">
        <f t="shared" si="48"/>
        <v>6689.1907914450221</v>
      </c>
      <c r="N187" s="13">
        <f t="shared" si="48"/>
        <v>3589.9878803199363</v>
      </c>
      <c r="O187" s="13">
        <f t="shared" si="48"/>
        <v>16842.072248654524</v>
      </c>
      <c r="P187" s="13">
        <f t="shared" si="34"/>
        <v>78301.228076113795</v>
      </c>
      <c r="R187" s="65"/>
      <c r="S187" s="66"/>
    </row>
    <row r="188" spans="1:19" x14ac:dyDescent="0.2">
      <c r="A188" s="2" t="s">
        <v>87</v>
      </c>
      <c r="B188" s="67"/>
      <c r="D188" s="13"/>
      <c r="E188" s="13">
        <f t="shared" si="39"/>
        <v>27.530014541999996</v>
      </c>
      <c r="G188" s="13">
        <f t="shared" si="48"/>
        <v>0.92094786563182374</v>
      </c>
      <c r="H188" s="13">
        <f t="shared" si="48"/>
        <v>1.7756272519360539</v>
      </c>
      <c r="I188" s="13">
        <f t="shared" si="48"/>
        <v>5.1854554739605199</v>
      </c>
      <c r="J188" s="13">
        <f t="shared" si="48"/>
        <v>4.5286677694299344</v>
      </c>
      <c r="K188" s="13">
        <f t="shared" si="48"/>
        <v>1.7627831425434015</v>
      </c>
      <c r="L188" s="13">
        <f t="shared" si="48"/>
        <v>3.8209427216951966</v>
      </c>
      <c r="M188" s="13">
        <f t="shared" si="48"/>
        <v>2.3518599169822081</v>
      </c>
      <c r="N188" s="13">
        <f t="shared" si="48"/>
        <v>1.2622077709271706</v>
      </c>
      <c r="O188" s="13">
        <f t="shared" si="48"/>
        <v>5.9215226288936877</v>
      </c>
      <c r="P188" s="13">
        <f t="shared" si="34"/>
        <v>27.530014541999993</v>
      </c>
      <c r="R188" s="65"/>
      <c r="S188" s="66"/>
    </row>
    <row r="189" spans="1:19" x14ac:dyDescent="0.2">
      <c r="A189" s="2" t="s">
        <v>65</v>
      </c>
      <c r="B189" s="69" t="s">
        <v>84</v>
      </c>
      <c r="C189" s="68" t="s">
        <v>88</v>
      </c>
      <c r="E189" s="13">
        <f t="shared" si="39"/>
        <v>588.3611671000001</v>
      </c>
      <c r="G189" s="13">
        <f t="shared" ref="G189:O190" si="49">$E189*B218</f>
        <v>0</v>
      </c>
      <c r="H189" s="13">
        <f t="shared" si="49"/>
        <v>50.75</v>
      </c>
      <c r="I189" s="13">
        <f t="shared" si="49"/>
        <v>50.75</v>
      </c>
      <c r="J189" s="13">
        <f t="shared" si="49"/>
        <v>50.75</v>
      </c>
      <c r="K189" s="13">
        <f t="shared" si="49"/>
        <v>101.5</v>
      </c>
      <c r="L189" s="13">
        <f t="shared" si="49"/>
        <v>50.75</v>
      </c>
      <c r="M189" s="13">
        <f t="shared" si="49"/>
        <v>152.25</v>
      </c>
      <c r="N189" s="13">
        <f t="shared" si="49"/>
        <v>80.861167100000003</v>
      </c>
      <c r="O189" s="13">
        <f t="shared" si="49"/>
        <v>50.75</v>
      </c>
      <c r="P189" s="13">
        <f t="shared" si="34"/>
        <v>588.36116709999999</v>
      </c>
      <c r="R189" s="65"/>
      <c r="S189" s="66"/>
    </row>
    <row r="190" spans="1:19" x14ac:dyDescent="0.2">
      <c r="A190" s="2" t="s">
        <v>66</v>
      </c>
      <c r="B190" s="69" t="s">
        <v>84</v>
      </c>
      <c r="C190" s="68" t="s">
        <v>89</v>
      </c>
      <c r="E190" s="13">
        <f t="shared" si="39"/>
        <v>12446.184162000001</v>
      </c>
      <c r="G190" s="13">
        <f t="shared" si="49"/>
        <v>0</v>
      </c>
      <c r="H190" s="13">
        <f t="shared" si="49"/>
        <v>827.7437000000001</v>
      </c>
      <c r="I190" s="13">
        <f t="shared" si="49"/>
        <v>831.30964600000004</v>
      </c>
      <c r="J190" s="13">
        <f t="shared" si="49"/>
        <v>763.09681999999998</v>
      </c>
      <c r="K190" s="13">
        <f t="shared" si="49"/>
        <v>1122.580498</v>
      </c>
      <c r="L190" s="13">
        <f t="shared" si="49"/>
        <v>432.08216800000008</v>
      </c>
      <c r="M190" s="13">
        <f t="shared" si="49"/>
        <v>1427.2963400000001</v>
      </c>
      <c r="N190" s="13">
        <f t="shared" si="49"/>
        <v>3741.6429780000003</v>
      </c>
      <c r="O190" s="13">
        <f t="shared" si="49"/>
        <v>3300.4320120000007</v>
      </c>
      <c r="P190" s="13">
        <f t="shared" si="34"/>
        <v>12446.184162000001</v>
      </c>
      <c r="R190" s="65"/>
      <c r="S190" s="66"/>
    </row>
    <row r="191" spans="1:19" x14ac:dyDescent="0.2">
      <c r="E191" s="13"/>
      <c r="R191" s="65"/>
      <c r="S191" s="66"/>
    </row>
    <row r="192" spans="1:19" x14ac:dyDescent="0.2">
      <c r="A192" s="2" t="s">
        <v>51</v>
      </c>
      <c r="E192" s="13">
        <f>SUM(E157:E190)</f>
        <v>21558253.665867489</v>
      </c>
      <c r="G192" s="37">
        <f t="shared" ref="G192:O192" si="50">SUM(G157:G190)</f>
        <v>720818.31205025641</v>
      </c>
      <c r="H192" s="37">
        <f t="shared" si="50"/>
        <v>1406520.2560564047</v>
      </c>
      <c r="I192" s="37">
        <f t="shared" si="50"/>
        <v>4043238.5641786731</v>
      </c>
      <c r="J192" s="37">
        <f t="shared" si="50"/>
        <v>3517092.157130369</v>
      </c>
      <c r="K192" s="37">
        <f t="shared" si="50"/>
        <v>1391758.4394314205</v>
      </c>
      <c r="L192" s="37">
        <f t="shared" si="50"/>
        <v>2987479.7594980863</v>
      </c>
      <c r="M192" s="37">
        <f t="shared" si="50"/>
        <v>1845147.8295265336</v>
      </c>
      <c r="N192" s="37">
        <f t="shared" si="50"/>
        <v>995811.89860650664</v>
      </c>
      <c r="O192" s="37">
        <f t="shared" si="50"/>
        <v>4650386.4493892435</v>
      </c>
      <c r="P192" s="37">
        <f>SUM(G192:O192)</f>
        <v>21558253.665867493</v>
      </c>
      <c r="R192" s="65"/>
      <c r="S192" s="66"/>
    </row>
    <row r="193" spans="1:23" x14ac:dyDescent="0.2">
      <c r="E193" s="13"/>
      <c r="F193" s="78"/>
      <c r="M193" s="13"/>
      <c r="N193" s="13"/>
      <c r="O193" s="13"/>
      <c r="P193" s="13"/>
      <c r="R193" s="65"/>
      <c r="S193" s="66"/>
    </row>
    <row r="194" spans="1:23" x14ac:dyDescent="0.2">
      <c r="A194" s="79"/>
      <c r="M194" s="37"/>
      <c r="N194" s="37"/>
      <c r="O194" s="37"/>
      <c r="P194" s="37"/>
      <c r="R194" s="65"/>
      <c r="S194" s="66"/>
    </row>
    <row r="195" spans="1:23" ht="12.75" x14ac:dyDescent="0.2">
      <c r="A195" s="79"/>
      <c r="M195" s="18"/>
      <c r="N195" s="18"/>
      <c r="O195" s="18"/>
      <c r="P195" s="18"/>
      <c r="Q195" s="18"/>
      <c r="R195" s="13"/>
      <c r="S195" s="13"/>
      <c r="T195" s="13"/>
      <c r="U195" s="13"/>
      <c r="V195" s="13"/>
      <c r="W195" s="63"/>
    </row>
    <row r="196" spans="1:23" x14ac:dyDescent="0.2">
      <c r="A196" s="79"/>
      <c r="M196" s="13"/>
      <c r="N196" s="13"/>
      <c r="O196" s="13"/>
      <c r="P196" s="13"/>
      <c r="Q196" s="13"/>
    </row>
    <row r="197" spans="1:23" x14ac:dyDescent="0.2">
      <c r="A197" s="1" t="s">
        <v>103</v>
      </c>
      <c r="B197" s="18" t="s">
        <v>69</v>
      </c>
      <c r="C197" s="18" t="s">
        <v>70</v>
      </c>
      <c r="D197" s="18" t="s">
        <v>71</v>
      </c>
      <c r="E197" s="18" t="s">
        <v>72</v>
      </c>
      <c r="F197" s="18" t="s">
        <v>73</v>
      </c>
      <c r="G197" s="18" t="s">
        <v>74</v>
      </c>
      <c r="H197" s="18" t="s">
        <v>75</v>
      </c>
      <c r="I197" s="18" t="s">
        <v>76</v>
      </c>
      <c r="J197" s="18" t="s">
        <v>77</v>
      </c>
      <c r="K197" s="62" t="s">
        <v>51</v>
      </c>
      <c r="M197" s="13"/>
      <c r="N197" s="13"/>
      <c r="O197" s="13"/>
      <c r="P197" s="13"/>
      <c r="Q197" s="13"/>
    </row>
    <row r="198" spans="1:23" x14ac:dyDescent="0.2">
      <c r="A198" s="2" t="s">
        <v>104</v>
      </c>
      <c r="K198" s="13"/>
      <c r="M198" s="13"/>
      <c r="N198" s="13"/>
      <c r="O198" s="13"/>
      <c r="P198" s="13"/>
      <c r="Q198" s="13"/>
    </row>
    <row r="199" spans="1:23" x14ac:dyDescent="0.2">
      <c r="A199" s="13" t="s">
        <v>105</v>
      </c>
      <c r="B199" s="13">
        <v>302065</v>
      </c>
      <c r="C199" s="13">
        <v>569779</v>
      </c>
      <c r="D199" s="13">
        <v>1723472</v>
      </c>
      <c r="E199" s="13">
        <v>1529890</v>
      </c>
      <c r="F199" s="13">
        <v>570871</v>
      </c>
      <c r="G199" s="13">
        <v>1269180</v>
      </c>
      <c r="H199" s="13">
        <v>774986</v>
      </c>
      <c r="I199" s="13">
        <v>409580</v>
      </c>
      <c r="J199" s="13">
        <v>1997966</v>
      </c>
      <c r="K199" s="13">
        <f t="shared" ref="K199:K209" si="51">SUM(B199:J199)</f>
        <v>9147789</v>
      </c>
      <c r="M199" s="64"/>
      <c r="N199" s="64"/>
      <c r="O199" s="64"/>
      <c r="P199" s="64"/>
      <c r="Q199" s="64"/>
    </row>
    <row r="200" spans="1:23" x14ac:dyDescent="0.2">
      <c r="A200" s="2" t="s">
        <v>81</v>
      </c>
      <c r="B200" s="80">
        <v>493886.11940298503</v>
      </c>
      <c r="C200" s="80">
        <v>1054648.0199004968</v>
      </c>
      <c r="D200" s="80">
        <v>2930863.7562189074</v>
      </c>
      <c r="E200" s="80">
        <v>2710523.835820897</v>
      </c>
      <c r="F200" s="80">
        <v>1046201.3880597014</v>
      </c>
      <c r="G200" s="80">
        <v>2290201.3134328346</v>
      </c>
      <c r="H200" s="80">
        <v>1357382.1840796007</v>
      </c>
      <c r="I200" s="80">
        <v>736960.63184079609</v>
      </c>
      <c r="J200" s="80">
        <v>4661920.666666667</v>
      </c>
      <c r="K200" s="81">
        <f t="shared" si="51"/>
        <v>17282587.915422887</v>
      </c>
      <c r="M200" s="13"/>
      <c r="N200" s="13"/>
      <c r="O200" s="13"/>
      <c r="P200" s="13"/>
      <c r="Q200" s="13"/>
    </row>
    <row r="201" spans="1:23" x14ac:dyDescent="0.2">
      <c r="A201" s="2" t="s">
        <v>106</v>
      </c>
      <c r="B201" s="13">
        <v>29580.732549999997</v>
      </c>
      <c r="C201" s="13">
        <v>68109.361219999992</v>
      </c>
      <c r="D201" s="13">
        <v>196401.43834999998</v>
      </c>
      <c r="E201" s="13">
        <v>168599.67586000002</v>
      </c>
      <c r="F201" s="13">
        <v>115285.01499</v>
      </c>
      <c r="G201" s="13">
        <v>148098.74474000002</v>
      </c>
      <c r="H201" s="13">
        <v>154046.53725999998</v>
      </c>
      <c r="I201" s="13">
        <v>77086.531070000012</v>
      </c>
      <c r="J201" s="13">
        <v>346928.98702</v>
      </c>
      <c r="K201" s="13">
        <f t="shared" si="51"/>
        <v>1304137.02306</v>
      </c>
    </row>
    <row r="202" spans="1:23" x14ac:dyDescent="0.2">
      <c r="A202" s="2" t="s">
        <v>107</v>
      </c>
      <c r="B202" s="13">
        <v>178.09837000000002</v>
      </c>
      <c r="C202" s="13">
        <v>625.43007</v>
      </c>
      <c r="D202" s="13">
        <v>1005.91452</v>
      </c>
      <c r="E202" s="13">
        <v>1215.5037</v>
      </c>
      <c r="F202" s="13">
        <v>379.39357999999999</v>
      </c>
      <c r="G202" s="13">
        <v>804.28800999999999</v>
      </c>
      <c r="H202" s="13">
        <v>632.3587</v>
      </c>
      <c r="I202" s="13">
        <v>200.34276000000003</v>
      </c>
      <c r="J202" s="13">
        <v>695.30289999999991</v>
      </c>
      <c r="K202" s="13">
        <f t="shared" si="51"/>
        <v>5736.6326099999997</v>
      </c>
    </row>
    <row r="203" spans="1:23" x14ac:dyDescent="0.2">
      <c r="A203" s="2" t="s">
        <v>108</v>
      </c>
      <c r="B203" s="13">
        <v>0</v>
      </c>
      <c r="C203" s="13">
        <v>2.0811999999999999</v>
      </c>
      <c r="D203" s="13">
        <v>10.91681</v>
      </c>
      <c r="E203" s="13">
        <v>23.889889999999998</v>
      </c>
      <c r="F203" s="13">
        <v>0</v>
      </c>
      <c r="G203" s="13">
        <v>74.71250999999998</v>
      </c>
      <c r="H203" s="13">
        <v>114.74075999999999</v>
      </c>
      <c r="I203" s="13">
        <v>108.45098999999999</v>
      </c>
      <c r="J203" s="13">
        <v>19.219149999999999</v>
      </c>
      <c r="K203" s="13">
        <f t="shared" si="51"/>
        <v>354.01130999999998</v>
      </c>
    </row>
    <row r="204" spans="1:23" x14ac:dyDescent="0.2">
      <c r="A204" s="40" t="s">
        <v>109</v>
      </c>
      <c r="B204" s="13">
        <v>0</v>
      </c>
      <c r="C204" s="13">
        <v>725</v>
      </c>
      <c r="D204" s="13">
        <v>725</v>
      </c>
      <c r="E204" s="13">
        <v>725</v>
      </c>
      <c r="F204" s="13">
        <v>1450</v>
      </c>
      <c r="G204" s="13">
        <v>725</v>
      </c>
      <c r="H204" s="13">
        <v>2175</v>
      </c>
      <c r="I204" s="13">
        <v>1155.1595299999999</v>
      </c>
      <c r="J204" s="13">
        <v>725</v>
      </c>
      <c r="K204" s="13">
        <f t="shared" si="51"/>
        <v>8405.1595300000008</v>
      </c>
    </row>
    <row r="205" spans="1:23" x14ac:dyDescent="0.2">
      <c r="A205" s="40" t="s">
        <v>110</v>
      </c>
      <c r="B205" s="13">
        <v>0</v>
      </c>
      <c r="C205" s="13">
        <v>4138.7184999999999</v>
      </c>
      <c r="D205" s="13">
        <v>4156.5482300000003</v>
      </c>
      <c r="E205" s="13">
        <v>3815.4840999999997</v>
      </c>
      <c r="F205" s="13">
        <v>5612.9024899999995</v>
      </c>
      <c r="G205" s="13">
        <v>2160.4108400000005</v>
      </c>
      <c r="H205" s="13">
        <v>7136.4817000000003</v>
      </c>
      <c r="I205" s="13">
        <v>18708.214889999999</v>
      </c>
      <c r="J205" s="13">
        <v>16502.160060000002</v>
      </c>
      <c r="K205" s="13">
        <f t="shared" si="51"/>
        <v>62230.920810000003</v>
      </c>
    </row>
    <row r="206" spans="1:23" x14ac:dyDescent="0.2">
      <c r="A206" s="2" t="s">
        <v>111</v>
      </c>
      <c r="B206" s="2">
        <v>2.5720000000000001</v>
      </c>
      <c r="C206" s="2">
        <v>6.8970000000000002</v>
      </c>
      <c r="D206" s="2">
        <v>14.451000000000001</v>
      </c>
      <c r="E206" s="2">
        <v>13.692</v>
      </c>
      <c r="F206" s="2">
        <v>6.4290000000000003</v>
      </c>
      <c r="G206" s="2">
        <v>12.884</v>
      </c>
      <c r="H206" s="2">
        <v>7.9820000000000002</v>
      </c>
      <c r="I206" s="2">
        <v>3.7170000000000001</v>
      </c>
      <c r="J206" s="2">
        <v>31.376000000000001</v>
      </c>
      <c r="K206" s="82">
        <f t="shared" si="51"/>
        <v>100.00000000000001</v>
      </c>
    </row>
    <row r="207" spans="1:23" x14ac:dyDescent="0.2">
      <c r="A207" s="2" t="s">
        <v>112</v>
      </c>
      <c r="B207" s="83">
        <v>-5.4300000000000001E-2</v>
      </c>
      <c r="C207" s="83">
        <v>-0.108</v>
      </c>
      <c r="D207" s="83">
        <v>-0.23069999999999999</v>
      </c>
      <c r="E207" s="83">
        <v>-0.14899999999999999</v>
      </c>
      <c r="F207" s="83">
        <v>-9.7199999999999995E-2</v>
      </c>
      <c r="G207" s="83">
        <v>-0.16389999999999999</v>
      </c>
      <c r="H207" s="83">
        <v>-0.1198</v>
      </c>
      <c r="I207" s="83">
        <v>1</v>
      </c>
      <c r="J207" s="83">
        <v>-7.7100000000000002E-2</v>
      </c>
      <c r="K207" s="83">
        <f>SUM(B207:J207)</f>
        <v>0</v>
      </c>
    </row>
    <row r="208" spans="1:23" x14ac:dyDescent="0.2">
      <c r="A208" s="2" t="s">
        <v>113</v>
      </c>
      <c r="B208" s="82">
        <v>1.3360000000000001</v>
      </c>
      <c r="C208" s="82">
        <v>5.7149999999999999</v>
      </c>
      <c r="D208" s="82">
        <v>13.252000000000001</v>
      </c>
      <c r="E208" s="82">
        <v>15.953000000000001</v>
      </c>
      <c r="F208" s="82">
        <v>8.4760000000000009</v>
      </c>
      <c r="G208" s="82">
        <v>9.4339999999999993</v>
      </c>
      <c r="H208" s="82">
        <v>10.029</v>
      </c>
      <c r="I208" s="82">
        <v>5.64</v>
      </c>
      <c r="J208" s="82">
        <v>30.164999999999999</v>
      </c>
      <c r="K208" s="82">
        <f t="shared" si="51"/>
        <v>100</v>
      </c>
    </row>
    <row r="209" spans="1:11" x14ac:dyDescent="0.2">
      <c r="A209" s="2" t="s">
        <v>114</v>
      </c>
      <c r="B209" s="82">
        <v>3.49</v>
      </c>
      <c r="C209" s="82">
        <v>7.1909999999999998</v>
      </c>
      <c r="D209" s="82">
        <v>18.82</v>
      </c>
      <c r="E209" s="82">
        <v>15.531000000000001</v>
      </c>
      <c r="F209" s="82">
        <v>6.9480000000000004</v>
      </c>
      <c r="G209" s="82">
        <v>13.896000000000001</v>
      </c>
      <c r="H209" s="82">
        <v>8.7810000000000006</v>
      </c>
      <c r="I209" s="82">
        <v>4.9450000000000003</v>
      </c>
      <c r="J209" s="82">
        <v>20.398</v>
      </c>
      <c r="K209" s="82">
        <f t="shared" si="51"/>
        <v>100</v>
      </c>
    </row>
    <row r="211" spans="1:11" x14ac:dyDescent="0.2">
      <c r="A211" s="1" t="s">
        <v>103</v>
      </c>
      <c r="B211" s="18" t="s">
        <v>69</v>
      </c>
      <c r="C211" s="18" t="s">
        <v>70</v>
      </c>
      <c r="D211" s="18" t="s">
        <v>71</v>
      </c>
      <c r="E211" s="18" t="s">
        <v>72</v>
      </c>
      <c r="F211" s="18" t="s">
        <v>73</v>
      </c>
      <c r="G211" s="18" t="s">
        <v>74</v>
      </c>
      <c r="H211" s="18" t="s">
        <v>75</v>
      </c>
      <c r="I211" s="18" t="s">
        <v>76</v>
      </c>
      <c r="J211" s="18" t="s">
        <v>77</v>
      </c>
      <c r="K211" s="62" t="s">
        <v>51</v>
      </c>
    </row>
    <row r="212" spans="1:11" x14ac:dyDescent="0.2">
      <c r="A212" s="2" t="s">
        <v>10</v>
      </c>
      <c r="K212" s="13"/>
    </row>
    <row r="213" spans="1:11" x14ac:dyDescent="0.2">
      <c r="A213" s="2" t="s">
        <v>80</v>
      </c>
      <c r="B213" s="67">
        <f t="shared" ref="B213:J214" si="52">B199/$K199</f>
        <v>3.3020547369424461E-2</v>
      </c>
      <c r="C213" s="67">
        <f t="shared" si="52"/>
        <v>6.2285979705041294E-2</v>
      </c>
      <c r="D213" s="67">
        <f t="shared" si="52"/>
        <v>0.18840312123508751</v>
      </c>
      <c r="E213" s="67">
        <f t="shared" si="52"/>
        <v>0.16724150502378224</v>
      </c>
      <c r="F213" s="67">
        <f t="shared" si="52"/>
        <v>6.2405352812575803E-2</v>
      </c>
      <c r="G213" s="67">
        <f t="shared" si="52"/>
        <v>0.13874172218008088</v>
      </c>
      <c r="H213" s="67">
        <f t="shared" si="52"/>
        <v>8.471839479463289E-2</v>
      </c>
      <c r="I213" s="67">
        <f t="shared" si="52"/>
        <v>4.4773660608044198E-2</v>
      </c>
      <c r="J213" s="67">
        <f t="shared" si="52"/>
        <v>0.21840971627133071</v>
      </c>
      <c r="K213" s="67">
        <f>SUM(B213:J213)</f>
        <v>1</v>
      </c>
    </row>
    <row r="214" spans="1:11" x14ac:dyDescent="0.2">
      <c r="A214" s="2" t="s">
        <v>81</v>
      </c>
      <c r="B214" s="67">
        <f t="shared" si="52"/>
        <v>2.8577092841648083E-2</v>
      </c>
      <c r="C214" s="67">
        <f t="shared" si="52"/>
        <v>6.1023732386706664E-2</v>
      </c>
      <c r="D214" s="67">
        <f t="shared" si="52"/>
        <v>0.16958477344723474</v>
      </c>
      <c r="E214" s="67">
        <f t="shared" si="52"/>
        <v>0.15683553001932313</v>
      </c>
      <c r="F214" s="67">
        <f t="shared" si="52"/>
        <v>6.0534995868649799E-2</v>
      </c>
      <c r="G214" s="67">
        <f t="shared" si="52"/>
        <v>0.13251495231157318</v>
      </c>
      <c r="H214" s="67">
        <f t="shared" si="52"/>
        <v>7.8540447224821022E-2</v>
      </c>
      <c r="I214" s="67">
        <f t="shared" si="52"/>
        <v>4.2641798522727981E-2</v>
      </c>
      <c r="J214" s="67">
        <f t="shared" si="52"/>
        <v>0.26974667737731539</v>
      </c>
      <c r="K214" s="67">
        <f>SUM(B214:J214)</f>
        <v>0.99999999999999989</v>
      </c>
    </row>
    <row r="215" spans="1:11" x14ac:dyDescent="0.2">
      <c r="A215" s="2" t="s">
        <v>106</v>
      </c>
      <c r="B215" s="67">
        <f t="shared" ref="B215:J219" si="53">IF($K201=0,0,B201/$K201)</f>
        <v>2.2682227424686081E-2</v>
      </c>
      <c r="C215" s="67">
        <f t="shared" si="53"/>
        <v>5.2225617412647023E-2</v>
      </c>
      <c r="D215" s="67">
        <f t="shared" si="53"/>
        <v>0.1505987751878769</v>
      </c>
      <c r="E215" s="67">
        <f t="shared" si="53"/>
        <v>0.12928064526870131</v>
      </c>
      <c r="F215" s="67">
        <f t="shared" si="53"/>
        <v>8.8399464896332464E-2</v>
      </c>
      <c r="G215" s="67">
        <f t="shared" si="53"/>
        <v>0.11356072415803686</v>
      </c>
      <c r="H215" s="67">
        <f t="shared" si="53"/>
        <v>0.11812143550571733</v>
      </c>
      <c r="I215" s="67">
        <f t="shared" si="53"/>
        <v>5.9109226796679522E-2</v>
      </c>
      <c r="J215" s="67">
        <f t="shared" si="53"/>
        <v>0.26602188334932247</v>
      </c>
      <c r="K215" s="67">
        <f t="shared" ref="K215:K221" si="54">SUM(B215:J215)</f>
        <v>1</v>
      </c>
    </row>
    <row r="216" spans="1:11" x14ac:dyDescent="0.2">
      <c r="A216" s="2" t="s">
        <v>107</v>
      </c>
      <c r="B216" s="67">
        <f t="shared" si="53"/>
        <v>3.1045803715849259E-2</v>
      </c>
      <c r="C216" s="67">
        <f t="shared" si="53"/>
        <v>0.109023901741548</v>
      </c>
      <c r="D216" s="67">
        <f t="shared" si="53"/>
        <v>0.17534930130378354</v>
      </c>
      <c r="E216" s="67">
        <f t="shared" si="53"/>
        <v>0.21188452924127557</v>
      </c>
      <c r="F216" s="67">
        <f t="shared" si="53"/>
        <v>6.6135240966738507E-2</v>
      </c>
      <c r="G216" s="67">
        <f t="shared" si="53"/>
        <v>0.14020211240266264</v>
      </c>
      <c r="H216" s="67">
        <f t="shared" si="53"/>
        <v>0.11023168869097232</v>
      </c>
      <c r="I216" s="67">
        <f t="shared" si="53"/>
        <v>3.4923407793409321E-2</v>
      </c>
      <c r="J216" s="67">
        <f t="shared" si="53"/>
        <v>0.12120401414376089</v>
      </c>
      <c r="K216" s="67">
        <f t="shared" si="54"/>
        <v>1</v>
      </c>
    </row>
    <row r="217" spans="1:11" x14ac:dyDescent="0.2">
      <c r="A217" s="2" t="s">
        <v>108</v>
      </c>
      <c r="B217" s="84">
        <f t="shared" si="53"/>
        <v>0</v>
      </c>
      <c r="C217" s="84">
        <f t="shared" si="53"/>
        <v>5.878908219062267E-3</v>
      </c>
      <c r="D217" s="84">
        <f t="shared" si="53"/>
        <v>3.0837461096935012E-2</v>
      </c>
      <c r="E217" s="84">
        <f t="shared" si="53"/>
        <v>6.7483408934025296E-2</v>
      </c>
      <c r="F217" s="84">
        <f t="shared" si="53"/>
        <v>0</v>
      </c>
      <c r="G217" s="84">
        <f t="shared" si="53"/>
        <v>0.21104554540926951</v>
      </c>
      <c r="H217" s="84">
        <f t="shared" si="53"/>
        <v>0.32411608544371084</v>
      </c>
      <c r="I217" s="84">
        <f t="shared" si="53"/>
        <v>0.30634894122450496</v>
      </c>
      <c r="J217" s="84">
        <f t="shared" si="53"/>
        <v>5.4289649672492099E-2</v>
      </c>
      <c r="K217" s="67">
        <f t="shared" si="54"/>
        <v>0.99999999999999989</v>
      </c>
    </row>
    <row r="218" spans="1:11" x14ac:dyDescent="0.2">
      <c r="A218" s="40" t="s">
        <v>109</v>
      </c>
      <c r="B218" s="67">
        <f t="shared" si="53"/>
        <v>0</v>
      </c>
      <c r="C218" s="67">
        <f t="shared" si="53"/>
        <v>8.625654247397728E-2</v>
      </c>
      <c r="D218" s="67">
        <f t="shared" si="53"/>
        <v>8.625654247397728E-2</v>
      </c>
      <c r="E218" s="67">
        <f t="shared" si="53"/>
        <v>8.625654247397728E-2</v>
      </c>
      <c r="F218" s="67">
        <f t="shared" si="53"/>
        <v>0.17251308494795456</v>
      </c>
      <c r="G218" s="67">
        <f t="shared" si="53"/>
        <v>8.625654247397728E-2</v>
      </c>
      <c r="H218" s="67">
        <f t="shared" si="53"/>
        <v>0.25876962742193182</v>
      </c>
      <c r="I218" s="67">
        <f t="shared" si="53"/>
        <v>0.13743457526022707</v>
      </c>
      <c r="J218" s="67">
        <f t="shared" si="53"/>
        <v>8.625654247397728E-2</v>
      </c>
      <c r="K218" s="67">
        <f t="shared" si="54"/>
        <v>0.99999999999999989</v>
      </c>
    </row>
    <row r="219" spans="1:11" x14ac:dyDescent="0.2">
      <c r="A219" s="40" t="s">
        <v>110</v>
      </c>
      <c r="B219" s="67">
        <f t="shared" si="53"/>
        <v>0</v>
      </c>
      <c r="C219" s="67">
        <f t="shared" si="53"/>
        <v>6.6505821320499273E-2</v>
      </c>
      <c r="D219" s="67">
        <f t="shared" si="53"/>
        <v>6.6792330499022223E-2</v>
      </c>
      <c r="E219" s="67">
        <f t="shared" si="53"/>
        <v>6.1311708879404569E-2</v>
      </c>
      <c r="F219" s="67">
        <f t="shared" si="53"/>
        <v>9.019475233440627E-2</v>
      </c>
      <c r="G219" s="67">
        <f t="shared" si="53"/>
        <v>3.4716035242288106E-2</v>
      </c>
      <c r="H219" s="67">
        <f t="shared" si="53"/>
        <v>0.11467742413435775</v>
      </c>
      <c r="I219" s="67">
        <f t="shared" si="53"/>
        <v>0.30062571221015488</v>
      </c>
      <c r="J219" s="67">
        <f t="shared" si="53"/>
        <v>0.26517621537986691</v>
      </c>
      <c r="K219" s="67">
        <f t="shared" si="54"/>
        <v>1</v>
      </c>
    </row>
    <row r="220" spans="1:11" x14ac:dyDescent="0.2">
      <c r="A220" s="2" t="s">
        <v>111</v>
      </c>
      <c r="B220" s="67">
        <f t="shared" ref="B220:J220" si="55">B206/$K206</f>
        <v>2.5719999999999996E-2</v>
      </c>
      <c r="C220" s="67">
        <f t="shared" si="55"/>
        <v>6.896999999999999E-2</v>
      </c>
      <c r="D220" s="67">
        <f t="shared" si="55"/>
        <v>0.14450999999999997</v>
      </c>
      <c r="E220" s="67">
        <f t="shared" si="55"/>
        <v>0.13691999999999999</v>
      </c>
      <c r="F220" s="67">
        <f t="shared" si="55"/>
        <v>6.429E-2</v>
      </c>
      <c r="G220" s="67">
        <f t="shared" si="55"/>
        <v>0.12883999999999998</v>
      </c>
      <c r="H220" s="67">
        <f t="shared" si="55"/>
        <v>7.9819999999999988E-2</v>
      </c>
      <c r="I220" s="67">
        <f t="shared" si="55"/>
        <v>3.7169999999999995E-2</v>
      </c>
      <c r="J220" s="67">
        <f t="shared" si="55"/>
        <v>0.31375999999999998</v>
      </c>
      <c r="K220" s="67">
        <f t="shared" si="54"/>
        <v>1</v>
      </c>
    </row>
    <row r="221" spans="1:11" x14ac:dyDescent="0.2">
      <c r="A221" s="2" t="s">
        <v>115</v>
      </c>
      <c r="B221" s="67">
        <f>B207</f>
        <v>-5.4300000000000001E-2</v>
      </c>
      <c r="C221" s="67">
        <f t="shared" ref="C221:J221" si="56">C207</f>
        <v>-0.108</v>
      </c>
      <c r="D221" s="67">
        <f t="shared" si="56"/>
        <v>-0.23069999999999999</v>
      </c>
      <c r="E221" s="67">
        <f t="shared" si="56"/>
        <v>-0.14899999999999999</v>
      </c>
      <c r="F221" s="67">
        <f t="shared" si="56"/>
        <v>-9.7199999999999995E-2</v>
      </c>
      <c r="G221" s="67">
        <f t="shared" si="56"/>
        <v>-0.16389999999999999</v>
      </c>
      <c r="H221" s="67">
        <f t="shared" si="56"/>
        <v>-0.1198</v>
      </c>
      <c r="I221" s="67">
        <f t="shared" si="56"/>
        <v>1</v>
      </c>
      <c r="J221" s="67">
        <f t="shared" si="56"/>
        <v>-7.7100000000000002E-2</v>
      </c>
      <c r="K221" s="67">
        <f t="shared" si="54"/>
        <v>0</v>
      </c>
    </row>
    <row r="222" spans="1:11" x14ac:dyDescent="0.2">
      <c r="A222" s="2" t="s">
        <v>113</v>
      </c>
      <c r="B222" s="67">
        <f>B208/$K208</f>
        <v>1.336E-2</v>
      </c>
      <c r="C222" s="67">
        <f t="shared" ref="C222:J223" si="57">C208/$K208</f>
        <v>5.7149999999999999E-2</v>
      </c>
      <c r="D222" s="67">
        <f t="shared" si="57"/>
        <v>0.13252</v>
      </c>
      <c r="E222" s="67">
        <f t="shared" si="57"/>
        <v>0.15953000000000001</v>
      </c>
      <c r="F222" s="67">
        <f t="shared" si="57"/>
        <v>8.4760000000000002E-2</v>
      </c>
      <c r="G222" s="67">
        <f t="shared" si="57"/>
        <v>9.4339999999999993E-2</v>
      </c>
      <c r="H222" s="67">
        <f t="shared" si="57"/>
        <v>0.10029</v>
      </c>
      <c r="I222" s="67">
        <f t="shared" si="57"/>
        <v>5.6399999999999999E-2</v>
      </c>
      <c r="J222" s="67">
        <f t="shared" si="57"/>
        <v>0.30164999999999997</v>
      </c>
      <c r="K222" s="67">
        <f>SUM(B222:J222)</f>
        <v>1</v>
      </c>
    </row>
    <row r="223" spans="1:11" x14ac:dyDescent="0.2">
      <c r="A223" s="2" t="s">
        <v>114</v>
      </c>
      <c r="B223" s="67">
        <f>B209/$K209</f>
        <v>3.49E-2</v>
      </c>
      <c r="C223" s="67">
        <f t="shared" si="57"/>
        <v>7.1910000000000002E-2</v>
      </c>
      <c r="D223" s="67">
        <f t="shared" si="57"/>
        <v>0.18820000000000001</v>
      </c>
      <c r="E223" s="67">
        <f t="shared" si="57"/>
        <v>0.15531</v>
      </c>
      <c r="F223" s="67">
        <f t="shared" si="57"/>
        <v>6.948E-2</v>
      </c>
      <c r="G223" s="67">
        <f t="shared" si="57"/>
        <v>0.13896</v>
      </c>
      <c r="H223" s="67">
        <f t="shared" si="57"/>
        <v>8.7809999999999999E-2</v>
      </c>
      <c r="I223" s="67">
        <f t="shared" si="57"/>
        <v>4.9450000000000001E-2</v>
      </c>
      <c r="J223" s="67">
        <f t="shared" si="57"/>
        <v>0.20397999999999999</v>
      </c>
      <c r="K223" s="67">
        <f>SUM(B223:J223)</f>
        <v>1</v>
      </c>
    </row>
  </sheetData>
  <printOptions horizontalCentered="1" verticalCentered="1"/>
  <pageMargins left="0" right="0" top="0" bottom="0" header="0.51181102362204722" footer="0.51181102362204722"/>
  <pageSetup paperSize="9" scale="84" orientation="landscape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EAVERT</vt:lpstr>
      <vt:lpstr>EAVERT!Druckbereich</vt:lpstr>
      <vt:lpstr>EAVERT!Drucktitel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2026-03-06T11:42:22Z</cp:lastPrinted>
  <dcterms:created xsi:type="dcterms:W3CDTF">2026-03-06T11:38:46Z</dcterms:created>
  <dcterms:modified xsi:type="dcterms:W3CDTF">2026-03-06T11:42:47Z</dcterms:modified>
</cp:coreProperties>
</file>