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2\Internet\2022-05\"/>
    </mc:Choice>
  </mc:AlternateContent>
  <bookViews>
    <workbookView xWindow="0" yWindow="0" windowWidth="28800" windowHeight="12285" firstSheet="4" activeTab="21"/>
  </bookViews>
  <sheets>
    <sheet name="2000 Euro" sheetId="15" r:id="rId1"/>
    <sheet name="2001 Euro" sheetId="16" r:id="rId2"/>
    <sheet name="2002" sheetId="17" r:id="rId3"/>
    <sheet name="2003" sheetId="18" r:id="rId4"/>
    <sheet name="2004" sheetId="4" r:id="rId5"/>
    <sheet name="2005" sheetId="5" r:id="rId6"/>
    <sheet name="2006" sheetId="19" r:id="rId7"/>
    <sheet name="2007" sheetId="13" r:id="rId8"/>
    <sheet name="2008" sheetId="20" r:id="rId9"/>
    <sheet name="2009" sheetId="21" r:id="rId10"/>
    <sheet name="2010" sheetId="22" r:id="rId11"/>
    <sheet name="2011" sheetId="23" r:id="rId12"/>
    <sheet name="2012" sheetId="24" r:id="rId13"/>
    <sheet name="2013" sheetId="25" r:id="rId14"/>
    <sheet name="2014" sheetId="26" r:id="rId15"/>
    <sheet name="2015" sheetId="28" r:id="rId16"/>
    <sheet name="2016" sheetId="29" r:id="rId17"/>
    <sheet name="2017" sheetId="30" r:id="rId18"/>
    <sheet name="2018" sheetId="31" r:id="rId19"/>
    <sheet name="2019" sheetId="32" r:id="rId20"/>
    <sheet name="2020" sheetId="33" r:id="rId21"/>
    <sheet name="2021" sheetId="34" r:id="rId22"/>
  </sheets>
  <definedNames>
    <definedName name="_xlnm.Print_Area" localSheetId="0">'2000 Euro'!$A$1:$K$51</definedName>
    <definedName name="_xlnm.Print_Area" localSheetId="1">'2001 Euro'!$A$1:$K$51</definedName>
    <definedName name="_xlnm.Print_Area" localSheetId="8">'2008'!$5:$26,'2008'!$30:$58</definedName>
    <definedName name="_xlnm.Print_Area" localSheetId="12">'2012'!$5:$26,'2012'!$29:$57</definedName>
    <definedName name="_xlnm.Print_Area" localSheetId="13">'2013'!$5:$26,'2013'!$29:$57</definedName>
    <definedName name="_xlnm.Print_Area" localSheetId="14">'2014'!$5:$57</definedName>
    <definedName name="_xlnm.Print_Area" localSheetId="15">'2015'!$5:$57</definedName>
    <definedName name="_xlnm.Print_Area" localSheetId="16">'2016'!$5:$57</definedName>
    <definedName name="_xlnm.Print_Area" localSheetId="17">'2017'!$5:$21</definedName>
    <definedName name="_xlnm.Print_Area" localSheetId="18">'2018'!$5:$21</definedName>
    <definedName name="_xlnm.Print_Area" localSheetId="19">'2019'!$5:$21</definedName>
    <definedName name="_xlnm.Print_Area" localSheetId="20">'2020'!$5:$21</definedName>
    <definedName name="_xlnm.Print_Area" localSheetId="21">'2021'!$5:$21</definedName>
    <definedName name="_xlnm.Print_Titles" localSheetId="8">'2008'!$1:$3</definedName>
    <definedName name="_xlnm.Print_Titles" localSheetId="9">'2009'!$1:$3</definedName>
    <definedName name="_xlnm.Print_Titles" localSheetId="10">'2010'!$1:$3</definedName>
    <definedName name="_xlnm.Print_Titles" localSheetId="11">'2011'!$1:$3</definedName>
    <definedName name="_xlnm.Print_Titles" localSheetId="12">'2012'!$1:$3</definedName>
    <definedName name="_xlnm.Print_Titles" localSheetId="13">'2013'!$1:$3</definedName>
    <definedName name="_xlnm.Print_Titles" localSheetId="14">'2014'!$1:$3</definedName>
    <definedName name="_xlnm.Print_Titles" localSheetId="15">'2015'!$1:$3</definedName>
    <definedName name="_xlnm.Print_Titles" localSheetId="16">'2016'!$1:$3</definedName>
    <definedName name="_xlnm.Print_Titles" localSheetId="17">'2017'!$1:$3</definedName>
    <definedName name="_xlnm.Print_Titles" localSheetId="18">'2018'!$1:$3</definedName>
    <definedName name="_xlnm.Print_Titles" localSheetId="19">'2019'!$1:$3</definedName>
    <definedName name="_xlnm.Print_Titles" localSheetId="20">'2020'!$1:$3</definedName>
    <definedName name="_xlnm.Print_Titles" localSheetId="21">'2021'!$1:$3</definedName>
  </definedNames>
  <calcPr calcId="162913"/>
</workbook>
</file>

<file path=xl/calcChain.xml><?xml version="1.0" encoding="utf-8"?>
<calcChain xmlns="http://schemas.openxmlformats.org/spreadsheetml/2006/main">
  <c r="I21" i="34" l="1"/>
  <c r="H21" i="34"/>
  <c r="E21" i="34"/>
  <c r="D21" i="34"/>
  <c r="K20" i="34"/>
  <c r="K19" i="34"/>
  <c r="J19" i="34"/>
  <c r="J21" i="34" s="1"/>
  <c r="I19" i="34"/>
  <c r="H19" i="34"/>
  <c r="G19" i="34"/>
  <c r="G21" i="34" s="1"/>
  <c r="F19" i="34"/>
  <c r="F21" i="34" s="1"/>
  <c r="E19" i="34"/>
  <c r="D19" i="34"/>
  <c r="C19" i="34"/>
  <c r="C21" i="34" s="1"/>
  <c r="B19" i="34"/>
  <c r="B21" i="34" s="1"/>
  <c r="K21" i="34" s="1"/>
  <c r="K18" i="34"/>
  <c r="K17" i="34"/>
  <c r="I12" i="34"/>
  <c r="H12" i="34"/>
  <c r="E12" i="34"/>
  <c r="D12" i="34"/>
  <c r="K11" i="34"/>
  <c r="J10" i="34"/>
  <c r="J12" i="34" s="1"/>
  <c r="I10" i="34"/>
  <c r="H10" i="34"/>
  <c r="G10" i="34"/>
  <c r="G12" i="34" s="1"/>
  <c r="F10" i="34"/>
  <c r="F12" i="34" s="1"/>
  <c r="E10" i="34"/>
  <c r="D10" i="34"/>
  <c r="C10" i="34"/>
  <c r="C12" i="34" s="1"/>
  <c r="B10" i="34"/>
  <c r="B12" i="34" s="1"/>
  <c r="K12" i="34" s="1"/>
  <c r="K9" i="34"/>
  <c r="K8" i="34"/>
  <c r="K10" i="34" l="1"/>
  <c r="K20" i="33" l="1"/>
  <c r="J19" i="33"/>
  <c r="J21" i="33" s="1"/>
  <c r="I19" i="33"/>
  <c r="I21" i="33" s="1"/>
  <c r="H19" i="33"/>
  <c r="H21" i="33" s="1"/>
  <c r="G19" i="33"/>
  <c r="G21" i="33" s="1"/>
  <c r="F19" i="33"/>
  <c r="F21" i="33" s="1"/>
  <c r="E19" i="33"/>
  <c r="E21" i="33" s="1"/>
  <c r="D19" i="33"/>
  <c r="D21" i="33" s="1"/>
  <c r="C19" i="33"/>
  <c r="C21" i="33" s="1"/>
  <c r="B19" i="33"/>
  <c r="K18" i="33"/>
  <c r="K17" i="33"/>
  <c r="K11" i="33"/>
  <c r="J10" i="33"/>
  <c r="J12" i="33" s="1"/>
  <c r="I10" i="33"/>
  <c r="I12" i="33" s="1"/>
  <c r="H10" i="33"/>
  <c r="H12" i="33" s="1"/>
  <c r="G10" i="33"/>
  <c r="G12" i="33" s="1"/>
  <c r="F10" i="33"/>
  <c r="F12" i="33" s="1"/>
  <c r="E10" i="33"/>
  <c r="E12" i="33" s="1"/>
  <c r="D10" i="33"/>
  <c r="D12" i="33" s="1"/>
  <c r="C10" i="33"/>
  <c r="C12" i="33" s="1"/>
  <c r="B10" i="33"/>
  <c r="K10" i="33" s="1"/>
  <c r="K9" i="33"/>
  <c r="K8" i="33"/>
  <c r="K19" i="33" l="1"/>
  <c r="B21" i="33"/>
  <c r="K21" i="33" s="1"/>
  <c r="B12" i="33"/>
  <c r="K12" i="33" s="1"/>
  <c r="K20" i="32"/>
  <c r="J19" i="32"/>
  <c r="J21" i="32" s="1"/>
  <c r="I19" i="32"/>
  <c r="I21" i="32" s="1"/>
  <c r="H19" i="32"/>
  <c r="H21" i="32" s="1"/>
  <c r="G19" i="32"/>
  <c r="G21" i="32" s="1"/>
  <c r="F19" i="32"/>
  <c r="F21" i="32" s="1"/>
  <c r="E19" i="32"/>
  <c r="E21" i="32" s="1"/>
  <c r="D19" i="32"/>
  <c r="D21" i="32" s="1"/>
  <c r="C19" i="32"/>
  <c r="C21" i="32" s="1"/>
  <c r="B19" i="32"/>
  <c r="B21" i="32" s="1"/>
  <c r="K18" i="32"/>
  <c r="K17" i="32"/>
  <c r="G12" i="32"/>
  <c r="K11" i="32"/>
  <c r="J10" i="32"/>
  <c r="J12" i="32" s="1"/>
  <c r="I10" i="32"/>
  <c r="I12" i="32" s="1"/>
  <c r="H10" i="32"/>
  <c r="H12" i="32" s="1"/>
  <c r="G10" i="32"/>
  <c r="F10" i="32"/>
  <c r="F12" i="32" s="1"/>
  <c r="E10" i="32"/>
  <c r="E12" i="32" s="1"/>
  <c r="D10" i="32"/>
  <c r="D12" i="32" s="1"/>
  <c r="C10" i="32"/>
  <c r="C12" i="32" s="1"/>
  <c r="B10" i="32"/>
  <c r="B12" i="32" s="1"/>
  <c r="K9" i="32"/>
  <c r="K8" i="32"/>
  <c r="K21" i="32" l="1"/>
  <c r="K12" i="32"/>
  <c r="K19" i="32"/>
  <c r="K10" i="32"/>
  <c r="H21" i="31"/>
  <c r="G21" i="31"/>
  <c r="D21" i="31"/>
  <c r="C21" i="31"/>
  <c r="J10" i="31"/>
  <c r="J12" i="31" s="1"/>
  <c r="I10" i="31"/>
  <c r="I12" i="31" s="1"/>
  <c r="H10" i="31"/>
  <c r="H12" i="31" s="1"/>
  <c r="G10" i="31"/>
  <c r="G12" i="31" s="1"/>
  <c r="F10" i="31"/>
  <c r="F12" i="31" s="1"/>
  <c r="E10" i="31"/>
  <c r="E12" i="31" s="1"/>
  <c r="D10" i="31"/>
  <c r="D12" i="31" s="1"/>
  <c r="C10" i="31"/>
  <c r="C12" i="31" s="1"/>
  <c r="B10" i="31"/>
  <c r="B12" i="31" s="1"/>
  <c r="J19" i="31"/>
  <c r="J21" i="31" s="1"/>
  <c r="I19" i="31"/>
  <c r="I21" i="31" s="1"/>
  <c r="H19" i="31"/>
  <c r="G19" i="31"/>
  <c r="F19" i="31"/>
  <c r="F21" i="31" s="1"/>
  <c r="E19" i="31"/>
  <c r="E21" i="31" s="1"/>
  <c r="D19" i="31"/>
  <c r="C19" i="31"/>
  <c r="B19" i="31"/>
  <c r="K20" i="31"/>
  <c r="K18" i="31"/>
  <c r="K17" i="31"/>
  <c r="K11" i="31"/>
  <c r="K9" i="31"/>
  <c r="K8" i="31"/>
  <c r="K19" i="31" l="1"/>
  <c r="B21" i="31"/>
  <c r="K21" i="31" s="1"/>
  <c r="K12" i="31"/>
  <c r="K10" i="31"/>
  <c r="K20" i="30" l="1"/>
  <c r="J19" i="30"/>
  <c r="J21" i="30" s="1"/>
  <c r="I19" i="30"/>
  <c r="I21" i="30" s="1"/>
  <c r="H19" i="30"/>
  <c r="H21" i="30" s="1"/>
  <c r="G19" i="30"/>
  <c r="G21" i="30" s="1"/>
  <c r="F19" i="30"/>
  <c r="F21" i="30" s="1"/>
  <c r="E19" i="30"/>
  <c r="E21" i="30" s="1"/>
  <c r="D19" i="30"/>
  <c r="D21" i="30" s="1"/>
  <c r="C19" i="30"/>
  <c r="C21" i="30" s="1"/>
  <c r="B19" i="30"/>
  <c r="B21" i="30" s="1"/>
  <c r="K18" i="30"/>
  <c r="K17" i="30"/>
  <c r="K9" i="30"/>
  <c r="K11" i="30"/>
  <c r="K8" i="30"/>
  <c r="C10" i="30"/>
  <c r="C12" i="30" s="1"/>
  <c r="D10" i="30"/>
  <c r="D12" i="30" s="1"/>
  <c r="E10" i="30"/>
  <c r="E12" i="30" s="1"/>
  <c r="F10" i="30"/>
  <c r="F12" i="30" s="1"/>
  <c r="G10" i="30"/>
  <c r="G12" i="30" s="1"/>
  <c r="H10" i="30"/>
  <c r="H12" i="30" s="1"/>
  <c r="I10" i="30"/>
  <c r="I12" i="30" s="1"/>
  <c r="J10" i="30"/>
  <c r="J12" i="30" s="1"/>
  <c r="B10" i="30"/>
  <c r="C10" i="19"/>
  <c r="C12" i="19"/>
  <c r="D10" i="19"/>
  <c r="D12" i="19" s="1"/>
  <c r="E10" i="19"/>
  <c r="E12" i="19"/>
  <c r="F10" i="19"/>
  <c r="F12" i="19" s="1"/>
  <c r="G10" i="19"/>
  <c r="G12" i="19"/>
  <c r="H10" i="19"/>
  <c r="H12" i="19" s="1"/>
  <c r="I10" i="19"/>
  <c r="I12" i="19"/>
  <c r="J10" i="19"/>
  <c r="J12" i="19" s="1"/>
  <c r="K10" i="19"/>
  <c r="K12" i="19" s="1"/>
  <c r="B10" i="19"/>
  <c r="B12" i="19"/>
  <c r="C19" i="19"/>
  <c r="C21" i="19"/>
  <c r="D19" i="19"/>
  <c r="D21" i="19"/>
  <c r="E19" i="19"/>
  <c r="E21" i="19" s="1"/>
  <c r="F19" i="19"/>
  <c r="F21" i="19"/>
  <c r="G19" i="19"/>
  <c r="G21" i="19" s="1"/>
  <c r="H19" i="19"/>
  <c r="H21" i="19"/>
  <c r="I19" i="19"/>
  <c r="I21" i="19" s="1"/>
  <c r="J19" i="19"/>
  <c r="J21" i="19" s="1"/>
  <c r="K19" i="19"/>
  <c r="K21" i="19" s="1"/>
  <c r="B19" i="19"/>
  <c r="B21" i="19"/>
  <c r="K10" i="13"/>
  <c r="K12" i="13" s="1"/>
  <c r="J10" i="13"/>
  <c r="J12" i="13" s="1"/>
  <c r="I10" i="13"/>
  <c r="I12" i="13" s="1"/>
  <c r="H10" i="13"/>
  <c r="H12" i="13" s="1"/>
  <c r="G10" i="13"/>
  <c r="G12" i="13" s="1"/>
  <c r="F10" i="13"/>
  <c r="F12" i="13"/>
  <c r="E10" i="13"/>
  <c r="E12" i="13" s="1"/>
  <c r="D10" i="13"/>
  <c r="D12" i="13"/>
  <c r="C10" i="13"/>
  <c r="C12" i="13" s="1"/>
  <c r="B10" i="13"/>
  <c r="B12" i="13"/>
  <c r="K19" i="13"/>
  <c r="K21" i="13" s="1"/>
  <c r="J19" i="13"/>
  <c r="J21" i="13" s="1"/>
  <c r="I19" i="13"/>
  <c r="I21" i="13" s="1"/>
  <c r="H19" i="13"/>
  <c r="H21" i="13"/>
  <c r="G19" i="13"/>
  <c r="G21" i="13" s="1"/>
  <c r="F19" i="13"/>
  <c r="F21" i="13"/>
  <c r="E19" i="13"/>
  <c r="E21" i="13" s="1"/>
  <c r="D19" i="13"/>
  <c r="D21" i="13"/>
  <c r="C19" i="13"/>
  <c r="C21" i="13" s="1"/>
  <c r="B19" i="13"/>
  <c r="B21" i="13" s="1"/>
  <c r="K10" i="5"/>
  <c r="K12" i="5" s="1"/>
  <c r="J10" i="5"/>
  <c r="J12" i="5"/>
  <c r="I10" i="5"/>
  <c r="I12" i="5" s="1"/>
  <c r="H10" i="5"/>
  <c r="H12" i="5" s="1"/>
  <c r="G10" i="5"/>
  <c r="G12" i="5" s="1"/>
  <c r="F10" i="5"/>
  <c r="F12" i="5"/>
  <c r="E10" i="5"/>
  <c r="E12" i="5" s="1"/>
  <c r="D10" i="5"/>
  <c r="D12" i="5" s="1"/>
  <c r="C10" i="5"/>
  <c r="C12" i="5" s="1"/>
  <c r="B10" i="5"/>
  <c r="B12" i="5"/>
  <c r="C19" i="5"/>
  <c r="C21" i="5" s="1"/>
  <c r="D19" i="5"/>
  <c r="D21" i="5"/>
  <c r="E19" i="5"/>
  <c r="E21" i="5"/>
  <c r="F19" i="5"/>
  <c r="F21" i="5"/>
  <c r="G19" i="5"/>
  <c r="G21" i="5"/>
  <c r="H19" i="5"/>
  <c r="H21" i="5"/>
  <c r="I19" i="5"/>
  <c r="I21" i="5"/>
  <c r="J19" i="5"/>
  <c r="J21" i="5" s="1"/>
  <c r="K19" i="5"/>
  <c r="K21" i="5" s="1"/>
  <c r="B19" i="5"/>
  <c r="B21" i="5"/>
  <c r="C12" i="18"/>
  <c r="D12" i="18"/>
  <c r="E12" i="18"/>
  <c r="F12" i="18"/>
  <c r="G12" i="18"/>
  <c r="H12" i="18"/>
  <c r="I12" i="18"/>
  <c r="J12" i="18"/>
  <c r="K12" i="18"/>
  <c r="B12" i="18"/>
  <c r="C21" i="18"/>
  <c r="D21" i="18"/>
  <c r="E21" i="18"/>
  <c r="F21" i="18"/>
  <c r="G21" i="18"/>
  <c r="H21" i="18"/>
  <c r="I21" i="18"/>
  <c r="J21" i="18"/>
  <c r="K21" i="18"/>
  <c r="B21" i="18"/>
  <c r="C12" i="17"/>
  <c r="D12" i="17"/>
  <c r="E12" i="17"/>
  <c r="F12" i="17"/>
  <c r="G12" i="17"/>
  <c r="H12" i="17"/>
  <c r="I12" i="17"/>
  <c r="J12" i="17"/>
  <c r="K12" i="17"/>
  <c r="B12" i="17"/>
  <c r="C21" i="17"/>
  <c r="D21" i="17"/>
  <c r="E21" i="17"/>
  <c r="F21" i="17"/>
  <c r="G21" i="17"/>
  <c r="H21" i="17"/>
  <c r="I21" i="17"/>
  <c r="J21" i="17"/>
  <c r="K21" i="17"/>
  <c r="B21" i="17"/>
  <c r="B8" i="15"/>
  <c r="C8" i="15"/>
  <c r="D8" i="15"/>
  <c r="E8" i="15"/>
  <c r="F8" i="15"/>
  <c r="G8" i="15"/>
  <c r="H8" i="15"/>
  <c r="I8" i="15"/>
  <c r="J8" i="15"/>
  <c r="K8" i="15"/>
  <c r="B9" i="15"/>
  <c r="C9" i="15"/>
  <c r="D9" i="15"/>
  <c r="E9" i="15"/>
  <c r="F9" i="15"/>
  <c r="G9" i="15"/>
  <c r="H9" i="15"/>
  <c r="I9" i="15"/>
  <c r="J9" i="15"/>
  <c r="K9" i="15"/>
  <c r="B10" i="15"/>
  <c r="B12" i="15"/>
  <c r="C10" i="15"/>
  <c r="C12" i="15"/>
  <c r="D10" i="15"/>
  <c r="D12" i="15"/>
  <c r="E10" i="15"/>
  <c r="E12" i="15"/>
  <c r="F10" i="15"/>
  <c r="F12" i="15"/>
  <c r="G10" i="15"/>
  <c r="G12" i="15"/>
  <c r="H10" i="15"/>
  <c r="H12" i="15" s="1"/>
  <c r="I10" i="15"/>
  <c r="I12" i="15" s="1"/>
  <c r="J10" i="15"/>
  <c r="J12" i="15" s="1"/>
  <c r="K10" i="15"/>
  <c r="K12" i="15"/>
  <c r="B17" i="15"/>
  <c r="C17" i="15"/>
  <c r="D17" i="15"/>
  <c r="E17" i="15"/>
  <c r="F17" i="15"/>
  <c r="G17" i="15"/>
  <c r="H17" i="15"/>
  <c r="I17" i="15"/>
  <c r="J17" i="15"/>
  <c r="K17" i="15"/>
  <c r="B18" i="15"/>
  <c r="C18" i="15"/>
  <c r="D18" i="15"/>
  <c r="E18" i="15"/>
  <c r="F18" i="15"/>
  <c r="G18" i="15"/>
  <c r="H18" i="15"/>
  <c r="I18" i="15"/>
  <c r="J18" i="15"/>
  <c r="K18" i="15"/>
  <c r="B19" i="15"/>
  <c r="B21" i="15" s="1"/>
  <c r="C19" i="15"/>
  <c r="C21" i="15" s="1"/>
  <c r="D19" i="15"/>
  <c r="D21" i="15" s="1"/>
  <c r="E19" i="15"/>
  <c r="E21" i="15"/>
  <c r="F19" i="15"/>
  <c r="F21" i="15" s="1"/>
  <c r="G19" i="15"/>
  <c r="G21" i="15" s="1"/>
  <c r="H19" i="15"/>
  <c r="H21" i="15"/>
  <c r="I19" i="15"/>
  <c r="I21" i="15" s="1"/>
  <c r="J19" i="15"/>
  <c r="J21" i="15" s="1"/>
  <c r="K19" i="15"/>
  <c r="K21" i="15" s="1"/>
  <c r="B35" i="15"/>
  <c r="C35" i="15"/>
  <c r="D35" i="15"/>
  <c r="E35" i="15"/>
  <c r="F35" i="15"/>
  <c r="G35" i="15"/>
  <c r="H35" i="15"/>
  <c r="I35" i="15"/>
  <c r="J35" i="15"/>
  <c r="K35" i="15"/>
  <c r="B36" i="15"/>
  <c r="C36" i="15"/>
  <c r="D36" i="15"/>
  <c r="E36" i="15"/>
  <c r="F36" i="15"/>
  <c r="G36" i="15"/>
  <c r="H36" i="15"/>
  <c r="I36" i="15"/>
  <c r="J36" i="15"/>
  <c r="K36" i="15"/>
  <c r="B37" i="15"/>
  <c r="C37" i="15"/>
  <c r="D37" i="15"/>
  <c r="E37" i="15"/>
  <c r="F37" i="15"/>
  <c r="G37" i="15"/>
  <c r="H37" i="15"/>
  <c r="I37" i="15"/>
  <c r="J37" i="15"/>
  <c r="K37" i="15"/>
  <c r="B42" i="15"/>
  <c r="C42" i="15"/>
  <c r="D42" i="15"/>
  <c r="E42" i="15"/>
  <c r="F42" i="15"/>
  <c r="G42" i="15"/>
  <c r="H42" i="15"/>
  <c r="I42" i="15"/>
  <c r="J42" i="15"/>
  <c r="K42" i="15"/>
  <c r="B43" i="15"/>
  <c r="C43" i="15"/>
  <c r="D43" i="15"/>
  <c r="E43" i="15"/>
  <c r="F43" i="15"/>
  <c r="G43" i="15"/>
  <c r="H43" i="15"/>
  <c r="I43" i="15"/>
  <c r="J43" i="15"/>
  <c r="K43" i="15"/>
  <c r="B44" i="15"/>
  <c r="C44" i="15"/>
  <c r="D44" i="15"/>
  <c r="E44" i="15"/>
  <c r="F44" i="15"/>
  <c r="G44" i="15"/>
  <c r="H44" i="15"/>
  <c r="I44" i="15"/>
  <c r="J44" i="15"/>
  <c r="K44" i="15"/>
  <c r="B49" i="15"/>
  <c r="C49" i="15"/>
  <c r="D49" i="15"/>
  <c r="E49" i="15"/>
  <c r="F49" i="15"/>
  <c r="G49" i="15"/>
  <c r="H49" i="15"/>
  <c r="I49" i="15"/>
  <c r="J49" i="15"/>
  <c r="K49" i="15"/>
  <c r="B50" i="15"/>
  <c r="C50" i="15"/>
  <c r="D50" i="15"/>
  <c r="E50" i="15"/>
  <c r="F50" i="15"/>
  <c r="G50" i="15"/>
  <c r="H50" i="15"/>
  <c r="I50" i="15"/>
  <c r="J50" i="15"/>
  <c r="K50" i="15"/>
  <c r="B51" i="15"/>
  <c r="C51" i="15"/>
  <c r="D51" i="15"/>
  <c r="E51" i="15"/>
  <c r="F51" i="15"/>
  <c r="G51" i="15"/>
  <c r="H51" i="15"/>
  <c r="I51" i="15"/>
  <c r="J51" i="15"/>
  <c r="K51" i="15"/>
  <c r="B8" i="16"/>
  <c r="C8" i="16"/>
  <c r="D8" i="16"/>
  <c r="E8" i="16"/>
  <c r="F8" i="16"/>
  <c r="G8" i="16"/>
  <c r="H8" i="16"/>
  <c r="I8" i="16"/>
  <c r="J8" i="16"/>
  <c r="K8" i="16"/>
  <c r="B9" i="16"/>
  <c r="C9" i="16"/>
  <c r="D9" i="16"/>
  <c r="E9" i="16"/>
  <c r="F9" i="16"/>
  <c r="G9" i="16"/>
  <c r="H9" i="16"/>
  <c r="I9" i="16"/>
  <c r="J9" i="16"/>
  <c r="K9" i="16"/>
  <c r="B10" i="16"/>
  <c r="B12" i="16" s="1"/>
  <c r="C10" i="16"/>
  <c r="C12" i="16" s="1"/>
  <c r="D10" i="16"/>
  <c r="D12" i="16" s="1"/>
  <c r="E10" i="16"/>
  <c r="E12" i="16"/>
  <c r="F10" i="16"/>
  <c r="F12" i="16" s="1"/>
  <c r="G10" i="16"/>
  <c r="G12" i="16" s="1"/>
  <c r="H10" i="16"/>
  <c r="H12" i="16" s="1"/>
  <c r="I10" i="16"/>
  <c r="I12" i="16"/>
  <c r="J10" i="16"/>
  <c r="J12" i="16" s="1"/>
  <c r="K10" i="16"/>
  <c r="K12" i="16" s="1"/>
  <c r="B17" i="16"/>
  <c r="C17" i="16"/>
  <c r="D17" i="16"/>
  <c r="E17" i="16"/>
  <c r="F17" i="16"/>
  <c r="G17" i="16"/>
  <c r="H17" i="16"/>
  <c r="I17" i="16"/>
  <c r="J17" i="16"/>
  <c r="K17" i="16"/>
  <c r="B18" i="16"/>
  <c r="C18" i="16"/>
  <c r="D18" i="16"/>
  <c r="E18" i="16"/>
  <c r="F18" i="16"/>
  <c r="G18" i="16"/>
  <c r="H18" i="16"/>
  <c r="I18" i="16"/>
  <c r="J18" i="16"/>
  <c r="K18" i="16"/>
  <c r="B19" i="16"/>
  <c r="B21" i="16" s="1"/>
  <c r="C19" i="16"/>
  <c r="C21" i="16"/>
  <c r="D19" i="16"/>
  <c r="D21" i="16" s="1"/>
  <c r="E19" i="16"/>
  <c r="E21" i="16" s="1"/>
  <c r="F19" i="16"/>
  <c r="F21" i="16"/>
  <c r="G19" i="16"/>
  <c r="G21" i="16" s="1"/>
  <c r="H19" i="16"/>
  <c r="H21" i="16" s="1"/>
  <c r="I19" i="16"/>
  <c r="I21" i="16" s="1"/>
  <c r="J19" i="16"/>
  <c r="J21" i="16"/>
  <c r="K19" i="16"/>
  <c r="K21" i="16" s="1"/>
  <c r="B35" i="16"/>
  <c r="C35" i="16"/>
  <c r="D35" i="16"/>
  <c r="E35" i="16"/>
  <c r="F35" i="16"/>
  <c r="G35" i="16"/>
  <c r="H35" i="16"/>
  <c r="I35" i="16"/>
  <c r="J35" i="16"/>
  <c r="K35" i="16"/>
  <c r="B36" i="16"/>
  <c r="C36" i="16"/>
  <c r="D36" i="16"/>
  <c r="E36" i="16"/>
  <c r="F36" i="16"/>
  <c r="G36" i="16"/>
  <c r="H36" i="16"/>
  <c r="I36" i="16"/>
  <c r="J36" i="16"/>
  <c r="K36" i="16"/>
  <c r="B37" i="16"/>
  <c r="C37" i="16"/>
  <c r="D37" i="16"/>
  <c r="E37" i="16"/>
  <c r="F37" i="16"/>
  <c r="G37" i="16"/>
  <c r="H37" i="16"/>
  <c r="I37" i="16"/>
  <c r="J37" i="16"/>
  <c r="K37" i="16"/>
  <c r="B42" i="16"/>
  <c r="C42" i="16"/>
  <c r="D42" i="16"/>
  <c r="E42" i="16"/>
  <c r="F42" i="16"/>
  <c r="G42" i="16"/>
  <c r="H42" i="16"/>
  <c r="I42" i="16"/>
  <c r="J42" i="16"/>
  <c r="K42" i="16"/>
  <c r="B43" i="16"/>
  <c r="C43" i="16"/>
  <c r="D43" i="16"/>
  <c r="E43" i="16"/>
  <c r="F43" i="16"/>
  <c r="G43" i="16"/>
  <c r="H43" i="16"/>
  <c r="I43" i="16"/>
  <c r="J43" i="16"/>
  <c r="K43" i="16"/>
  <c r="B44" i="16"/>
  <c r="C44" i="16"/>
  <c r="D44" i="16"/>
  <c r="E44" i="16"/>
  <c r="F44" i="16"/>
  <c r="G44" i="16"/>
  <c r="H44" i="16"/>
  <c r="I44" i="16"/>
  <c r="J44" i="16"/>
  <c r="K44" i="16"/>
  <c r="B49" i="16"/>
  <c r="C49" i="16"/>
  <c r="D49" i="16"/>
  <c r="E49" i="16"/>
  <c r="F49" i="16"/>
  <c r="G49" i="16"/>
  <c r="H49" i="16"/>
  <c r="I49" i="16"/>
  <c r="J49" i="16"/>
  <c r="K49" i="16"/>
  <c r="B50" i="16"/>
  <c r="C50" i="16"/>
  <c r="D50" i="16"/>
  <c r="E50" i="16"/>
  <c r="F50" i="16"/>
  <c r="G50" i="16"/>
  <c r="H50" i="16"/>
  <c r="I50" i="16"/>
  <c r="J50" i="16"/>
  <c r="K50" i="16"/>
  <c r="B51" i="16"/>
  <c r="C51" i="16"/>
  <c r="D51" i="16"/>
  <c r="E51" i="16"/>
  <c r="F51" i="16"/>
  <c r="G51" i="16"/>
  <c r="H51" i="16"/>
  <c r="I51" i="16"/>
  <c r="J51" i="16"/>
  <c r="K51" i="16"/>
  <c r="C21" i="4"/>
  <c r="D21" i="4"/>
  <c r="E21" i="4"/>
  <c r="F21" i="4"/>
  <c r="G21" i="4"/>
  <c r="H21" i="4"/>
  <c r="I21" i="4"/>
  <c r="J21" i="4"/>
  <c r="K21" i="4"/>
  <c r="B21" i="4"/>
  <c r="C12" i="4"/>
  <c r="D12" i="4"/>
  <c r="E12" i="4"/>
  <c r="F12" i="4"/>
  <c r="G12" i="4"/>
  <c r="H12" i="4"/>
  <c r="I12" i="4"/>
  <c r="J12" i="4"/>
  <c r="K12" i="4"/>
  <c r="B12" i="4"/>
  <c r="K10" i="30" l="1"/>
  <c r="B12" i="30"/>
  <c r="K21" i="30"/>
  <c r="K19" i="30"/>
  <c r="K12" i="30" l="1"/>
</calcChain>
</file>

<file path=xl/sharedStrings.xml><?xml version="1.0" encoding="utf-8"?>
<sst xmlns="http://schemas.openxmlformats.org/spreadsheetml/2006/main" count="1641" uniqueCount="134">
  <si>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</si>
  <si>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</si>
  <si>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</si>
  <si>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</si>
  <si>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</si>
  <si>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</si>
  <si>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</si>
  <si>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</si>
  <si>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</si>
  <si>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Se.</t>
  </si>
  <si>
    <t>Zw Vj</t>
  </si>
  <si>
    <t>Se</t>
  </si>
  <si>
    <t>SpbAbg</t>
  </si>
  <si>
    <t>Bedarfszuweisungsmittel gemäß § 22 Abs. 1 FAG 2001</t>
  </si>
  <si>
    <t>Mio. Euro</t>
  </si>
  <si>
    <t>Von den Ertragsanteilen der Gemeinden entfallen auf besondere Verteilungsschlüssel:</t>
  </si>
  <si>
    <t>Getränkesteuerausgleich (Vert. nach Aufk. 93-97)</t>
  </si>
  <si>
    <t>Anz.-u.Ank.Abg.-Ausgleich (Verteilung nach Aufk. 96-98)</t>
  </si>
  <si>
    <t>Anz.-u.Ank.Abg.-Ausgleich (Verteilung nach Volkszahl)</t>
  </si>
  <si>
    <t>VS 2004</t>
  </si>
  <si>
    <t>Ertragsanteile 2004 Kassa, Länder</t>
  </si>
  <si>
    <t>Ertragsanteile 2004 Kassa, Gemeinden</t>
  </si>
  <si>
    <t>Ertragsanteile 2005 Kassa, Gemeinden</t>
  </si>
  <si>
    <t>VS 2005</t>
  </si>
  <si>
    <t>Ertragsanteile 2005 Kassa, Länder</t>
  </si>
  <si>
    <t>Ertragsanteile 2006 Kassa, Gemeinden</t>
  </si>
  <si>
    <t>VS 2006</t>
  </si>
  <si>
    <t>Ertragsanteile 2006 Kassa, Länder</t>
  </si>
  <si>
    <t>Ertragsanteile 2007 Kassa, Gemeinden</t>
  </si>
  <si>
    <t>VS 2007</t>
  </si>
  <si>
    <t>Ertragsanteile 2007 Kassa, Länder</t>
  </si>
  <si>
    <t>Bedarfszuweisungsmittel gemäß § 22 Abs. 1 und 4 FAG 2005</t>
  </si>
  <si>
    <t>Kassenmäßige Ertragsanteile 2000, Erfolg, in Mio. Euro</t>
  </si>
  <si>
    <t>Ertragsanteile 2000 Kassa, Gemeinden</t>
  </si>
  <si>
    <t>mit Sonderkonto Werbeabgabe</t>
  </si>
  <si>
    <t>VS 2000</t>
  </si>
  <si>
    <t>Ertragsanteile 2000 Kassa, Länder</t>
  </si>
  <si>
    <t>Bedarfszuweisungsmittel gemäß § 21a FAG 1997</t>
  </si>
  <si>
    <t>im Jahr</t>
  </si>
  <si>
    <t>2000</t>
  </si>
  <si>
    <t>Von den Ertragsanteile der Gemeinden entfallen auf besondere Verteilungsschlüssel:</t>
  </si>
  <si>
    <t>Kassenmäßige Ertragsanteile 2001, Erfolg, in Mio. Euro</t>
  </si>
  <si>
    <t>Ertragsanteile 2001 Kassa, Gemeinden</t>
  </si>
  <si>
    <t>ohne Sonderkonto Werbeabgabe</t>
  </si>
  <si>
    <t>VS 2001</t>
  </si>
  <si>
    <t>Ertragsanteile 2001 Kassa, Länder</t>
  </si>
  <si>
    <t>2001</t>
  </si>
  <si>
    <t>Kassenmäßige Ertragsanteile 2002, Erfolg, in Mio. Euro</t>
  </si>
  <si>
    <t>Ertragsanteile 2002 Kassa, Gemeinden</t>
  </si>
  <si>
    <t>VS 2002</t>
  </si>
  <si>
    <t>Ertragsanteile 2002 Kassa, Länder</t>
  </si>
  <si>
    <t>Kassenmäßige Ertragsanteile 2003, Erfolg, in Mio. Euro</t>
  </si>
  <si>
    <t>Ertragsanteile 2003 Kassa, Gemeinden</t>
  </si>
  <si>
    <t>VS 2003</t>
  </si>
  <si>
    <t>Ertragsanteile 2003 Kassa, Länder</t>
  </si>
  <si>
    <t>Kassenmäßige Ertragsanteile 2004, Erfolg, in Mio. Euro</t>
  </si>
  <si>
    <t>Kassenmäßige Ertragsanteile 2005, Erfolg, in Mio. Euro</t>
  </si>
  <si>
    <t>Kassenmäßige Ertragsanteile 2006, Erfolg, in Mio. Euro</t>
  </si>
  <si>
    <t>Kassenmäßige Ertragsanteile 2007, Erfolg, in Mio. Euro</t>
  </si>
  <si>
    <t>Ertragsanteile 2008 Kassa, Gemeinden</t>
  </si>
  <si>
    <t>VS 2008</t>
  </si>
  <si>
    <t>Ertragsanteile 2008 Kassa, Länder</t>
  </si>
  <si>
    <t>Vorausanteil gemäß § 11 Abs. 5</t>
  </si>
  <si>
    <t>Valorisierung gg. Vorjahr:</t>
  </si>
  <si>
    <t>Abs. 5</t>
  </si>
  <si>
    <t>Ertragsanteile 2009 Kassa, Gemeinden</t>
  </si>
  <si>
    <t>VS 2009</t>
  </si>
  <si>
    <t>Ertragsanteile 2009 Kassa, Länder</t>
  </si>
  <si>
    <t>Kassenmäßige Ertragsanteile 2008, in Mio. Euro</t>
  </si>
  <si>
    <t>Kassenmäßige Ertragsanteile 2009, in Mio. Euro</t>
  </si>
  <si>
    <t>Kassenmäßige Ertragsanteile 2010, in Mio. Euro</t>
  </si>
  <si>
    <t>Ertragsanteile 2010 Kassa, Gemeinden</t>
  </si>
  <si>
    <t>VS 2010</t>
  </si>
  <si>
    <t>Ertragsanteile 2010 Kassa, Länder</t>
  </si>
  <si>
    <t>Kassenmäßige Ertragsanteile 2011, in Mio. Euro</t>
  </si>
  <si>
    <t>Ertragsanteile 2011 Kassa, Gemeinden</t>
  </si>
  <si>
    <t>VS 2011</t>
  </si>
  <si>
    <t>Ertragsanteile 2011 Kassa, Länder</t>
  </si>
  <si>
    <t>Vorausanteile gemäß § 11 Abs. 5 und 6</t>
  </si>
  <si>
    <t>Abs. 6</t>
  </si>
  <si>
    <t>Kassenmäßige Ertragsanteile 2012, in Mio. Euro</t>
  </si>
  <si>
    <t>Ertragsanteile 2012 Kassa, Gemeinden</t>
  </si>
  <si>
    <t>VS 2012 vor Abzug ehem. Landespflegegeld</t>
  </si>
  <si>
    <t>Zw-Se vor Abzug ehem. Landespflegegeld</t>
  </si>
  <si>
    <t>Abzug ehem. Landespflegegeld</t>
  </si>
  <si>
    <t>Se ohne Spielbankabgabe</t>
  </si>
  <si>
    <t>Ertragsanteile 2012 Kassa, Länder</t>
  </si>
  <si>
    <t>VS 2012</t>
  </si>
  <si>
    <t>Vorausanteil gemäß § 11 Abs. 5 und Abs. 6</t>
  </si>
  <si>
    <t>Kassenmäßige Ertragsanteile 2013, in Mio. Euro</t>
  </si>
  <si>
    <t>Ertragsanteile 2013 Kassa, Gemeinden</t>
  </si>
  <si>
    <t>VS 2013 vor Abzug ehem. Landespflegegeld</t>
  </si>
  <si>
    <t>Ertragsanteile 2013 Kassa, Länder</t>
  </si>
  <si>
    <t>VS 2013</t>
  </si>
  <si>
    <t>VS 2014</t>
  </si>
  <si>
    <t>VS 2014 vor Abzug ehem. Landespflegegeld</t>
  </si>
  <si>
    <t>Ertragsanteile 2014 Kassa, Länder</t>
  </si>
  <si>
    <t>Ertragsanteile 2014 Kassa, Gemeinden</t>
  </si>
  <si>
    <t>Kassenmäßige Ertragsanteile 2014, in Mio. Euro</t>
  </si>
  <si>
    <t>Kassenmäßige Ertragsanteile 2015, in Mio. Euro</t>
  </si>
  <si>
    <t>Ertragsanteile 2015 Kassa, Gemeinden</t>
  </si>
  <si>
    <t>VS 2015 vor Abzug ehem. Landespflegegeld</t>
  </si>
  <si>
    <t>Ertragsanteile 2015 Kassa, Länder</t>
  </si>
  <si>
    <t>VS 2015</t>
  </si>
  <si>
    <t>Vorausanteil gemäß § 11 Abs. 7a</t>
  </si>
  <si>
    <t>Valorisierung 2012-2014:</t>
  </si>
  <si>
    <t>Abs. 7a</t>
  </si>
  <si>
    <t>Stmk. *)</t>
  </si>
  <si>
    <t>*) Ertragsanteile der Gemeinden des Landes Steiermark ohne Berücksichtigung des § 21 Abs. 9a FAG 2008</t>
  </si>
  <si>
    <t>Kassenmäßige Ertragsanteile 2016, in Mio. Euro</t>
  </si>
  <si>
    <t>Ertragsanteile 2016 Kassa, Gemeinden</t>
  </si>
  <si>
    <t>VS 2016 vor Abzug ehem. Landespflegegeld</t>
  </si>
  <si>
    <t>Ertragsanteile 2016 Kassa, Länder</t>
  </si>
  <si>
    <t>VS 2016</t>
  </si>
  <si>
    <t>Kassenmäßige Ertragsanteile 2017, in Mio. Euro</t>
  </si>
  <si>
    <t>Ertragsanteile 2017 Kassa, Gemeinden</t>
  </si>
  <si>
    <t>Ertragsanteile 2017 Kassa, Länder</t>
  </si>
  <si>
    <t>Zwischenabrechnung Vorjahr</t>
  </si>
  <si>
    <t>Vorschüsse</t>
  </si>
  <si>
    <t>Spielbankabgabe</t>
  </si>
  <si>
    <t>Summe</t>
  </si>
  <si>
    <t>Kassenmäßige Ertragsanteile 2018, in Mio. Euro</t>
  </si>
  <si>
    <t>Ertragsanteile 2018 Kassa, Gemeinden</t>
  </si>
  <si>
    <t>Ertragsanteile 2018 Kassa, Länder</t>
  </si>
  <si>
    <t>*) Ertragsanteile der Gemeinden des Landes Steiermark ohne Berücksichtigung des § 30 Abs. 4 FAG 2017</t>
  </si>
  <si>
    <t>Kassenmäßige Ertragsanteile 2019, in Mio. Euro</t>
  </si>
  <si>
    <t>Ertragsanteile 2019 Kassa, Gemeinden</t>
  </si>
  <si>
    <t>Ertragsanteile 2019 Kassa, Länder</t>
  </si>
  <si>
    <t>Kassenmäßige Ertragsanteile 2020, in Mio. Euro</t>
  </si>
  <si>
    <t>Ertragsanteile 2020 Kassa, Gemeinden</t>
  </si>
  <si>
    <t>Ertragsanteile 2020 Kassa, Länder</t>
  </si>
  <si>
    <t>Kassenmäßige Ertragsanteile 2021, in Mio. Euro</t>
  </si>
  <si>
    <t>Ertragsanteile 2021 Kassa, Gemeinden</t>
  </si>
  <si>
    <t>Ertragsanteile 2021 Kassa, Länder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</si>
</sst>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"/>
    <numFmt numFmtId="165" formatCode="#,##0.000"/>
    <numFmt numFmtId="166" formatCode="\+0.00%;\-0.00%;\-"/>
    <numFmt numFmtId="167" formatCode="_-* #,##0.00\ _Ö_S_-;\-* #,##0.00\ _Ö_S_-;_-* &quot;-&quot;??\ _Ö_S_-;_-@_-"/>
  </numFmts>
  <fonts count="16" x14ac:knownFonts="1">
    <font>
      <sz val="10"/>
      <name val="Arial"/>
    </font>
    <font>
      <sz val="10"/>
      <name val="Arial"/>
      <family val="2"/>
    </font>
    <font>
      <sz val="10"/>
      <name val="Helv"/>
    </font>
    <font>
      <b/>
      <sz val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Helv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167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</cellStyleXfs>
  <cellXfs count="76">
    <xf numFmtId="0" fontId="0" fillId="0" borderId="0" xfId="0"/>
    <xf numFmtId="0" fontId="3" fillId="0" borderId="0" xfId="0" applyFont="1"/>
    <xf numFmtId="0" fontId="4" fillId="0" borderId="0" xfId="0" applyFont="1"/>
    <xf numFmtId="3" fontId="5" fillId="0" borderId="0" xfId="0" applyNumberFormat="1" applyFont="1"/>
    <xf numFmtId="3" fontId="0" fillId="0" borderId="0" xfId="0" applyNumberFormat="1"/>
    <xf numFmtId="3" fontId="6" fillId="0" borderId="0" xfId="0" applyNumberFormat="1" applyFont="1"/>
    <xf numFmtId="3" fontId="7" fillId="0" borderId="0" xfId="11" applyNumberFormat="1" applyFont="1" applyAlignment="1">
      <alignment horizontal="right"/>
    </xf>
    <xf numFmtId="4" fontId="6" fillId="0" borderId="0" xfId="0" applyNumberFormat="1" applyFont="1"/>
    <xf numFmtId="4" fontId="8" fillId="0" borderId="0" xfId="0" applyNumberFormat="1" applyFont="1"/>
    <xf numFmtId="3" fontId="9" fillId="0" borderId="0" xfId="0" applyNumberFormat="1" applyFont="1"/>
    <xf numFmtId="4" fontId="10" fillId="0" borderId="0" xfId="0" applyNumberFormat="1" applyFont="1"/>
    <xf numFmtId="164" fontId="11" fillId="0" borderId="0" xfId="0" applyNumberFormat="1" applyFont="1"/>
    <xf numFmtId="164" fontId="0" fillId="0" borderId="0" xfId="0" applyNumberFormat="1"/>
    <xf numFmtId="164" fontId="12" fillId="0" borderId="0" xfId="0" applyNumberFormat="1" applyFont="1"/>
    <xf numFmtId="164" fontId="7" fillId="0" borderId="0" xfId="11" applyNumberFormat="1" applyFont="1" applyAlignment="1">
      <alignment horizontal="right"/>
    </xf>
    <xf numFmtId="3" fontId="10" fillId="0" borderId="0" xfId="0" applyNumberFormat="1" applyFont="1"/>
    <xf numFmtId="4" fontId="4" fillId="0" borderId="0" xfId="0" applyNumberFormat="1" applyFont="1"/>
    <xf numFmtId="3" fontId="8" fillId="0" borderId="0" xfId="0" applyNumberFormat="1" applyFont="1"/>
    <xf numFmtId="0" fontId="10" fillId="0" borderId="0" xfId="0" applyFont="1"/>
    <xf numFmtId="4" fontId="0" fillId="0" borderId="0" xfId="0" applyNumberFormat="1"/>
    <xf numFmtId="0" fontId="4" fillId="0" borderId="0" xfId="0" quotePrefix="1" applyFont="1"/>
    <xf numFmtId="165" fontId="11" fillId="0" borderId="0" xfId="0" applyNumberFormat="1" applyFont="1"/>
    <xf numFmtId="165" fontId="12" fillId="0" borderId="0" xfId="0" applyNumberFormat="1" applyFont="1"/>
    <xf numFmtId="165" fontId="7" fillId="0" borderId="0" xfId="11" applyNumberFormat="1" applyFont="1" applyAlignment="1">
      <alignment horizontal="right"/>
    </xf>
    <xf numFmtId="4" fontId="12" fillId="0" borderId="0" xfId="0" applyNumberFormat="1" applyFont="1"/>
    <xf numFmtId="165" fontId="0" fillId="0" borderId="0" xfId="0" applyNumberFormat="1"/>
    <xf numFmtId="4" fontId="6" fillId="0" borderId="0" xfId="0" applyNumberFormat="1" applyFont="1" applyFill="1"/>
    <xf numFmtId="4" fontId="8" fillId="0" borderId="0" xfId="0" applyNumberFormat="1" applyFont="1" applyFill="1"/>
    <xf numFmtId="4" fontId="12" fillId="0" borderId="0" xfId="0" applyNumberFormat="1" applyFont="1" applyFill="1"/>
    <xf numFmtId="0" fontId="3" fillId="0" borderId="0" xfId="0" applyFont="1" applyFill="1"/>
    <xf numFmtId="0" fontId="0" fillId="0" borderId="0" xfId="0" applyFill="1"/>
    <xf numFmtId="0" fontId="4" fillId="0" borderId="0" xfId="0" quotePrefix="1" applyFont="1" applyFill="1"/>
    <xf numFmtId="3" fontId="5" fillId="0" borderId="0" xfId="0" applyNumberFormat="1" applyFont="1" applyFill="1"/>
    <xf numFmtId="3" fontId="0" fillId="0" borderId="0" xfId="0" applyNumberFormat="1" applyFill="1"/>
    <xf numFmtId="3" fontId="6" fillId="0" borderId="0" xfId="0" applyNumberFormat="1" applyFont="1" applyFill="1"/>
    <xf numFmtId="3" fontId="7" fillId="0" borderId="0" xfId="11" applyNumberFormat="1" applyFont="1" applyFill="1" applyAlignment="1">
      <alignment horizontal="right"/>
    </xf>
    <xf numFmtId="3" fontId="9" fillId="0" borderId="0" xfId="0" applyNumberFormat="1" applyFont="1" applyFill="1"/>
    <xf numFmtId="4" fontId="10" fillId="0" borderId="0" xfId="0" applyNumberFormat="1" applyFont="1" applyFill="1"/>
    <xf numFmtId="164" fontId="0" fillId="0" borderId="0" xfId="0" applyNumberFormat="1" applyFill="1"/>
    <xf numFmtId="164" fontId="12" fillId="0" borderId="0" xfId="0" applyNumberFormat="1" applyFont="1" applyFill="1"/>
    <xf numFmtId="164" fontId="7" fillId="0" borderId="0" xfId="11" applyNumberFormat="1" applyFont="1" applyFill="1" applyAlignment="1">
      <alignment horizontal="right"/>
    </xf>
    <xf numFmtId="3" fontId="10" fillId="0" borderId="0" xfId="0" applyNumberFormat="1" applyFont="1" applyFill="1"/>
    <xf numFmtId="4" fontId="4" fillId="0" borderId="0" xfId="0" applyNumberFormat="1" applyFont="1" applyFill="1"/>
    <xf numFmtId="3" fontId="8" fillId="0" borderId="0" xfId="0" applyNumberFormat="1" applyFont="1" applyFill="1"/>
    <xf numFmtId="0" fontId="10" fillId="0" borderId="0" xfId="0" applyFont="1" applyFill="1"/>
    <xf numFmtId="0" fontId="4" fillId="0" borderId="0" xfId="0" applyFont="1" applyFill="1"/>
    <xf numFmtId="3" fontId="4" fillId="0" borderId="0" xfId="0" applyNumberFormat="1" applyFont="1"/>
    <xf numFmtId="166" fontId="1" fillId="0" borderId="0" xfId="2" applyNumberFormat="1"/>
    <xf numFmtId="0" fontId="6" fillId="0" borderId="0" xfId="0" applyFont="1" applyFill="1"/>
    <xf numFmtId="4" fontId="5" fillId="0" borderId="0" xfId="0" applyNumberFormat="1" applyFont="1" applyFill="1"/>
    <xf numFmtId="164" fontId="10" fillId="0" borderId="0" xfId="0" applyNumberFormat="1" applyFont="1" applyFill="1"/>
    <xf numFmtId="3" fontId="4" fillId="0" borderId="0" xfId="0" applyNumberFormat="1" applyFont="1" applyFill="1"/>
    <xf numFmtId="166" fontId="14" fillId="0" borderId="0" xfId="3" applyNumberFormat="1" applyFill="1"/>
    <xf numFmtId="0" fontId="4" fillId="0" borderId="0" xfId="9" applyFill="1"/>
    <xf numFmtId="4" fontId="4" fillId="0" borderId="0" xfId="9" applyNumberFormat="1" applyFont="1" applyFill="1"/>
    <xf numFmtId="3" fontId="4" fillId="0" borderId="0" xfId="9" applyNumberFormat="1" applyFont="1"/>
    <xf numFmtId="0" fontId="4" fillId="0" borderId="0" xfId="9" applyFont="1" applyFill="1"/>
    <xf numFmtId="3" fontId="4" fillId="0" borderId="0" xfId="9" applyNumberFormat="1"/>
    <xf numFmtId="3" fontId="4" fillId="0" borderId="0" xfId="9" applyNumberFormat="1" applyFill="1"/>
    <xf numFmtId="166" fontId="4" fillId="0" borderId="0" xfId="5" applyNumberFormat="1" applyFill="1"/>
    <xf numFmtId="3" fontId="10" fillId="0" borderId="0" xfId="9" applyNumberFormat="1" applyFont="1"/>
    <xf numFmtId="4" fontId="10" fillId="0" borderId="0" xfId="9" applyNumberFormat="1" applyFont="1" applyFill="1"/>
    <xf numFmtId="3" fontId="5" fillId="0" borderId="0" xfId="9" applyNumberFormat="1" applyFont="1" applyFill="1"/>
    <xf numFmtId="3" fontId="6" fillId="0" borderId="0" xfId="9" applyNumberFormat="1" applyFont="1" applyFill="1"/>
    <xf numFmtId="164" fontId="4" fillId="0" borderId="0" xfId="9" applyNumberFormat="1" applyFill="1"/>
    <xf numFmtId="3" fontId="10" fillId="0" borderId="0" xfId="9" applyNumberFormat="1" applyFont="1" applyFill="1"/>
    <xf numFmtId="3" fontId="4" fillId="0" borderId="0" xfId="9" applyNumberFormat="1" applyFont="1" applyFill="1"/>
    <xf numFmtId="4" fontId="5" fillId="0" borderId="0" xfId="9" applyNumberFormat="1" applyFont="1" applyFill="1"/>
    <xf numFmtId="4" fontId="6" fillId="0" borderId="0" xfId="9" applyNumberFormat="1" applyFont="1" applyFill="1"/>
    <xf numFmtId="164" fontId="10" fillId="0" borderId="0" xfId="9" applyNumberFormat="1" applyFont="1" applyFill="1"/>
    <xf numFmtId="0" fontId="6" fillId="0" borderId="0" xfId="9" applyFont="1" applyFill="1"/>
    <xf numFmtId="0" fontId="3" fillId="0" borderId="0" xfId="9" applyFont="1" applyFill="1"/>
    <xf numFmtId="166" fontId="0" fillId="0" borderId="0" xfId="4" applyNumberFormat="1" applyFont="1"/>
    <xf numFmtId="164" fontId="10" fillId="0" borderId="0" xfId="0" applyNumberFormat="1" applyFont="1"/>
    <xf numFmtId="3" fontId="15" fillId="0" borderId="0" xfId="9" applyNumberFormat="1" applyFont="1" applyFill="1"/>
    <xf numFmtId="165" fontId="5" fillId="0" borderId="0" xfId="9" applyNumberFormat="1" applyFont="1" applyFill="1"/>
  </cellXfs>
  <cellStyles count="12">
    <cellStyle name="Komma 2" xfId="1"/>
    <cellStyle name="Prozent" xfId="2" builtinId="5"/>
    <cellStyle name="Prozent 2" xfId="3"/>
    <cellStyle name="Prozent 2 2" xfId="4"/>
    <cellStyle name="Prozent 3" xfId="5"/>
    <cellStyle name="Prozent 4" xfId="6"/>
    <cellStyle name="Prozent 4 2" xfId="7"/>
    <cellStyle name="Prozent 5" xfId="8"/>
    <cellStyle name="Standard" xfId="0" builtinId="0"/>
    <cellStyle name="Standard 2" xfId="9"/>
    <cellStyle name="Standard 3" xfId="10"/>
    <cellStyle name="Standard_EAVERT96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4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32</v>
      </c>
    </row>
    <row r="2" spans="1:12" x14ac:dyDescent="0.2">
      <c r="A2" s="2"/>
    </row>
    <row r="5" spans="1:12" x14ac:dyDescent="0.2">
      <c r="A5" s="3" t="s">
        <v>33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5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35</v>
      </c>
      <c r="B8" s="7">
        <f>1910.68254322023/(13.7603)</f>
        <v>138.8547156108682</v>
      </c>
      <c r="C8" s="7">
        <f>4815.06052914454/(13.7603)</f>
        <v>349.92409534272798</v>
      </c>
      <c r="D8" s="7">
        <f>12142.2077683866/(13.7603)</f>
        <v>882.40865158365716</v>
      </c>
      <c r="E8" s="7">
        <f>11889.887702832/(13.7603)</f>
        <v>864.07183730238432</v>
      </c>
      <c r="F8" s="7">
        <f>4998.0546043093/(13.7603)</f>
        <v>363.22279342087745</v>
      </c>
      <c r="G8" s="7">
        <f>9762.37505763145/(13.7603)</f>
        <v>709.45946364770032</v>
      </c>
      <c r="H8" s="7">
        <f>6158.92213812778/(13.7603)</f>
        <v>447.58632719692014</v>
      </c>
      <c r="I8" s="7">
        <f>3345.30997258381/(13.7603)</f>
        <v>243.11315687767055</v>
      </c>
      <c r="J8" s="7">
        <f>19830.7346518572/(13.7603)</f>
        <v>1441.1556907812476</v>
      </c>
      <c r="K8" s="8">
        <f>74853.2349680928/(13.7603)</f>
        <v>5439.7967317640459</v>
      </c>
    </row>
    <row r="9" spans="1:12" x14ac:dyDescent="0.2">
      <c r="A9" s="5" t="s">
        <v>10</v>
      </c>
      <c r="B9" s="7">
        <f>97.1387457108682/(13.7603)</f>
        <v>7.0593479583198189</v>
      </c>
      <c r="C9" s="7">
        <f>214.953829345131/(13.7603)</f>
        <v>15.621303993745121</v>
      </c>
      <c r="D9" s="7">
        <f>566.253800903041/(13.7603)</f>
        <v>41.151268569946943</v>
      </c>
      <c r="E9" s="7">
        <f>502.431031186284/(13.7603)</f>
        <v>36.513087010187562</v>
      </c>
      <c r="F9" s="7">
        <f>210.925017387631/(13.7603)</f>
        <v>15.328518810464232</v>
      </c>
      <c r="G9" s="7">
        <f>454.070757791758/(13.7603)</f>
        <v>32.998608881474823</v>
      </c>
      <c r="H9" s="7">
        <f>263.35688322591/(13.7603)</f>
        <v>19.138891101640951</v>
      </c>
      <c r="I9" s="7">
        <f>131.1168780073/(13.7603)</f>
        <v>9.5286351320320044</v>
      </c>
      <c r="J9" s="7">
        <f>809.807858335812/(13.7603)</f>
        <v>58.851032196668093</v>
      </c>
      <c r="K9" s="8">
        <f>3250.05480189374/(13.7603)</f>
        <v>236.19069365447993</v>
      </c>
    </row>
    <row r="10" spans="1:12" x14ac:dyDescent="0.2">
      <c r="A10" s="9" t="s">
        <v>11</v>
      </c>
      <c r="B10" s="24">
        <f>2007.82128893109/(13.7603)</f>
        <v>145.91406356918745</v>
      </c>
      <c r="C10" s="24">
        <f>5030.01435848967/(13.7603)</f>
        <v>365.545399336473</v>
      </c>
      <c r="D10" s="24">
        <f>12708.4615692896/(13.7603)</f>
        <v>923.5599201536013</v>
      </c>
      <c r="E10" s="24">
        <f>12392.3187340183/(13.7603)</f>
        <v>900.58492431257298</v>
      </c>
      <c r="F10" s="24">
        <f>5208.97962169693/(13.7603)</f>
        <v>378.55131223134157</v>
      </c>
      <c r="G10" s="24">
        <f>10216.4458154232/(13.7603)</f>
        <v>742.45807252917439</v>
      </c>
      <c r="H10" s="24">
        <f>6422.27902135369/(13.7603)</f>
        <v>466.72521829856106</v>
      </c>
      <c r="I10" s="24">
        <f>3476.42685059111/(13.7603)</f>
        <v>252.64179200970253</v>
      </c>
      <c r="J10" s="24">
        <f>20640.542510193/(13.7603)</f>
        <v>1500.0067229779147</v>
      </c>
      <c r="K10" s="10">
        <f>78103.2897699865/(13.7603)</f>
        <v>5675.9874254185224</v>
      </c>
    </row>
    <row r="11" spans="1:12" x14ac:dyDescent="0.2">
      <c r="A11" s="9" t="s">
        <v>12</v>
      </c>
      <c r="B11" s="7">
        <v>0</v>
      </c>
      <c r="C11" s="7">
        <v>1.3957912981548368</v>
      </c>
      <c r="D11" s="7">
        <v>2.0658904239006421</v>
      </c>
      <c r="E11" s="7">
        <v>1.5896681031663553</v>
      </c>
      <c r="F11" s="7">
        <v>1.2968845882720581</v>
      </c>
      <c r="G11" s="7">
        <v>1.574048385572989</v>
      </c>
      <c r="H11" s="7">
        <v>3.0989737142358815</v>
      </c>
      <c r="I11" s="7">
        <v>2.4540885009774498</v>
      </c>
      <c r="J11" s="7">
        <v>3.7864816900794316</v>
      </c>
      <c r="K11" s="8">
        <v>17.261826704359645</v>
      </c>
      <c r="L11" s="11"/>
    </row>
    <row r="12" spans="1:12" x14ac:dyDescent="0.2">
      <c r="A12" s="3" t="s">
        <v>11</v>
      </c>
      <c r="B12" s="24">
        <f>B10+B11</f>
        <v>145.91406356918745</v>
      </c>
      <c r="C12" s="24">
        <f t="shared" ref="C12:K12" si="0">C10+C11</f>
        <v>366.94119063462784</v>
      </c>
      <c r="D12" s="24">
        <f t="shared" si="0"/>
        <v>925.62581057750197</v>
      </c>
      <c r="E12" s="24">
        <f t="shared" si="0"/>
        <v>902.17459241573931</v>
      </c>
      <c r="F12" s="24">
        <f t="shared" si="0"/>
        <v>379.84819681961363</v>
      </c>
      <c r="G12" s="24">
        <f t="shared" si="0"/>
        <v>744.03212091474734</v>
      </c>
      <c r="H12" s="24">
        <f t="shared" si="0"/>
        <v>469.82419201279691</v>
      </c>
      <c r="I12" s="24">
        <f t="shared" si="0"/>
        <v>255.09588051067999</v>
      </c>
      <c r="J12" s="24">
        <f t="shared" si="0"/>
        <v>1503.7932046679941</v>
      </c>
      <c r="K12" s="24">
        <f t="shared" si="0"/>
        <v>5693.2492521228824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13"/>
    </row>
    <row r="14" spans="1:12" x14ac:dyDescent="0.2">
      <c r="A14" s="3" t="s">
        <v>36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5" t="s">
        <v>34</v>
      </c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35</v>
      </c>
      <c r="B17" s="7">
        <f>2818.09056166961/(13.7603)</f>
        <v>204.7986280582262</v>
      </c>
      <c r="C17" s="7">
        <f>5994.99064863302/(13.7603)</f>
        <v>435.67296124597715</v>
      </c>
      <c r="D17" s="7">
        <f>16069.5361228934/(13.7603)</f>
        <v>1167.8187338134633</v>
      </c>
      <c r="E17" s="7">
        <f>14842.4675071691/(13.7603)</f>
        <v>1078.644179790346</v>
      </c>
      <c r="F17" s="7">
        <f>5686.67518988921/(13.7603)</f>
        <v>413.26680304130065</v>
      </c>
      <c r="G17" s="7">
        <f>12786.3292753557/(13.7603)</f>
        <v>929.21878704357459</v>
      </c>
      <c r="H17" s="7">
        <f>7402.84275225052/(13.7603)</f>
        <v>537.98556370504423</v>
      </c>
      <c r="I17" s="7">
        <f>4025.89862405292/(13.7603)</f>
        <v>292.57346308241239</v>
      </c>
      <c r="J17" s="7">
        <f>18320.1217033607/(13.7603)</f>
        <v>1331.3751664833396</v>
      </c>
      <c r="K17" s="8">
        <f>87946.9523852742/(13.7603)</f>
        <v>6391.3542862636859</v>
      </c>
    </row>
    <row r="18" spans="1:12" x14ac:dyDescent="0.2">
      <c r="A18" s="5" t="s">
        <v>10</v>
      </c>
      <c r="B18" s="7">
        <f>214.241863429542/(13.7603)</f>
        <v>15.569563412828353</v>
      </c>
      <c r="C18" s="7">
        <f>460.143888786766/(13.7603)</f>
        <v>33.439960523154724</v>
      </c>
      <c r="D18" s="7">
        <f>1266.6017550204/(13.7603)</f>
        <v>92.047539299317606</v>
      </c>
      <c r="E18" s="7">
        <f>1188.40051270524/(13.7603)</f>
        <v>86.364433384827365</v>
      </c>
      <c r="F18" s="7">
        <f>443.642664048906/(13.7603)</f>
        <v>32.240769754213645</v>
      </c>
      <c r="G18" s="7">
        <f>1034.69645106154/(13.7603)</f>
        <v>75.194323602068266</v>
      </c>
      <c r="H18" s="7">
        <f>546.565814482447/(13.7603)</f>
        <v>39.720486797704041</v>
      </c>
      <c r="I18" s="7">
        <f>320.081973850388/(13.7603)</f>
        <v>23.261264205750454</v>
      </c>
      <c r="J18" s="7">
        <f>1453.50645466499/(13.7603)</f>
        <v>105.63043354178252</v>
      </c>
      <c r="K18" s="8">
        <f>6927.88137805022/(13.7603)</f>
        <v>503.46877452164699</v>
      </c>
    </row>
    <row r="19" spans="1:12" x14ac:dyDescent="0.2">
      <c r="A19" s="9" t="s">
        <v>11</v>
      </c>
      <c r="B19" s="24">
        <f>3032.33242509916/(13.7603)</f>
        <v>220.36819147105513</v>
      </c>
      <c r="C19" s="24">
        <f>6455.13453741979/(13.7603)</f>
        <v>469.11292176913219</v>
      </c>
      <c r="D19" s="24">
        <f>17336.1378779138/(13.7603)</f>
        <v>1259.8662731127808</v>
      </c>
      <c r="E19" s="24">
        <f>16030.8680198743/(13.7603)</f>
        <v>1165.0086131751705</v>
      </c>
      <c r="F19" s="24">
        <f>6130.31785393812/(13.7603)</f>
        <v>445.50757279551459</v>
      </c>
      <c r="G19" s="24">
        <f>13821.0257264173/(13.7603)</f>
        <v>1004.4131106456472</v>
      </c>
      <c r="H19" s="24">
        <f>7949.40856673297/(13.7603)</f>
        <v>577.70605050274844</v>
      </c>
      <c r="I19" s="24">
        <f>4345.98059790331/(13.7603)</f>
        <v>315.83472728816304</v>
      </c>
      <c r="J19" s="24">
        <f>19773.6281580257/(13.7603)</f>
        <v>1437.0056000251227</v>
      </c>
      <c r="K19" s="10">
        <f>94874.8337633244/(13.7603)</f>
        <v>6894.8230607853311</v>
      </c>
    </row>
    <row r="20" spans="1:12" x14ac:dyDescent="0.2">
      <c r="A20" s="9" t="s">
        <v>12</v>
      </c>
      <c r="B20" s="7">
        <v>0</v>
      </c>
      <c r="C20" s="7">
        <v>1.1777727956512576</v>
      </c>
      <c r="D20" s="7">
        <v>1.8478719213970627</v>
      </c>
      <c r="E20" s="7">
        <v>1.3716496006627763</v>
      </c>
      <c r="F20" s="7">
        <v>0.98568766669331342</v>
      </c>
      <c r="G20" s="7">
        <v>1.3560298830694097</v>
      </c>
      <c r="H20" s="7">
        <v>2.4449184247436464</v>
      </c>
      <c r="I20" s="7">
        <v>2.018051277951789</v>
      </c>
      <c r="J20" s="7">
        <v>3.5684631875758521</v>
      </c>
      <c r="K20" s="8">
        <v>14.770444757745107</v>
      </c>
      <c r="L20" s="11"/>
    </row>
    <row r="21" spans="1:12" x14ac:dyDescent="0.2">
      <c r="A21" s="3" t="s">
        <v>11</v>
      </c>
      <c r="B21" s="24">
        <f>B19+B20</f>
        <v>220.36819147105513</v>
      </c>
      <c r="C21" s="24">
        <f t="shared" ref="C21:K21" si="1">C19+C20</f>
        <v>470.29069456478345</v>
      </c>
      <c r="D21" s="24">
        <f t="shared" si="1"/>
        <v>1261.7141450341778</v>
      </c>
      <c r="E21" s="24">
        <f t="shared" si="1"/>
        <v>1166.3802627758332</v>
      </c>
      <c r="F21" s="24">
        <f t="shared" si="1"/>
        <v>446.4932604622079</v>
      </c>
      <c r="G21" s="24">
        <f t="shared" si="1"/>
        <v>1005.7691405287165</v>
      </c>
      <c r="H21" s="24">
        <f t="shared" si="1"/>
        <v>580.15096892749204</v>
      </c>
      <c r="I21" s="24">
        <f t="shared" si="1"/>
        <v>317.85277856611481</v>
      </c>
      <c r="J21" s="24">
        <f t="shared" si="1"/>
        <v>1440.5740632126985</v>
      </c>
      <c r="K21" s="24">
        <f t="shared" si="1"/>
        <v>6909.5935055430764</v>
      </c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37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 t="s">
        <v>38</v>
      </c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39</v>
      </c>
      <c r="B26" s="19">
        <v>20.997143957617201</v>
      </c>
      <c r="C26" s="19">
        <v>42.459539399577039</v>
      </c>
      <c r="D26" s="19">
        <v>114.23043102257945</v>
      </c>
      <c r="E26" s="19">
        <v>103.35421466101755</v>
      </c>
      <c r="F26" s="19">
        <v>37.390027833695484</v>
      </c>
      <c r="G26" s="19">
        <v>91.825468921462473</v>
      </c>
      <c r="H26" s="19">
        <v>48.936941781792541</v>
      </c>
      <c r="I26" s="19">
        <v>25.692027063363444</v>
      </c>
      <c r="J26" s="19">
        <v>119.3483426960168</v>
      </c>
      <c r="K26" s="10">
        <v>604.23413733712198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40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/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35</v>
      </c>
      <c r="B35" s="19">
        <f>30.5251590787769/(13.7603)</f>
        <v>2.2183498236794907</v>
      </c>
      <c r="C35" s="19">
        <f>103.529641330654/(13.7603)</f>
        <v>7.5237924558806126</v>
      </c>
      <c r="D35" s="19">
        <f>185.039736770949/(13.7603)</f>
        <v>13.447362104819588</v>
      </c>
      <c r="E35" s="19">
        <f>177.752692807233/(13.7603)</f>
        <v>12.917791967270553</v>
      </c>
      <c r="F35" s="19">
        <f>114.86233512038/(13.7603)</f>
        <v>8.3473714323365034</v>
      </c>
      <c r="G35" s="19">
        <f>159.461968744461/(13.7603)</f>
        <v>11.588553210646641</v>
      </c>
      <c r="H35" s="19">
        <f>176.838765888707/(13.7603)</f>
        <v>12.85137430787897</v>
      </c>
      <c r="I35" s="19">
        <f>58.6253654003975/(13.7603)</f>
        <v>4.2604714577732681</v>
      </c>
      <c r="J35" s="19">
        <f>211.933559560115/(13.7603)</f>
        <v>15.401812428516454</v>
      </c>
      <c r="K35" s="24">
        <f>1218.56922470167/(13.7603)</f>
        <v>88.556879188801844</v>
      </c>
    </row>
    <row r="36" spans="1:11" x14ac:dyDescent="0.2">
      <c r="A36" s="5" t="s">
        <v>10</v>
      </c>
      <c r="B36" s="19">
        <f t="shared" ref="B36:K36" si="2">0/(13.7603)</f>
        <v>0</v>
      </c>
      <c r="C36" s="19">
        <f t="shared" si="2"/>
        <v>0</v>
      </c>
      <c r="D36" s="19">
        <f t="shared" si="2"/>
        <v>0</v>
      </c>
      <c r="E36" s="19">
        <f t="shared" si="2"/>
        <v>0</v>
      </c>
      <c r="F36" s="19">
        <f t="shared" si="2"/>
        <v>0</v>
      </c>
      <c r="G36" s="19">
        <f t="shared" si="2"/>
        <v>0</v>
      </c>
      <c r="H36" s="19">
        <f t="shared" si="2"/>
        <v>0</v>
      </c>
      <c r="I36" s="19">
        <f t="shared" si="2"/>
        <v>0</v>
      </c>
      <c r="J36" s="19">
        <f t="shared" si="2"/>
        <v>0</v>
      </c>
      <c r="K36" s="24">
        <f t="shared" si="2"/>
        <v>0</v>
      </c>
    </row>
    <row r="37" spans="1:11" x14ac:dyDescent="0.2">
      <c r="A37" s="17" t="s">
        <v>11</v>
      </c>
      <c r="B37" s="10">
        <f>30.5251590787769/(13.7603)</f>
        <v>2.2183498236794907</v>
      </c>
      <c r="C37" s="10">
        <f>103.529641330654/(13.7603)</f>
        <v>7.5237924558806126</v>
      </c>
      <c r="D37" s="10">
        <f>185.039736770949/(13.7603)</f>
        <v>13.447362104819588</v>
      </c>
      <c r="E37" s="10">
        <f>177.752692807233/(13.7603)</f>
        <v>12.917791967270553</v>
      </c>
      <c r="F37" s="10">
        <f>114.86233512038/(13.7603)</f>
        <v>8.3473714323365034</v>
      </c>
      <c r="G37" s="10">
        <f>159.461968744461/(13.7603)</f>
        <v>11.588553210646641</v>
      </c>
      <c r="H37" s="10">
        <f>176.838765888707/(13.7603)</f>
        <v>12.85137430787897</v>
      </c>
      <c r="I37" s="10">
        <f>58.6253654003975/(13.7603)</f>
        <v>4.2604714577732681</v>
      </c>
      <c r="J37" s="10">
        <f>211.933559560115/(13.7603)</f>
        <v>15.401812428516454</v>
      </c>
      <c r="K37" s="24">
        <f>1218.56922470167/(13.7603)</f>
        <v>88.556879188801844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35</v>
      </c>
      <c r="B42" s="19">
        <f>0.203160503358/(13.7603)</f>
        <v>1.476424956999484E-2</v>
      </c>
      <c r="C42" s="19">
        <f>1.754411465439/(13.7603)</f>
        <v>0.12749805349004018</v>
      </c>
      <c r="D42" s="19">
        <f>24.914708848251/(13.7603)</f>
        <v>1.8106225044694517</v>
      </c>
      <c r="E42" s="19">
        <f>12.478875663888/(13.7603)</f>
        <v>0.90687526172307276</v>
      </c>
      <c r="F42" s="19">
        <f>8.500028856597/(13.7603)</f>
        <v>0.61772118751749594</v>
      </c>
      <c r="G42" s="19">
        <f>4.26981396888/(13.7603)</f>
        <v>0.31029948248802713</v>
      </c>
      <c r="H42" s="19">
        <f>1.854270017937/(13.7603)</f>
        <v>0.13475505751596983</v>
      </c>
      <c r="I42" s="19">
        <f>1.372194247257/(13.7603)</f>
        <v>9.9721244976999038E-2</v>
      </c>
      <c r="J42" s="19">
        <f>116.822454528393/(13.7603)</f>
        <v>8.489818865024235</v>
      </c>
      <c r="K42" s="19">
        <f>172.1699181/(13.7603)</f>
        <v>12.512075906775287</v>
      </c>
    </row>
    <row r="43" spans="1:11" x14ac:dyDescent="0.2">
      <c r="A43" s="5" t="s">
        <v>10</v>
      </c>
      <c r="B43" s="19">
        <f t="shared" ref="B43:K43" si="3">0/(13.7603)</f>
        <v>0</v>
      </c>
      <c r="C43" s="19">
        <f t="shared" si="3"/>
        <v>0</v>
      </c>
      <c r="D43" s="19">
        <f t="shared" si="3"/>
        <v>0</v>
      </c>
      <c r="E43" s="19">
        <f t="shared" si="3"/>
        <v>0</v>
      </c>
      <c r="F43" s="19">
        <f t="shared" si="3"/>
        <v>0</v>
      </c>
      <c r="G43" s="19">
        <f t="shared" si="3"/>
        <v>0</v>
      </c>
      <c r="H43" s="19">
        <f t="shared" si="3"/>
        <v>0</v>
      </c>
      <c r="I43" s="19">
        <f t="shared" si="3"/>
        <v>0</v>
      </c>
      <c r="J43" s="19">
        <f t="shared" si="3"/>
        <v>0</v>
      </c>
      <c r="K43" s="19">
        <f t="shared" si="3"/>
        <v>0</v>
      </c>
    </row>
    <row r="44" spans="1:11" x14ac:dyDescent="0.2">
      <c r="A44" s="17" t="s">
        <v>11</v>
      </c>
      <c r="B44" s="10">
        <f>0.203160503358/(13.7603)</f>
        <v>1.476424956999484E-2</v>
      </c>
      <c r="C44" s="10">
        <f>1.754411465439/(13.7603)</f>
        <v>0.12749805349004018</v>
      </c>
      <c r="D44" s="10">
        <f>24.914708848251/(13.7603)</f>
        <v>1.8106225044694517</v>
      </c>
      <c r="E44" s="10">
        <f>12.478875663888/(13.7603)</f>
        <v>0.90687526172307276</v>
      </c>
      <c r="F44" s="10">
        <f>8.500028856597/(13.7603)</f>
        <v>0.61772118751749594</v>
      </c>
      <c r="G44" s="10">
        <f>4.26981396888/(13.7603)</f>
        <v>0.31029948248802713</v>
      </c>
      <c r="H44" s="10">
        <f>1.854270017937/(13.7603)</f>
        <v>0.13475505751596983</v>
      </c>
      <c r="I44" s="10">
        <f>1.372194247257/(13.7603)</f>
        <v>9.9721244976999038E-2</v>
      </c>
      <c r="J44" s="10">
        <f>116.822454528393/(13.7603)</f>
        <v>8.489818865024235</v>
      </c>
      <c r="K44" s="10">
        <f>172.1699181/(13.7603)</f>
        <v>12.512075906775287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35</v>
      </c>
      <c r="B49" s="19">
        <f>0.664709361569443/(13.7603)</f>
        <v>4.8306313203160034E-2</v>
      </c>
      <c r="C49" s="19">
        <f>1.34423530289803/(13.7603)</f>
        <v>9.7689389250091199E-2</v>
      </c>
      <c r="D49" s="19">
        <f>3.61657301499832/(13.7603)</f>
        <v>0.26282661097492932</v>
      </c>
      <c r="E49" s="19">
        <f>3.27221145697586/(13.7603)</f>
        <v>0.23780088057497725</v>
      </c>
      <c r="F49" s="19">
        <f>1.18367000588247/(13.7603)</f>
        <v>8.6020654046966266E-2</v>
      </c>
      <c r="G49" s="19">
        <f>2.90717097917362/(13.7603)</f>
        <v>0.21127235446709883</v>
      </c>
      <c r="H49" s="19">
        <f>1.54940984195423/(13.7603)</f>
        <v>0.11260000450238947</v>
      </c>
      <c r="I49" s="19">
        <f>0.813395383557835/(13.7603)</f>
        <v>5.9111747822201188E-2</v>
      </c>
      <c r="J49" s="19">
        <f>3.77861555299019/(13.7603)</f>
        <v>0.27460270146655158</v>
      </c>
      <c r="K49" s="19">
        <f>19.1299909/(13.7603)</f>
        <v>1.3902306563083653</v>
      </c>
    </row>
    <row r="50" spans="1:11" x14ac:dyDescent="0.2">
      <c r="A50" s="5" t="s">
        <v>10</v>
      </c>
      <c r="B50" s="19">
        <f t="shared" ref="B50:K50" si="4">0/(13.7603)</f>
        <v>0</v>
      </c>
      <c r="C50" s="19">
        <f t="shared" si="4"/>
        <v>0</v>
      </c>
      <c r="D50" s="19">
        <f t="shared" si="4"/>
        <v>0</v>
      </c>
      <c r="E50" s="19">
        <f t="shared" si="4"/>
        <v>0</v>
      </c>
      <c r="F50" s="19">
        <f t="shared" si="4"/>
        <v>0</v>
      </c>
      <c r="G50" s="19">
        <f t="shared" si="4"/>
        <v>0</v>
      </c>
      <c r="H50" s="19">
        <f t="shared" si="4"/>
        <v>0</v>
      </c>
      <c r="I50" s="19">
        <f t="shared" si="4"/>
        <v>0</v>
      </c>
      <c r="J50" s="19">
        <f t="shared" si="4"/>
        <v>0</v>
      </c>
      <c r="K50" s="19">
        <f t="shared" si="4"/>
        <v>0</v>
      </c>
    </row>
    <row r="51" spans="1:11" x14ac:dyDescent="0.2">
      <c r="A51" s="17" t="s">
        <v>11</v>
      </c>
      <c r="B51" s="10">
        <f>0.664709361569443/(13.7603)</f>
        <v>4.8306313203160034E-2</v>
      </c>
      <c r="C51" s="10">
        <f>1.34423530289803/(13.7603)</f>
        <v>9.7689389250091199E-2</v>
      </c>
      <c r="D51" s="10">
        <f>3.61657301499832/(13.7603)</f>
        <v>0.26282661097492932</v>
      </c>
      <c r="E51" s="10">
        <f>3.27221145697586/(13.7603)</f>
        <v>0.23780088057497725</v>
      </c>
      <c r="F51" s="10">
        <f>1.18367000588247/(13.7603)</f>
        <v>8.6020654046966266E-2</v>
      </c>
      <c r="G51" s="10">
        <f>2.90717097917362/(13.7603)</f>
        <v>0.21127235446709883</v>
      </c>
      <c r="H51" s="10">
        <f>1.54940984195423/(13.7603)</f>
        <v>0.11260000450238947</v>
      </c>
      <c r="I51" s="10">
        <f>0.813395383557835/(13.7603)</f>
        <v>5.9111747822201188E-2</v>
      </c>
      <c r="J51" s="10">
        <f>3.77861555299019/(13.7603)</f>
        <v>0.27460270146655158</v>
      </c>
      <c r="K51" s="10">
        <f>19.1299909/(13.7603)</f>
        <v>1.3902306563083653</v>
      </c>
    </row>
    <row r="54" spans="1:11" x14ac:dyDescent="0.2">
      <c r="A54" s="9"/>
    </row>
  </sheetData>
  <phoneticPr fontId="0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69</v>
      </c>
    </row>
    <row r="2" spans="1:11" x14ac:dyDescent="0.2">
      <c r="A2" s="45"/>
    </row>
    <row r="5" spans="1:11" x14ac:dyDescent="0.2">
      <c r="A5" s="32" t="s">
        <v>65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66</v>
      </c>
      <c r="B8" s="26">
        <v>191.59656032453037</v>
      </c>
      <c r="C8" s="26">
        <v>472.08356696653613</v>
      </c>
      <c r="D8" s="26">
        <v>1223.3198221566706</v>
      </c>
      <c r="E8" s="26">
        <v>1170.3864484814037</v>
      </c>
      <c r="F8" s="26">
        <v>514.1613453124105</v>
      </c>
      <c r="G8" s="26">
        <v>945.21825986444344</v>
      </c>
      <c r="H8" s="26">
        <v>638.43763155723275</v>
      </c>
      <c r="I8" s="26">
        <v>340.6565445821758</v>
      </c>
      <c r="J8" s="26">
        <v>1897.8953160880828</v>
      </c>
      <c r="K8" s="27">
        <v>7393.7554953334857</v>
      </c>
    </row>
    <row r="9" spans="1:11" x14ac:dyDescent="0.2">
      <c r="A9" s="34" t="s">
        <v>10</v>
      </c>
      <c r="B9" s="26">
        <v>1.8942885320360947</v>
      </c>
      <c r="C9" s="26">
        <v>4.7939367971692697</v>
      </c>
      <c r="D9" s="26">
        <v>12.845609831030947</v>
      </c>
      <c r="E9" s="26">
        <v>11.774744292807766</v>
      </c>
      <c r="F9" s="26">
        <v>3.4905455440987136</v>
      </c>
      <c r="G9" s="26">
        <v>7.6061392788622761</v>
      </c>
      <c r="H9" s="26">
        <v>7.1573983373426602</v>
      </c>
      <c r="I9" s="26">
        <v>4.6150364283621892</v>
      </c>
      <c r="J9" s="26">
        <v>17.254143753853395</v>
      </c>
      <c r="K9" s="27">
        <v>71.431842795563313</v>
      </c>
    </row>
    <row r="10" spans="1:11" x14ac:dyDescent="0.2">
      <c r="A10" s="36" t="s">
        <v>11</v>
      </c>
      <c r="B10" s="37">
        <v>193.49084885656646</v>
      </c>
      <c r="C10" s="37">
        <v>476.87750376370542</v>
      </c>
      <c r="D10" s="37">
        <v>1236.1654319877016</v>
      </c>
      <c r="E10" s="37">
        <v>1182.1611927742115</v>
      </c>
      <c r="F10" s="37">
        <v>517.65189085650923</v>
      </c>
      <c r="G10" s="37">
        <v>952.82439914330575</v>
      </c>
      <c r="H10" s="37">
        <v>645.59502989457542</v>
      </c>
      <c r="I10" s="37">
        <v>345.271581010538</v>
      </c>
      <c r="J10" s="37">
        <v>1915.1494598419363</v>
      </c>
      <c r="K10" s="37">
        <v>7465.1873381290488</v>
      </c>
    </row>
    <row r="11" spans="1:11" x14ac:dyDescent="0.2">
      <c r="A11" s="36" t="s">
        <v>12</v>
      </c>
      <c r="B11" s="26">
        <v>0</v>
      </c>
      <c r="C11" s="26">
        <v>1.4014960000000001</v>
      </c>
      <c r="D11" s="26">
        <v>1.1877899999999999</v>
      </c>
      <c r="E11" s="26">
        <v>1.2689649999999999</v>
      </c>
      <c r="F11" s="26">
        <v>1.1953549999999999</v>
      </c>
      <c r="G11" s="26">
        <v>0.929836</v>
      </c>
      <c r="H11" s="26">
        <v>3.2224409999999999</v>
      </c>
      <c r="I11" s="26">
        <v>2.7267420000000002</v>
      </c>
      <c r="J11" s="26">
        <v>2.853478</v>
      </c>
      <c r="K11" s="27">
        <v>14.786102999999999</v>
      </c>
    </row>
    <row r="12" spans="1:11" x14ac:dyDescent="0.2">
      <c r="A12" s="32" t="s">
        <v>11</v>
      </c>
      <c r="B12" s="37">
        <v>193.49084885656646</v>
      </c>
      <c r="C12" s="37">
        <v>478.27899976370543</v>
      </c>
      <c r="D12" s="37">
        <v>1237.3532219877015</v>
      </c>
      <c r="E12" s="37">
        <v>1183.4301577742115</v>
      </c>
      <c r="F12" s="37">
        <v>518.84724585650918</v>
      </c>
      <c r="G12" s="37">
        <v>953.75423514330578</v>
      </c>
      <c r="H12" s="37">
        <v>648.81747089457542</v>
      </c>
      <c r="I12" s="37">
        <v>347.998323010538</v>
      </c>
      <c r="J12" s="37">
        <v>1918.0029378419363</v>
      </c>
      <c r="K12" s="37">
        <v>7479.9734411290492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67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66</v>
      </c>
      <c r="B17" s="26">
        <v>403.74236399453281</v>
      </c>
      <c r="C17" s="26">
        <v>825.89748025119775</v>
      </c>
      <c r="D17" s="26">
        <v>2290.4632479552611</v>
      </c>
      <c r="E17" s="26">
        <v>1996.9594046119603</v>
      </c>
      <c r="F17" s="26">
        <v>802.87308355721188</v>
      </c>
      <c r="G17" s="26">
        <v>1726.4223764329918</v>
      </c>
      <c r="H17" s="26">
        <v>1036.6761616465751</v>
      </c>
      <c r="I17" s="26">
        <v>557.6035345103279</v>
      </c>
      <c r="J17" s="26">
        <v>2558.960794893118</v>
      </c>
      <c r="K17" s="27">
        <v>12199.598447853175</v>
      </c>
    </row>
    <row r="18" spans="1:11" x14ac:dyDescent="0.2">
      <c r="A18" s="34" t="s">
        <v>10</v>
      </c>
      <c r="B18" s="26">
        <v>6.3391627989294355</v>
      </c>
      <c r="C18" s="26">
        <v>13.557913989083842</v>
      </c>
      <c r="D18" s="26">
        <v>36.897045463601827</v>
      </c>
      <c r="E18" s="26">
        <v>33.49615210578451</v>
      </c>
      <c r="F18" s="26">
        <v>13.083477802589069</v>
      </c>
      <c r="G18" s="26">
        <v>28.167133495287505</v>
      </c>
      <c r="H18" s="26">
        <v>17.172779008536949</v>
      </c>
      <c r="I18" s="26">
        <v>9.2771218702200571</v>
      </c>
      <c r="J18" s="26">
        <v>39.927631087057293</v>
      </c>
      <c r="K18" s="27">
        <v>197.9184176210905</v>
      </c>
    </row>
    <row r="19" spans="1:11" x14ac:dyDescent="0.2">
      <c r="A19" s="36" t="s">
        <v>11</v>
      </c>
      <c r="B19" s="37">
        <v>410.08152679346222</v>
      </c>
      <c r="C19" s="37">
        <v>839.45539424028163</v>
      </c>
      <c r="D19" s="37">
        <v>2327.360293418863</v>
      </c>
      <c r="E19" s="37">
        <v>2030.4555567177447</v>
      </c>
      <c r="F19" s="37">
        <v>815.95656135980096</v>
      </c>
      <c r="G19" s="37">
        <v>1754.5895099282793</v>
      </c>
      <c r="H19" s="37">
        <v>1053.8489406551121</v>
      </c>
      <c r="I19" s="37">
        <v>566.88065638054798</v>
      </c>
      <c r="J19" s="37">
        <v>2598.8884259801753</v>
      </c>
      <c r="K19" s="37">
        <v>12397.516865474267</v>
      </c>
    </row>
    <row r="20" spans="1:11" x14ac:dyDescent="0.2">
      <c r="A20" s="36" t="s">
        <v>12</v>
      </c>
      <c r="B20" s="26">
        <v>0</v>
      </c>
      <c r="C20" s="26">
        <v>1.1902190000000001</v>
      </c>
      <c r="D20" s="26">
        <v>0.96526599999999996</v>
      </c>
      <c r="E20" s="26">
        <v>1.050713</v>
      </c>
      <c r="F20" s="26">
        <v>0.90322599999999997</v>
      </c>
      <c r="G20" s="26">
        <v>0.69373499999999999</v>
      </c>
      <c r="H20" s="26">
        <v>2.536924</v>
      </c>
      <c r="I20" s="26">
        <v>2.3580540000000001</v>
      </c>
      <c r="J20" s="26">
        <v>2.7186210000000002</v>
      </c>
      <c r="K20" s="27">
        <v>12.416757999999998</v>
      </c>
    </row>
    <row r="21" spans="1:11" x14ac:dyDescent="0.2">
      <c r="A21" s="32" t="s">
        <v>11</v>
      </c>
      <c r="B21" s="37">
        <v>410.08152679346222</v>
      </c>
      <c r="C21" s="37">
        <v>840.64561324028159</v>
      </c>
      <c r="D21" s="37">
        <v>2328.3255594188631</v>
      </c>
      <c r="E21" s="37">
        <v>2031.5062697177448</v>
      </c>
      <c r="F21" s="37">
        <v>816.85978735980098</v>
      </c>
      <c r="G21" s="37">
        <v>1755.2832449282794</v>
      </c>
      <c r="H21" s="37">
        <v>1056.3858646551121</v>
      </c>
      <c r="I21" s="37">
        <v>569.23871038054801</v>
      </c>
      <c r="J21" s="37">
        <v>2601.6070469801753</v>
      </c>
      <c r="K21" s="37">
        <v>12409.933623474266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66</v>
      </c>
      <c r="B29" s="42">
        <v>9.4280990745501683</v>
      </c>
      <c r="C29" s="42">
        <v>31.976498897156976</v>
      </c>
      <c r="D29" s="42">
        <v>57.151969839139433</v>
      </c>
      <c r="E29" s="42">
        <v>54.901269940304708</v>
      </c>
      <c r="F29" s="42">
        <v>35.476751248187576</v>
      </c>
      <c r="G29" s="42">
        <v>49.251937919985416</v>
      </c>
      <c r="H29" s="42">
        <v>54.618991524899009</v>
      </c>
      <c r="I29" s="42">
        <v>18.107219420223888</v>
      </c>
      <c r="J29" s="42">
        <v>65.458482676477644</v>
      </c>
      <c r="K29" s="37">
        <v>376.37122054092481</v>
      </c>
    </row>
    <row r="30" spans="1:11" x14ac:dyDescent="0.2">
      <c r="A30" s="34" t="s">
        <v>10</v>
      </c>
      <c r="B30" s="42">
        <v>9.9449922233026886E-2</v>
      </c>
      <c r="C30" s="42">
        <v>0.33729602366938344</v>
      </c>
      <c r="D30" s="42">
        <v>0.60285312140061431</v>
      </c>
      <c r="E30" s="42">
        <v>0.57911218188151548</v>
      </c>
      <c r="F30" s="42">
        <v>0.37421755168404341</v>
      </c>
      <c r="G30" s="42">
        <v>0.51952162967721238</v>
      </c>
      <c r="H30" s="42">
        <v>0.57613463929969289</v>
      </c>
      <c r="I30" s="42">
        <v>0.19099943148227613</v>
      </c>
      <c r="J30" s="42">
        <v>0.69047227444185411</v>
      </c>
      <c r="K30" s="37">
        <v>3.9700567757696188</v>
      </c>
    </row>
    <row r="31" spans="1:11" x14ac:dyDescent="0.2">
      <c r="A31" s="43" t="s">
        <v>11</v>
      </c>
      <c r="B31" s="37">
        <v>9.5275489967831959</v>
      </c>
      <c r="C31" s="37">
        <v>32.313794920826361</v>
      </c>
      <c r="D31" s="37">
        <v>57.754822960540046</v>
      </c>
      <c r="E31" s="37">
        <v>55.480382122186221</v>
      </c>
      <c r="F31" s="37">
        <v>35.850968799871616</v>
      </c>
      <c r="G31" s="37">
        <v>49.77145954966263</v>
      </c>
      <c r="H31" s="37">
        <v>55.195126164198705</v>
      </c>
      <c r="I31" s="37">
        <v>18.298218851706164</v>
      </c>
      <c r="J31" s="37">
        <v>66.148954950919503</v>
      </c>
      <c r="K31" s="37">
        <v>380.34127731669446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66</v>
      </c>
      <c r="B36" s="42">
        <v>6.5285622986309577E-2</v>
      </c>
      <c r="C36" s="42">
        <v>0.56378008324618178</v>
      </c>
      <c r="D36" s="42">
        <v>8.0063411036854717</v>
      </c>
      <c r="E36" s="42">
        <v>4.0100864017353555</v>
      </c>
      <c r="F36" s="42">
        <v>2.7314840735882235</v>
      </c>
      <c r="G36" s="42">
        <v>1.3721046186953199</v>
      </c>
      <c r="H36" s="42">
        <v>0.59586962674792709</v>
      </c>
      <c r="I36" s="42">
        <v>0.44095458915329439</v>
      </c>
      <c r="J36" s="42">
        <v>37.540893021102228</v>
      </c>
      <c r="K36" s="42">
        <v>55.326799140940309</v>
      </c>
    </row>
    <row r="37" spans="1:11" x14ac:dyDescent="0.2">
      <c r="A37" s="34" t="s">
        <v>10</v>
      </c>
      <c r="B37" s="42">
        <v>4.9581551025285368E-4</v>
      </c>
      <c r="C37" s="42">
        <v>4.2816610588785123E-3</v>
      </c>
      <c r="D37" s="42">
        <v>6.0804629227704937E-2</v>
      </c>
      <c r="E37" s="42">
        <v>3.0454837443327051E-2</v>
      </c>
      <c r="F37" s="42">
        <v>2.0744416729815383E-2</v>
      </c>
      <c r="G37" s="42">
        <v>1.0420529368026336E-2</v>
      </c>
      <c r="H37" s="42">
        <v>4.5253669876467485E-3</v>
      </c>
      <c r="I37" s="42">
        <v>3.3488556073858148E-3</v>
      </c>
      <c r="J37" s="42">
        <v>0.28510652387446317</v>
      </c>
      <c r="K37" s="42">
        <v>0.42018263580750081</v>
      </c>
    </row>
    <row r="38" spans="1:11" x14ac:dyDescent="0.2">
      <c r="A38" s="43" t="s">
        <v>11</v>
      </c>
      <c r="B38" s="37">
        <v>6.5781438496562428E-2</v>
      </c>
      <c r="C38" s="37">
        <v>0.56806174430506029</v>
      </c>
      <c r="D38" s="37">
        <v>8.0671457329131773</v>
      </c>
      <c r="E38" s="37">
        <v>4.0405412391786824</v>
      </c>
      <c r="F38" s="37">
        <v>2.7522284903180387</v>
      </c>
      <c r="G38" s="37">
        <v>1.3825251480633463</v>
      </c>
      <c r="H38" s="37">
        <v>0.60039499373557381</v>
      </c>
      <c r="I38" s="37">
        <v>0.44430344476068018</v>
      </c>
      <c r="J38" s="37">
        <v>37.825999544976689</v>
      </c>
      <c r="K38" s="37">
        <v>55.746981776747816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66</v>
      </c>
      <c r="B43" s="42">
        <v>1.2517651085768156</v>
      </c>
      <c r="C43" s="42">
        <v>2.4793695335009827</v>
      </c>
      <c r="D43" s="42">
        <v>7.0996376966098005</v>
      </c>
      <c r="E43" s="42">
        <v>6.2396404195878921</v>
      </c>
      <c r="F43" s="42">
        <v>2.334998603371361</v>
      </c>
      <c r="G43" s="42">
        <v>5.3395287938557807</v>
      </c>
      <c r="H43" s="42">
        <v>3.1049134486726029</v>
      </c>
      <c r="I43" s="42">
        <v>1.6239361379092472</v>
      </c>
      <c r="J43" s="42">
        <v>7.4107430185424006</v>
      </c>
      <c r="K43" s="42">
        <v>36.884532760626882</v>
      </c>
    </row>
    <row r="44" spans="1:11" x14ac:dyDescent="0.2">
      <c r="A44" s="34" t="s">
        <v>10</v>
      </c>
      <c r="B44" s="42">
        <v>9.6790014668886211E-3</v>
      </c>
      <c r="C44" s="42">
        <v>1.950551147687429E-2</v>
      </c>
      <c r="D44" s="42">
        <v>5.3904922191066365E-2</v>
      </c>
      <c r="E44" s="42">
        <v>4.800503380313148E-2</v>
      </c>
      <c r="F44" s="42">
        <v>1.7974909828265027E-2</v>
      </c>
      <c r="G44" s="42">
        <v>4.1262149783794486E-2</v>
      </c>
      <c r="H44" s="42">
        <v>2.3487788804547563E-2</v>
      </c>
      <c r="I44" s="42">
        <v>1.2241744453225465E-2</v>
      </c>
      <c r="J44" s="42">
        <v>5.4060695397215565E-2</v>
      </c>
      <c r="K44" s="42">
        <v>0.28012175720500887</v>
      </c>
    </row>
    <row r="45" spans="1:11" x14ac:dyDescent="0.2">
      <c r="A45" s="43" t="s">
        <v>11</v>
      </c>
      <c r="B45" s="37">
        <v>1.2614441100437042</v>
      </c>
      <c r="C45" s="37">
        <v>2.498875044977857</v>
      </c>
      <c r="D45" s="37">
        <v>7.1535426188008673</v>
      </c>
      <c r="E45" s="37">
        <v>6.2876454533910238</v>
      </c>
      <c r="F45" s="37">
        <v>2.3529735131996259</v>
      </c>
      <c r="G45" s="37">
        <v>5.3807909436395756</v>
      </c>
      <c r="H45" s="37">
        <v>3.1284012374771506</v>
      </c>
      <c r="I45" s="37">
        <v>1.6361778823624726</v>
      </c>
      <c r="J45" s="37">
        <v>7.4648037139396157</v>
      </c>
      <c r="K45" s="37">
        <v>37.164654517831892</v>
      </c>
    </row>
    <row r="47" spans="1:11" x14ac:dyDescent="0.2">
      <c r="A47" s="15" t="s">
        <v>62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5.9209592231170172E-2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3.5390374599999999</v>
      </c>
      <c r="C51" s="16">
        <v>13.16246284</v>
      </c>
      <c r="D51" s="16">
        <v>30.203069450000001</v>
      </c>
      <c r="E51" s="16">
        <v>28.626361630000002</v>
      </c>
      <c r="F51" s="16">
        <v>12.34930803</v>
      </c>
      <c r="G51" s="16">
        <v>23.654151919999997</v>
      </c>
      <c r="H51" s="16">
        <v>13.58046025</v>
      </c>
      <c r="I51" s="16">
        <v>9.6320311199999988</v>
      </c>
      <c r="J51" s="16">
        <v>0</v>
      </c>
      <c r="K51" s="16">
        <v>134.74688270000001</v>
      </c>
    </row>
    <row r="52" spans="1:11" x14ac:dyDescent="0.2">
      <c r="A52" s="43"/>
      <c r="B52" s="37"/>
      <c r="C52" s="37"/>
      <c r="D52" s="37"/>
      <c r="E52" s="37"/>
      <c r="F52" s="37"/>
      <c r="G52" s="37"/>
      <c r="H52" s="37"/>
      <c r="I52" s="37"/>
      <c r="J52" s="37"/>
      <c r="K52" s="37"/>
    </row>
  </sheetData>
  <phoneticPr fontId="13" type="noConversion"/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70</v>
      </c>
    </row>
    <row r="2" spans="1:11" x14ac:dyDescent="0.2">
      <c r="A2" s="45"/>
    </row>
    <row r="5" spans="1:11" x14ac:dyDescent="0.2">
      <c r="A5" s="32" t="s">
        <v>71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72</v>
      </c>
      <c r="B8" s="26">
        <v>195.13480599201412</v>
      </c>
      <c r="C8" s="26">
        <v>481.84583834473921</v>
      </c>
      <c r="D8" s="26">
        <v>1238.6220395974772</v>
      </c>
      <c r="E8" s="26">
        <v>1189.1046060181877</v>
      </c>
      <c r="F8" s="26">
        <v>523.58218413246618</v>
      </c>
      <c r="G8" s="26">
        <v>959.32446450937846</v>
      </c>
      <c r="H8" s="26">
        <v>652.97748784010162</v>
      </c>
      <c r="I8" s="26">
        <v>347.83260808044685</v>
      </c>
      <c r="J8" s="26">
        <v>1954.0909648152424</v>
      </c>
      <c r="K8" s="27">
        <v>7542.5149993300529</v>
      </c>
    </row>
    <row r="9" spans="1:11" x14ac:dyDescent="0.2">
      <c r="A9" s="34" t="s">
        <v>10</v>
      </c>
      <c r="B9" s="26">
        <v>-3.2790867177963081</v>
      </c>
      <c r="C9" s="26">
        <v>-6.6066214978967324</v>
      </c>
      <c r="D9" s="26">
        <v>-20.36899147879728</v>
      </c>
      <c r="E9" s="26">
        <v>-19.459729645063636</v>
      </c>
      <c r="F9" s="26">
        <v>-7.7659269861925857</v>
      </c>
      <c r="G9" s="26">
        <v>-15.313929072821397</v>
      </c>
      <c r="H9" s="26">
        <v>-10.247281171257608</v>
      </c>
      <c r="I9" s="26">
        <v>-6.6911162085888787</v>
      </c>
      <c r="J9" s="26">
        <v>-24.305887850914615</v>
      </c>
      <c r="K9" s="27">
        <v>-114.03857062932904</v>
      </c>
    </row>
    <row r="10" spans="1:11" x14ac:dyDescent="0.2">
      <c r="A10" s="36" t="s">
        <v>11</v>
      </c>
      <c r="B10" s="37">
        <v>191.85571927421782</v>
      </c>
      <c r="C10" s="37">
        <v>475.23921684684245</v>
      </c>
      <c r="D10" s="37">
        <v>1218.25304811868</v>
      </c>
      <c r="E10" s="37">
        <v>1169.6448763731241</v>
      </c>
      <c r="F10" s="37">
        <v>515.81625714627364</v>
      </c>
      <c r="G10" s="37">
        <v>944.01053543655701</v>
      </c>
      <c r="H10" s="37">
        <v>642.73020666884406</v>
      </c>
      <c r="I10" s="37">
        <v>341.14149187185797</v>
      </c>
      <c r="J10" s="37">
        <v>1929.7850769643278</v>
      </c>
      <c r="K10" s="37">
        <v>7428.4764287007238</v>
      </c>
    </row>
    <row r="11" spans="1:11" x14ac:dyDescent="0.2">
      <c r="A11" s="36" t="s">
        <v>12</v>
      </c>
      <c r="B11" s="26">
        <v>0</v>
      </c>
      <c r="C11" s="26">
        <v>1.1532280000000001</v>
      </c>
      <c r="D11" s="26">
        <v>0.998892</v>
      </c>
      <c r="E11" s="26">
        <v>1.0094400000000001</v>
      </c>
      <c r="F11" s="26">
        <v>0.92016700000000007</v>
      </c>
      <c r="G11" s="26">
        <v>0.83527099999999999</v>
      </c>
      <c r="H11" s="26">
        <v>2.9576340000000001</v>
      </c>
      <c r="I11" s="26">
        <v>2.5461210000000003</v>
      </c>
      <c r="J11" s="26">
        <v>2.4289540000000001</v>
      </c>
      <c r="K11" s="27">
        <v>12.849707</v>
      </c>
    </row>
    <row r="12" spans="1:11" x14ac:dyDescent="0.2">
      <c r="A12" s="32" t="s">
        <v>11</v>
      </c>
      <c r="B12" s="37">
        <v>191.85571927421782</v>
      </c>
      <c r="C12" s="37">
        <v>476.39244484684247</v>
      </c>
      <c r="D12" s="37">
        <v>1219.2519401186801</v>
      </c>
      <c r="E12" s="37">
        <v>1170.6543163731242</v>
      </c>
      <c r="F12" s="37">
        <v>516.73642414627363</v>
      </c>
      <c r="G12" s="37">
        <v>944.84580643655704</v>
      </c>
      <c r="H12" s="37">
        <v>645.68784066884405</v>
      </c>
      <c r="I12" s="37">
        <v>343.68761287185799</v>
      </c>
      <c r="J12" s="37">
        <v>1932.2140309643278</v>
      </c>
      <c r="K12" s="37">
        <v>7441.3261357007241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73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72</v>
      </c>
      <c r="B17" s="26">
        <v>406.97341255827195</v>
      </c>
      <c r="C17" s="26">
        <v>832.17910597728064</v>
      </c>
      <c r="D17" s="26">
        <v>2307.40419633395</v>
      </c>
      <c r="E17" s="26">
        <v>2012.6035313875743</v>
      </c>
      <c r="F17" s="26">
        <v>806.40617739313745</v>
      </c>
      <c r="G17" s="26">
        <v>1740.342314968819</v>
      </c>
      <c r="H17" s="26">
        <v>1045.5333136518104</v>
      </c>
      <c r="I17" s="26">
        <v>560.89325438050469</v>
      </c>
      <c r="J17" s="26">
        <v>2586.4256340781312</v>
      </c>
      <c r="K17" s="27">
        <v>12298.76094072948</v>
      </c>
    </row>
    <row r="18" spans="1:11" x14ac:dyDescent="0.2">
      <c r="A18" s="34" t="s">
        <v>10</v>
      </c>
      <c r="B18" s="26">
        <v>-2.6559493280600872</v>
      </c>
      <c r="C18" s="26">
        <v>-5.3928685647826642</v>
      </c>
      <c r="D18" s="26">
        <v>-15.128358626024797</v>
      </c>
      <c r="E18" s="26">
        <v>-13.526355116918218</v>
      </c>
      <c r="F18" s="26">
        <v>-1.342867257136968</v>
      </c>
      <c r="G18" s="26">
        <v>-10.803180943585467</v>
      </c>
      <c r="H18" s="26">
        <v>-5.9942683580418814</v>
      </c>
      <c r="I18" s="26">
        <v>-3.4722109740374143</v>
      </c>
      <c r="J18" s="26">
        <v>-10.089465424068273</v>
      </c>
      <c r="K18" s="27">
        <v>-68.405524592655766</v>
      </c>
    </row>
    <row r="19" spans="1:11" x14ac:dyDescent="0.2">
      <c r="A19" s="36" t="s">
        <v>11</v>
      </c>
      <c r="B19" s="37">
        <v>404.31746323021184</v>
      </c>
      <c r="C19" s="37">
        <v>826.78623741249794</v>
      </c>
      <c r="D19" s="37">
        <v>2292.2758377079253</v>
      </c>
      <c r="E19" s="37">
        <v>1999.0771762706561</v>
      </c>
      <c r="F19" s="37">
        <v>805.0633101360005</v>
      </c>
      <c r="G19" s="37">
        <v>1729.5391340252336</v>
      </c>
      <c r="H19" s="37">
        <v>1039.5390452937686</v>
      </c>
      <c r="I19" s="37">
        <v>557.42104340646722</v>
      </c>
      <c r="J19" s="37">
        <v>2576.3361686540629</v>
      </c>
      <c r="K19" s="37">
        <v>12230.355416136825</v>
      </c>
    </row>
    <row r="20" spans="1:11" x14ac:dyDescent="0.2">
      <c r="A20" s="36" t="s">
        <v>12</v>
      </c>
      <c r="B20" s="26">
        <v>0</v>
      </c>
      <c r="C20" s="26">
        <v>0.92888499999999996</v>
      </c>
      <c r="D20" s="26">
        <v>0.76642600000000005</v>
      </c>
      <c r="E20" s="26">
        <v>0.77752900000000003</v>
      </c>
      <c r="F20" s="26">
        <v>0.66372600000000004</v>
      </c>
      <c r="G20" s="26">
        <v>0.59419299999999997</v>
      </c>
      <c r="H20" s="26">
        <v>2.2581799999999999</v>
      </c>
      <c r="I20" s="26">
        <v>2.249431</v>
      </c>
      <c r="J20" s="26">
        <v>2.2717540000000001</v>
      </c>
      <c r="K20" s="27">
        <v>10.510123999999999</v>
      </c>
    </row>
    <row r="21" spans="1:11" x14ac:dyDescent="0.2">
      <c r="A21" s="32" t="s">
        <v>11</v>
      </c>
      <c r="B21" s="37">
        <v>404.31746323021184</v>
      </c>
      <c r="C21" s="37">
        <v>827.71512241249798</v>
      </c>
      <c r="D21" s="37">
        <v>2293.0422637079255</v>
      </c>
      <c r="E21" s="37">
        <v>1999.854705270656</v>
      </c>
      <c r="F21" s="37">
        <v>805.72703613600049</v>
      </c>
      <c r="G21" s="37">
        <v>1730.1333270252335</v>
      </c>
      <c r="H21" s="37">
        <v>1041.7972252937686</v>
      </c>
      <c r="I21" s="37">
        <v>559.67047440646718</v>
      </c>
      <c r="J21" s="37">
        <v>2578.6079226540628</v>
      </c>
      <c r="K21" s="37">
        <v>12240.865540136825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72</v>
      </c>
      <c r="B29" s="42">
        <v>9.6851775885976075</v>
      </c>
      <c r="C29" s="42">
        <v>32.848410695698718</v>
      </c>
      <c r="D29" s="42">
        <v>58.710347977187489</v>
      </c>
      <c r="E29" s="42">
        <v>56.398277638671992</v>
      </c>
      <c r="F29" s="42">
        <v>36.44410536930981</v>
      </c>
      <c r="G29" s="42">
        <v>50.594903762230878</v>
      </c>
      <c r="H29" s="42">
        <v>56.108302261767868</v>
      </c>
      <c r="I29" s="42">
        <v>18.600953843809616</v>
      </c>
      <c r="J29" s="42">
        <v>67.243356734886078</v>
      </c>
      <c r="K29" s="37">
        <v>386.63383587216003</v>
      </c>
    </row>
    <row r="30" spans="1:11" x14ac:dyDescent="0.2">
      <c r="A30" s="34" t="s">
        <v>10</v>
      </c>
      <c r="B30" s="42">
        <v>-5.9963207723843878E-2</v>
      </c>
      <c r="C30" s="42">
        <v>-0.20337222068733535</v>
      </c>
      <c r="D30" s="42">
        <v>-0.3634895446253722</v>
      </c>
      <c r="E30" s="42">
        <v>-0.3491749744781264</v>
      </c>
      <c r="F30" s="42">
        <v>-0.22563401038121811</v>
      </c>
      <c r="G30" s="42">
        <v>-0.31324492466035009</v>
      </c>
      <c r="H30" s="42">
        <v>-0.34737966885764765</v>
      </c>
      <c r="I30" s="42">
        <v>-0.11516287120135894</v>
      </c>
      <c r="J30" s="42">
        <v>-0.41631940468386891</v>
      </c>
      <c r="K30" s="37">
        <v>-2.3937408272991214</v>
      </c>
    </row>
    <row r="31" spans="1:11" x14ac:dyDescent="0.2">
      <c r="A31" s="43" t="s">
        <v>11</v>
      </c>
      <c r="B31" s="37">
        <v>9.6252143808737642</v>
      </c>
      <c r="C31" s="37">
        <v>32.645038475011383</v>
      </c>
      <c r="D31" s="37">
        <v>58.346858432562115</v>
      </c>
      <c r="E31" s="37">
        <v>56.049102664193867</v>
      </c>
      <c r="F31" s="37">
        <v>36.218471358928589</v>
      </c>
      <c r="G31" s="37">
        <v>50.281658837570525</v>
      </c>
      <c r="H31" s="37">
        <v>55.760922592910219</v>
      </c>
      <c r="I31" s="37">
        <v>18.485790972608257</v>
      </c>
      <c r="J31" s="37">
        <v>66.827037330202202</v>
      </c>
      <c r="K31" s="37">
        <v>384.24009504486088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72</v>
      </c>
      <c r="B36" s="42">
        <v>6.6791244281264331E-2</v>
      </c>
      <c r="C36" s="42">
        <v>0.57678201629329096</v>
      </c>
      <c r="D36" s="42">
        <v>8.190983864357424</v>
      </c>
      <c r="E36" s="42">
        <v>4.102567275852576</v>
      </c>
      <c r="F36" s="42">
        <v>2.7944777374288314</v>
      </c>
      <c r="G36" s="42">
        <v>1.4037481848943689</v>
      </c>
      <c r="H36" s="42">
        <v>0.60961161094001437</v>
      </c>
      <c r="I36" s="42">
        <v>0.45112391264548873</v>
      </c>
      <c r="J36" s="42">
        <v>38.406663544208712</v>
      </c>
      <c r="K36" s="42">
        <v>56.60274939090197</v>
      </c>
    </row>
    <row r="37" spans="1:11" x14ac:dyDescent="0.2">
      <c r="A37" s="34" t="s">
        <v>10</v>
      </c>
      <c r="B37" s="42">
        <v>-3.7636684296658986E-4</v>
      </c>
      <c r="C37" s="42">
        <v>-3.2501509574825605E-3</v>
      </c>
      <c r="D37" s="42">
        <v>-4.6155971055672124E-2</v>
      </c>
      <c r="E37" s="42">
        <v>-2.3117854896795052E-2</v>
      </c>
      <c r="F37" s="42">
        <v>-1.5746805963779479E-2</v>
      </c>
      <c r="G37" s="42">
        <v>-7.9100828013315555E-3</v>
      </c>
      <c r="H37" s="42">
        <v>-3.4351448294490865E-3</v>
      </c>
      <c r="I37" s="42">
        <v>-2.5420709647827381E-3</v>
      </c>
      <c r="J37" s="42">
        <v>-0.21642050335433305</v>
      </c>
      <c r="K37" s="42">
        <v>-0.31895495166659221</v>
      </c>
    </row>
    <row r="38" spans="1:11" x14ac:dyDescent="0.2">
      <c r="A38" s="43" t="s">
        <v>11</v>
      </c>
      <c r="B38" s="37">
        <v>6.6414877438297742E-2</v>
      </c>
      <c r="C38" s="37">
        <v>0.57353186533580836</v>
      </c>
      <c r="D38" s="37">
        <v>8.1448278933017519</v>
      </c>
      <c r="E38" s="37">
        <v>4.0794494209557808</v>
      </c>
      <c r="F38" s="37">
        <v>2.7787309314650521</v>
      </c>
      <c r="G38" s="37">
        <v>1.3958381020930373</v>
      </c>
      <c r="H38" s="37">
        <v>0.6061764661105653</v>
      </c>
      <c r="I38" s="37">
        <v>0.44858184168070597</v>
      </c>
      <c r="J38" s="37">
        <v>38.190243040854376</v>
      </c>
      <c r="K38" s="37">
        <v>56.283794439235379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72</v>
      </c>
      <c r="B43" s="42">
        <v>1.2791955195217128</v>
      </c>
      <c r="C43" s="42">
        <v>2.5345592281869185</v>
      </c>
      <c r="D43" s="42">
        <v>7.2549813768521823</v>
      </c>
      <c r="E43" s="42">
        <v>6.3761629940490536</v>
      </c>
      <c r="F43" s="42">
        <v>2.391034544961109</v>
      </c>
      <c r="G43" s="42">
        <v>5.4580411236374697</v>
      </c>
      <c r="H43" s="42">
        <v>3.1771178687764734</v>
      </c>
      <c r="I43" s="42">
        <v>1.6592061390656569</v>
      </c>
      <c r="J43" s="42">
        <v>7.6048674655507433</v>
      </c>
      <c r="K43" s="42">
        <v>37.735166260601318</v>
      </c>
    </row>
    <row r="44" spans="1:11" x14ac:dyDescent="0.2">
      <c r="A44" s="34" t="s">
        <v>10</v>
      </c>
      <c r="B44" s="42">
        <v>-8.613696628306116E-3</v>
      </c>
      <c r="C44" s="42">
        <v>-1.6227007512632553E-2</v>
      </c>
      <c r="D44" s="42">
        <v>-4.908115176971023E-2</v>
      </c>
      <c r="E44" s="42">
        <v>-4.3139643983531643E-2</v>
      </c>
      <c r="F44" s="42">
        <v>-1.1336641439659616E-2</v>
      </c>
      <c r="G44" s="42">
        <v>-3.5279814106458619E-2</v>
      </c>
      <c r="H44" s="42">
        <v>-1.731776511902899E-2</v>
      </c>
      <c r="I44" s="42">
        <v>-1.1481729638396929E-2</v>
      </c>
      <c r="J44" s="42">
        <v>-2.0159184246678705E-2</v>
      </c>
      <c r="K44" s="42">
        <v>-0.21263663444440342</v>
      </c>
    </row>
    <row r="45" spans="1:11" x14ac:dyDescent="0.2">
      <c r="A45" s="43" t="s">
        <v>11</v>
      </c>
      <c r="B45" s="37">
        <v>1.2705818228934067</v>
      </c>
      <c r="C45" s="37">
        <v>2.518332220674286</v>
      </c>
      <c r="D45" s="37">
        <v>7.2059002250824724</v>
      </c>
      <c r="E45" s="37">
        <v>6.3330233500655222</v>
      </c>
      <c r="F45" s="37">
        <v>2.3796979035214494</v>
      </c>
      <c r="G45" s="37">
        <v>5.422761309531011</v>
      </c>
      <c r="H45" s="37">
        <v>3.1598001036574446</v>
      </c>
      <c r="I45" s="37">
        <v>1.6477244094272601</v>
      </c>
      <c r="J45" s="37">
        <v>7.5847082813040645</v>
      </c>
      <c r="K45" s="37">
        <v>37.522529626156917</v>
      </c>
    </row>
    <row r="47" spans="1:11" x14ac:dyDescent="0.2">
      <c r="A47" s="15" t="s">
        <v>62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-7.5440254229895309E-2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3.2721043399999998</v>
      </c>
      <c r="C51" s="16">
        <v>12.169653049999999</v>
      </c>
      <c r="D51" s="16">
        <v>27.930408320000002</v>
      </c>
      <c r="E51" s="16">
        <v>26.469581659999996</v>
      </c>
      <c r="F51" s="16">
        <v>11.41850825</v>
      </c>
      <c r="G51" s="16">
        <v>21.871954170000002</v>
      </c>
      <c r="H51" s="16">
        <v>12.558246220000001</v>
      </c>
      <c r="I51" s="16">
        <v>8.90595626</v>
      </c>
      <c r="J51" s="16">
        <v>0</v>
      </c>
      <c r="K51" s="16">
        <v>124.59641227000002</v>
      </c>
    </row>
    <row r="52" spans="1:11" x14ac:dyDescent="0.2">
      <c r="A52" s="43"/>
      <c r="B52" s="37"/>
      <c r="C52" s="37"/>
      <c r="D52" s="37"/>
      <c r="E52" s="37"/>
      <c r="F52" s="37"/>
      <c r="G52" s="37"/>
      <c r="H52" s="37"/>
      <c r="I52" s="37"/>
      <c r="J52" s="37"/>
      <c r="K52" s="37"/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74</v>
      </c>
    </row>
    <row r="2" spans="1:11" x14ac:dyDescent="0.2">
      <c r="A2" s="45"/>
    </row>
    <row r="5" spans="1:11" x14ac:dyDescent="0.2">
      <c r="A5" s="32" t="s">
        <v>75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76</v>
      </c>
      <c r="B8" s="26">
        <v>213.06255822119778</v>
      </c>
      <c r="C8" s="26">
        <v>514.18523940590205</v>
      </c>
      <c r="D8" s="26">
        <v>1349.4721046023008</v>
      </c>
      <c r="E8" s="26">
        <v>1286.2927438453617</v>
      </c>
      <c r="F8" s="26">
        <v>567.60602117975566</v>
      </c>
      <c r="G8" s="26">
        <v>1047.0017444445032</v>
      </c>
      <c r="H8" s="26">
        <v>706.98404641260697</v>
      </c>
      <c r="I8" s="26">
        <v>379.82266580272932</v>
      </c>
      <c r="J8" s="26">
        <v>2078.8725208218116</v>
      </c>
      <c r="K8" s="27">
        <v>8143.2996447361693</v>
      </c>
    </row>
    <row r="9" spans="1:11" x14ac:dyDescent="0.2">
      <c r="A9" s="34" t="s">
        <v>10</v>
      </c>
      <c r="B9" s="26">
        <v>1.0656130478732229</v>
      </c>
      <c r="C9" s="26">
        <v>0.74632956915808613</v>
      </c>
      <c r="D9" s="26">
        <v>6.2596055566277355</v>
      </c>
      <c r="E9" s="26">
        <v>6.1168827747765464</v>
      </c>
      <c r="F9" s="26">
        <v>4.0765930456658239</v>
      </c>
      <c r="G9" s="26">
        <v>6.3889614108735699</v>
      </c>
      <c r="H9" s="26">
        <v>2.6426310844421388</v>
      </c>
      <c r="I9" s="26">
        <v>2.8056672643566851</v>
      </c>
      <c r="J9" s="26">
        <v>16.443629324254115</v>
      </c>
      <c r="K9" s="27">
        <v>46.545913078027922</v>
      </c>
    </row>
    <row r="10" spans="1:11" x14ac:dyDescent="0.2">
      <c r="A10" s="36" t="s">
        <v>11</v>
      </c>
      <c r="B10" s="37">
        <v>214.128171269071</v>
      </c>
      <c r="C10" s="37">
        <v>514.93156897506015</v>
      </c>
      <c r="D10" s="37">
        <v>1355.7317101589285</v>
      </c>
      <c r="E10" s="37">
        <v>1292.4096266201382</v>
      </c>
      <c r="F10" s="37">
        <v>571.6826142254215</v>
      </c>
      <c r="G10" s="37">
        <v>1053.3907058553768</v>
      </c>
      <c r="H10" s="37">
        <v>709.62667749704906</v>
      </c>
      <c r="I10" s="37">
        <v>382.62833306708598</v>
      </c>
      <c r="J10" s="37">
        <v>2095.3161501460659</v>
      </c>
      <c r="K10" s="37">
        <v>8189.8455578141975</v>
      </c>
    </row>
    <row r="11" spans="1:11" x14ac:dyDescent="0.2">
      <c r="A11" s="36" t="s">
        <v>12</v>
      </c>
      <c r="B11" s="26">
        <v>0</v>
      </c>
      <c r="C11" s="26">
        <v>1.0933009999999999</v>
      </c>
      <c r="D11" s="26">
        <v>0.839727</v>
      </c>
      <c r="E11" s="26">
        <v>0.85444799999999999</v>
      </c>
      <c r="F11" s="26">
        <v>0.84662199999999999</v>
      </c>
      <c r="G11" s="26">
        <v>0.583036</v>
      </c>
      <c r="H11" s="26">
        <v>2.2431830000000001</v>
      </c>
      <c r="I11" s="26">
        <v>2.3825149999999997</v>
      </c>
      <c r="J11" s="26">
        <v>2.0902449999999999</v>
      </c>
      <c r="K11" s="27">
        <v>10.933076999999997</v>
      </c>
    </row>
    <row r="12" spans="1:11" x14ac:dyDescent="0.2">
      <c r="A12" s="32" t="s">
        <v>11</v>
      </c>
      <c r="B12" s="37">
        <v>214.128171269071</v>
      </c>
      <c r="C12" s="37">
        <v>516.02486997506014</v>
      </c>
      <c r="D12" s="37">
        <v>1356.5714371589286</v>
      </c>
      <c r="E12" s="37">
        <v>1293.2640746201382</v>
      </c>
      <c r="F12" s="37">
        <v>572.52923622542153</v>
      </c>
      <c r="G12" s="37">
        <v>1053.9737418553768</v>
      </c>
      <c r="H12" s="37">
        <v>711.8698604970491</v>
      </c>
      <c r="I12" s="37">
        <v>385.01084806708599</v>
      </c>
      <c r="J12" s="37">
        <v>2097.4063951460657</v>
      </c>
      <c r="K12" s="37">
        <v>8200.7786348141981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77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76</v>
      </c>
      <c r="B17" s="26">
        <v>439.98048014825292</v>
      </c>
      <c r="C17" s="26">
        <v>895.58082375687491</v>
      </c>
      <c r="D17" s="26">
        <v>2491.3791144605361</v>
      </c>
      <c r="E17" s="26">
        <v>2172.7464158348939</v>
      </c>
      <c r="F17" s="26">
        <v>864.85622630334296</v>
      </c>
      <c r="G17" s="26">
        <v>1877.4385435308764</v>
      </c>
      <c r="H17" s="26">
        <v>1131.4725775995605</v>
      </c>
      <c r="I17" s="26">
        <v>604.88698815269311</v>
      </c>
      <c r="J17" s="26">
        <v>2792.2124037199565</v>
      </c>
      <c r="K17" s="27">
        <v>13270.553573506986</v>
      </c>
    </row>
    <row r="18" spans="1:11" x14ac:dyDescent="0.2">
      <c r="A18" s="34" t="s">
        <v>10</v>
      </c>
      <c r="B18" s="26">
        <v>6.2425308551561907</v>
      </c>
      <c r="C18" s="26">
        <v>12.696091594949946</v>
      </c>
      <c r="D18" s="26">
        <v>35.453820658116598</v>
      </c>
      <c r="E18" s="26">
        <v>30.999638273837977</v>
      </c>
      <c r="F18" s="26">
        <v>9.2434566249531933</v>
      </c>
      <c r="G18" s="26">
        <v>26.538704171628925</v>
      </c>
      <c r="H18" s="26">
        <v>15.780629332871991</v>
      </c>
      <c r="I18" s="26">
        <v>8.3936765791063657</v>
      </c>
      <c r="J18" s="26">
        <v>38.080858643417244</v>
      </c>
      <c r="K18" s="27">
        <v>183.42940673403842</v>
      </c>
    </row>
    <row r="19" spans="1:11" x14ac:dyDescent="0.2">
      <c r="A19" s="36" t="s">
        <v>11</v>
      </c>
      <c r="B19" s="37">
        <v>446.22301100340911</v>
      </c>
      <c r="C19" s="37">
        <v>908.27691535182487</v>
      </c>
      <c r="D19" s="37">
        <v>2526.8329351186526</v>
      </c>
      <c r="E19" s="37">
        <v>2203.7460541087321</v>
      </c>
      <c r="F19" s="37">
        <v>874.09968292829615</v>
      </c>
      <c r="G19" s="37">
        <v>1903.9772477025053</v>
      </c>
      <c r="H19" s="37">
        <v>1147.2532069324325</v>
      </c>
      <c r="I19" s="37">
        <v>613.28066473179945</v>
      </c>
      <c r="J19" s="37">
        <v>2830.2932623633737</v>
      </c>
      <c r="K19" s="37">
        <v>13453.982980241024</v>
      </c>
    </row>
    <row r="20" spans="1:11" x14ac:dyDescent="0.2">
      <c r="A20" s="36" t="s">
        <v>12</v>
      </c>
      <c r="B20" s="26">
        <v>0</v>
      </c>
      <c r="C20" s="26">
        <v>0.86580299999999999</v>
      </c>
      <c r="D20" s="26">
        <v>0.59888399999999997</v>
      </c>
      <c r="E20" s="26">
        <v>0.61437900000000001</v>
      </c>
      <c r="F20" s="26">
        <v>0.55105199999999999</v>
      </c>
      <c r="G20" s="26">
        <v>0.32868200000000003</v>
      </c>
      <c r="H20" s="26">
        <v>1.506127</v>
      </c>
      <c r="I20" s="26">
        <v>2.0553180000000002</v>
      </c>
      <c r="J20" s="26">
        <v>1.9152180000000001</v>
      </c>
      <c r="K20" s="27">
        <v>8.4354630000000004</v>
      </c>
    </row>
    <row r="21" spans="1:11" x14ac:dyDescent="0.2">
      <c r="A21" s="32" t="s">
        <v>11</v>
      </c>
      <c r="B21" s="37">
        <v>446.22301100340911</v>
      </c>
      <c r="C21" s="37">
        <v>909.1427183518249</v>
      </c>
      <c r="D21" s="37">
        <v>2527.4318191186526</v>
      </c>
      <c r="E21" s="37">
        <v>2204.3604331087322</v>
      </c>
      <c r="F21" s="37">
        <v>874.65073492829617</v>
      </c>
      <c r="G21" s="37">
        <v>1904.3059297025054</v>
      </c>
      <c r="H21" s="37">
        <v>1148.7593339324326</v>
      </c>
      <c r="I21" s="37">
        <v>615.3359827317995</v>
      </c>
      <c r="J21" s="37">
        <v>2832.2084803633738</v>
      </c>
      <c r="K21" s="37">
        <v>13462.418443241024</v>
      </c>
    </row>
    <row r="22" spans="1:11" x14ac:dyDescent="0.2">
      <c r="A22" s="32"/>
      <c r="B22" s="37"/>
      <c r="C22" s="37"/>
      <c r="D22" s="37"/>
      <c r="E22" s="37"/>
      <c r="F22" s="37"/>
      <c r="G22" s="37"/>
      <c r="H22" s="37"/>
      <c r="I22" s="37"/>
      <c r="J22" s="37"/>
      <c r="K22" s="37"/>
    </row>
    <row r="23" spans="1:1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41" t="s">
        <v>15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41" t="s">
        <v>16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4" t="s">
        <v>14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4"/>
      <c r="B28" s="35"/>
      <c r="C28" s="35"/>
      <c r="D28" s="35"/>
      <c r="E28" s="35"/>
      <c r="F28" s="35"/>
      <c r="G28" s="35"/>
      <c r="H28" s="35"/>
      <c r="I28" s="35"/>
      <c r="J28" s="35"/>
      <c r="K28" s="35"/>
    </row>
    <row r="29" spans="1:11" x14ac:dyDescent="0.2">
      <c r="A29" s="34" t="s">
        <v>76</v>
      </c>
      <c r="B29" s="42">
        <v>10.097698084583412</v>
      </c>
      <c r="C29" s="42">
        <v>34.247522126395481</v>
      </c>
      <c r="D29" s="42">
        <v>61.210996173412823</v>
      </c>
      <c r="E29" s="42">
        <v>58.800447888150991</v>
      </c>
      <c r="F29" s="42">
        <v>37.996368121869565</v>
      </c>
      <c r="G29" s="42">
        <v>52.749891071799816</v>
      </c>
      <c r="H29" s="42">
        <v>58.498121598193414</v>
      </c>
      <c r="I29" s="42">
        <v>19.393223746479357</v>
      </c>
      <c r="J29" s="42">
        <v>70.107451132564748</v>
      </c>
      <c r="K29" s="37">
        <v>403.10171994344955</v>
      </c>
    </row>
    <row r="30" spans="1:11" x14ac:dyDescent="0.2">
      <c r="A30" s="34" t="s">
        <v>10</v>
      </c>
      <c r="B30" s="42">
        <v>4.5583591769835036E-2</v>
      </c>
      <c r="C30" s="42">
        <v>0.15460207412236196</v>
      </c>
      <c r="D30" s="42">
        <v>0.27632209222552773</v>
      </c>
      <c r="E30" s="42">
        <v>0.26544026073714483</v>
      </c>
      <c r="F30" s="42">
        <v>0.17152532376145246</v>
      </c>
      <c r="G30" s="42">
        <v>0.23812649976048852</v>
      </c>
      <c r="H30" s="42">
        <v>0.26407548254045105</v>
      </c>
      <c r="I30" s="42">
        <v>8.7545972057752802E-2</v>
      </c>
      <c r="J30" s="42">
        <v>0.31648296529377695</v>
      </c>
      <c r="K30" s="37">
        <v>1.8197042622687913</v>
      </c>
    </row>
    <row r="31" spans="1:11" x14ac:dyDescent="0.2">
      <c r="A31" s="43" t="s">
        <v>11</v>
      </c>
      <c r="B31" s="37">
        <v>10.143281676353247</v>
      </c>
      <c r="C31" s="37">
        <v>34.402124200517839</v>
      </c>
      <c r="D31" s="37">
        <v>61.487318265638351</v>
      </c>
      <c r="E31" s="37">
        <v>59.065888148888135</v>
      </c>
      <c r="F31" s="37">
        <v>38.167893445631016</v>
      </c>
      <c r="G31" s="37">
        <v>52.988017571560306</v>
      </c>
      <c r="H31" s="37">
        <v>58.762197080733863</v>
      </c>
      <c r="I31" s="37">
        <v>19.480769718537111</v>
      </c>
      <c r="J31" s="37">
        <v>70.42393409785852</v>
      </c>
      <c r="K31" s="37">
        <v>404.92142420571838</v>
      </c>
    </row>
    <row r="32" spans="1:11" x14ac:dyDescent="0.2">
      <c r="A32" s="33"/>
      <c r="B32" s="38"/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">
      <c r="A33" s="41" t="s">
        <v>17</v>
      </c>
      <c r="B33" s="38"/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">
      <c r="A34" s="34" t="s">
        <v>14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">
      <c r="A35" s="34"/>
      <c r="B35" s="40" t="s">
        <v>0</v>
      </c>
      <c r="C35" s="40" t="s">
        <v>1</v>
      </c>
      <c r="D35" s="40" t="s">
        <v>2</v>
      </c>
      <c r="E35" s="40" t="s">
        <v>3</v>
      </c>
      <c r="F35" s="40" t="s">
        <v>4</v>
      </c>
      <c r="G35" s="40" t="s">
        <v>5</v>
      </c>
      <c r="H35" s="40" t="s">
        <v>6</v>
      </c>
      <c r="I35" s="40" t="s">
        <v>7</v>
      </c>
      <c r="J35" s="40" t="s">
        <v>8</v>
      </c>
      <c r="K35" s="40" t="s">
        <v>9</v>
      </c>
    </row>
    <row r="36" spans="1:11" x14ac:dyDescent="0.2">
      <c r="A36" s="34" t="s">
        <v>76</v>
      </c>
      <c r="B36" s="42">
        <v>6.9245514461961824E-2</v>
      </c>
      <c r="C36" s="42">
        <v>0.59797609522660256</v>
      </c>
      <c r="D36" s="42">
        <v>8.4919647438902484</v>
      </c>
      <c r="E36" s="42">
        <v>4.2533177018669441</v>
      </c>
      <c r="F36" s="42">
        <v>2.8971619059212337</v>
      </c>
      <c r="G36" s="42">
        <v>1.4553294564886889</v>
      </c>
      <c r="H36" s="42">
        <v>0.63201202606383811</v>
      </c>
      <c r="I36" s="42">
        <v>0.46770063581511506</v>
      </c>
      <c r="J36" s="42">
        <v>39.817931294809277</v>
      </c>
      <c r="K36" s="42">
        <v>58.682639374543911</v>
      </c>
    </row>
    <row r="37" spans="1:11" x14ac:dyDescent="0.2">
      <c r="A37" s="34" t="s">
        <v>10</v>
      </c>
      <c r="B37" s="42">
        <v>9.0708523349935892E-4</v>
      </c>
      <c r="C37" s="42">
        <v>7.8332190926767003E-3</v>
      </c>
      <c r="D37" s="42">
        <v>0.11124093571160301</v>
      </c>
      <c r="E37" s="42">
        <v>5.5716557393247969E-2</v>
      </c>
      <c r="F37" s="42">
        <v>3.7951523710052698E-2</v>
      </c>
      <c r="G37" s="42">
        <v>1.9064164229478139E-2</v>
      </c>
      <c r="H37" s="42">
        <v>8.2790745464304798E-3</v>
      </c>
      <c r="I37" s="42">
        <v>6.1266689076185802E-3</v>
      </c>
      <c r="J37" s="42">
        <v>0.52159707075112238</v>
      </c>
      <c r="K37" s="42">
        <v>0.76871629957572929</v>
      </c>
    </row>
    <row r="38" spans="1:11" x14ac:dyDescent="0.2">
      <c r="A38" s="43" t="s">
        <v>11</v>
      </c>
      <c r="B38" s="37">
        <v>7.0152599695461185E-2</v>
      </c>
      <c r="C38" s="37">
        <v>0.6058093143192792</v>
      </c>
      <c r="D38" s="37">
        <v>8.6032056796018512</v>
      </c>
      <c r="E38" s="37">
        <v>4.3090342592601925</v>
      </c>
      <c r="F38" s="37">
        <v>2.9351134296312864</v>
      </c>
      <c r="G38" s="37">
        <v>1.4743936207181672</v>
      </c>
      <c r="H38" s="37">
        <v>0.64029110061026862</v>
      </c>
      <c r="I38" s="37">
        <v>0.47382730472273366</v>
      </c>
      <c r="J38" s="37">
        <v>40.339528365560398</v>
      </c>
      <c r="K38" s="37">
        <v>59.45135567411964</v>
      </c>
    </row>
    <row r="39" spans="1:11" x14ac:dyDescent="0.2">
      <c r="A39" s="33"/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41" t="s">
        <v>18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 t="s">
        <v>14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">
      <c r="A42" s="34"/>
      <c r="B42" s="40" t="s">
        <v>0</v>
      </c>
      <c r="C42" s="40" t="s">
        <v>1</v>
      </c>
      <c r="D42" s="40" t="s">
        <v>2</v>
      </c>
      <c r="E42" s="40" t="s">
        <v>3</v>
      </c>
      <c r="F42" s="40" t="s">
        <v>4</v>
      </c>
      <c r="G42" s="40" t="s">
        <v>5</v>
      </c>
      <c r="H42" s="40" t="s">
        <v>6</v>
      </c>
      <c r="I42" s="40" t="s">
        <v>7</v>
      </c>
      <c r="J42" s="40" t="s">
        <v>8</v>
      </c>
      <c r="K42" s="40" t="s">
        <v>9</v>
      </c>
    </row>
    <row r="43" spans="1:11" x14ac:dyDescent="0.2">
      <c r="A43" s="34" t="s">
        <v>76</v>
      </c>
      <c r="B43" s="42">
        <v>1.3278745795713325</v>
      </c>
      <c r="C43" s="42">
        <v>2.6168401684810334</v>
      </c>
      <c r="D43" s="42">
        <v>7.5213848804932217</v>
      </c>
      <c r="E43" s="42">
        <v>6.600033456600892</v>
      </c>
      <c r="F43" s="42">
        <v>2.4748897274416799</v>
      </c>
      <c r="G43" s="42">
        <v>5.6492616703612368</v>
      </c>
      <c r="H43" s="42">
        <v>3.2981873132753488</v>
      </c>
      <c r="I43" s="42">
        <v>1.7221813602362022</v>
      </c>
      <c r="J43" s="42">
        <v>7.9111064265683373</v>
      </c>
      <c r="K43" s="42">
        <v>39.121759583029288</v>
      </c>
    </row>
    <row r="44" spans="1:11" x14ac:dyDescent="0.2">
      <c r="A44" s="34" t="s">
        <v>10</v>
      </c>
      <c r="B44" s="42">
        <v>1.7372626891488382E-2</v>
      </c>
      <c r="C44" s="42">
        <v>3.4421596334337667E-2</v>
      </c>
      <c r="D44" s="42">
        <v>9.8529179192149971E-2</v>
      </c>
      <c r="E44" s="42">
        <v>8.6594034300829667E-2</v>
      </c>
      <c r="F44" s="42">
        <v>3.2472401912258649E-2</v>
      </c>
      <c r="G44" s="42">
        <v>7.4125112660500231E-2</v>
      </c>
      <c r="H44" s="42">
        <v>4.3148121207594613E-2</v>
      </c>
      <c r="I44" s="42">
        <v>2.2533513251228668E-2</v>
      </c>
      <c r="J44" s="42">
        <v>0.1032809473000898</v>
      </c>
      <c r="K44" s="42">
        <v>0.51247753305047761</v>
      </c>
    </row>
    <row r="45" spans="1:11" x14ac:dyDescent="0.2">
      <c r="A45" s="43" t="s">
        <v>11</v>
      </c>
      <c r="B45" s="37">
        <v>1.3452472064628209</v>
      </c>
      <c r="C45" s="37">
        <v>2.6512617648153709</v>
      </c>
      <c r="D45" s="37">
        <v>7.6199140596853718</v>
      </c>
      <c r="E45" s="37">
        <v>6.6866274909017216</v>
      </c>
      <c r="F45" s="37">
        <v>2.5073621293539388</v>
      </c>
      <c r="G45" s="37">
        <v>5.7233867830217369</v>
      </c>
      <c r="H45" s="37">
        <v>3.3413354344829433</v>
      </c>
      <c r="I45" s="37">
        <v>1.7447148734874309</v>
      </c>
      <c r="J45" s="37">
        <v>8.014387373868427</v>
      </c>
      <c r="K45" s="37">
        <v>39.63423711607976</v>
      </c>
    </row>
    <row r="47" spans="1:11" x14ac:dyDescent="0.2">
      <c r="A47" s="15" t="s">
        <v>78</v>
      </c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1:11" x14ac:dyDescent="0.2">
      <c r="A48" s="4" t="s">
        <v>14</v>
      </c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4" t="s">
        <v>63</v>
      </c>
      <c r="B49" s="4"/>
      <c r="C49" s="4"/>
      <c r="D49" s="47">
        <v>3.1190626592200621E-2</v>
      </c>
      <c r="E49" s="4"/>
      <c r="F49" s="4"/>
      <c r="G49" s="4"/>
      <c r="H49" s="4"/>
      <c r="I49" s="4"/>
      <c r="J49" s="4"/>
      <c r="K49" s="4"/>
    </row>
    <row r="50" spans="1:11" x14ac:dyDescent="0.2">
      <c r="A50" s="4"/>
      <c r="B50" s="14" t="s">
        <v>0</v>
      </c>
      <c r="C50" s="14" t="s">
        <v>1</v>
      </c>
      <c r="D50" s="14" t="s">
        <v>2</v>
      </c>
      <c r="E50" s="14" t="s">
        <v>3</v>
      </c>
      <c r="F50" s="14" t="s">
        <v>4</v>
      </c>
      <c r="G50" s="14" t="s">
        <v>5</v>
      </c>
      <c r="H50" s="14" t="s">
        <v>6</v>
      </c>
      <c r="I50" s="14" t="s">
        <v>7</v>
      </c>
      <c r="J50" s="14" t="s">
        <v>8</v>
      </c>
      <c r="K50" s="14" t="s">
        <v>9</v>
      </c>
    </row>
    <row r="51" spans="1:11" s="45" customFormat="1" x14ac:dyDescent="0.2">
      <c r="A51" s="46" t="s">
        <v>64</v>
      </c>
      <c r="B51" s="16">
        <v>3.3927415199999995</v>
      </c>
      <c r="C51" s="16">
        <v>12.54559907</v>
      </c>
      <c r="D51" s="16">
        <v>28.850903160000001</v>
      </c>
      <c r="E51" s="16">
        <v>27.315920809999994</v>
      </c>
      <c r="F51" s="16">
        <v>11.764410489999999</v>
      </c>
      <c r="G51" s="16">
        <v>22.669070359999999</v>
      </c>
      <c r="H51" s="16">
        <v>13.03860744</v>
      </c>
      <c r="I51" s="16">
        <v>9.2223783499999996</v>
      </c>
      <c r="J51" s="16">
        <v>0</v>
      </c>
      <c r="K51" s="16">
        <v>128.79963119999996</v>
      </c>
    </row>
    <row r="52" spans="1:11" s="45" customFormat="1" x14ac:dyDescent="0.2">
      <c r="A52" s="46" t="s">
        <v>79</v>
      </c>
      <c r="B52" s="16">
        <v>0.51691769999999992</v>
      </c>
      <c r="C52" s="16">
        <v>7.0846208099999997</v>
      </c>
      <c r="D52" s="16">
        <v>12.92390827</v>
      </c>
      <c r="E52" s="16">
        <v>15.254854240000002</v>
      </c>
      <c r="F52" s="16">
        <v>7.58457969</v>
      </c>
      <c r="G52" s="16">
        <v>11.55866443</v>
      </c>
      <c r="H52" s="16">
        <v>7.5131838300000009</v>
      </c>
      <c r="I52" s="16">
        <v>5.3785261000000002</v>
      </c>
      <c r="J52" s="16">
        <v>0</v>
      </c>
      <c r="K52" s="16">
        <v>67.815255070000006</v>
      </c>
    </row>
  </sheetData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workbookViewId="0"/>
  </sheetViews>
  <sheetFormatPr baseColWidth="10" defaultRowHeight="12.75" x14ac:dyDescent="0.2"/>
  <cols>
    <col min="1" max="1" width="36" style="30" customWidth="1"/>
    <col min="2" max="10" width="8.5703125" style="30" customWidth="1"/>
    <col min="11" max="11" width="9.140625" style="30" bestFit="1" customWidth="1"/>
    <col min="12" max="16384" width="11.42578125" style="30"/>
  </cols>
  <sheetData>
    <row r="1" spans="1:11" ht="15.75" x14ac:dyDescent="0.25">
      <c r="A1" s="29" t="s">
        <v>80</v>
      </c>
    </row>
    <row r="2" spans="1:11" x14ac:dyDescent="0.2">
      <c r="A2" s="48"/>
    </row>
    <row r="5" spans="1:11" x14ac:dyDescent="0.2">
      <c r="A5" s="32" t="s">
        <v>81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82</v>
      </c>
      <c r="B8" s="26">
        <v>224.08989593329895</v>
      </c>
      <c r="C8" s="26">
        <v>545.56089639836716</v>
      </c>
      <c r="D8" s="26">
        <v>1414.853439021088</v>
      </c>
      <c r="E8" s="26">
        <v>1355.7694372548824</v>
      </c>
      <c r="F8" s="26">
        <v>594.84864928035358</v>
      </c>
      <c r="G8" s="26">
        <v>1103.8743594915898</v>
      </c>
      <c r="H8" s="26">
        <v>746.25290263005297</v>
      </c>
      <c r="I8" s="26">
        <v>399.33532829184708</v>
      </c>
      <c r="J8" s="26">
        <v>2208.6510026596316</v>
      </c>
      <c r="K8" s="49">
        <v>8593.2359109611098</v>
      </c>
    </row>
    <row r="9" spans="1:11" x14ac:dyDescent="0.2">
      <c r="A9" s="34" t="s">
        <v>10</v>
      </c>
      <c r="B9" s="26">
        <v>1.817161456789443</v>
      </c>
      <c r="C9" s="26">
        <v>5.4536141413477601</v>
      </c>
      <c r="D9" s="26">
        <v>10.700399482533568</v>
      </c>
      <c r="E9" s="26">
        <v>10.11151107300166</v>
      </c>
      <c r="F9" s="26">
        <v>3.162106798863737</v>
      </c>
      <c r="G9" s="26">
        <v>7.6633125040088776</v>
      </c>
      <c r="H9" s="26">
        <v>7.345568871353171</v>
      </c>
      <c r="I9" s="26">
        <v>2.8002033486670115</v>
      </c>
      <c r="J9" s="26">
        <v>17.982666297310033</v>
      </c>
      <c r="K9" s="49">
        <v>67.036543973875268</v>
      </c>
    </row>
    <row r="10" spans="1:11" x14ac:dyDescent="0.2">
      <c r="A10" s="34" t="s">
        <v>83</v>
      </c>
      <c r="B10" s="37">
        <v>225.9070573900884</v>
      </c>
      <c r="C10" s="37">
        <v>551.01451053971493</v>
      </c>
      <c r="D10" s="37">
        <v>1425.5538385036216</v>
      </c>
      <c r="E10" s="37">
        <v>1365.880948327884</v>
      </c>
      <c r="F10" s="37">
        <v>598.01075607921734</v>
      </c>
      <c r="G10" s="37">
        <v>1111.5376719955987</v>
      </c>
      <c r="H10" s="37">
        <v>753.59847150140615</v>
      </c>
      <c r="I10" s="37">
        <v>402.1355316405141</v>
      </c>
      <c r="J10" s="37">
        <v>2226.6336689569416</v>
      </c>
      <c r="K10" s="37">
        <v>8660.2724549349841</v>
      </c>
    </row>
    <row r="11" spans="1:11" x14ac:dyDescent="0.2">
      <c r="A11" s="34" t="s">
        <v>84</v>
      </c>
      <c r="B11" s="37">
        <v>-6.3759999999999994</v>
      </c>
      <c r="C11" s="37">
        <v>-12.324499999999999</v>
      </c>
      <c r="D11" s="37">
        <v>-35.492000000000004</v>
      </c>
      <c r="E11" s="37">
        <v>-19.788580000000003</v>
      </c>
      <c r="F11" s="37">
        <v>-9.2675000000000001</v>
      </c>
      <c r="G11" s="37">
        <v>-27.473764999999997</v>
      </c>
      <c r="H11" s="37">
        <v>-10.548999999999999</v>
      </c>
      <c r="I11" s="37">
        <v>-5.8868</v>
      </c>
      <c r="J11" s="37">
        <v>0</v>
      </c>
      <c r="K11" s="37">
        <v>-127.15814499999999</v>
      </c>
    </row>
    <row r="12" spans="1:11" x14ac:dyDescent="0.2">
      <c r="A12" s="34" t="s">
        <v>85</v>
      </c>
      <c r="B12" s="37">
        <v>219.53105739008839</v>
      </c>
      <c r="C12" s="37">
        <v>538.69001053971499</v>
      </c>
      <c r="D12" s="37">
        <v>1390.0618385036216</v>
      </c>
      <c r="E12" s="37">
        <v>1346.0923683278841</v>
      </c>
      <c r="F12" s="37">
        <v>588.7432560792173</v>
      </c>
      <c r="G12" s="37">
        <v>1084.0639069955987</v>
      </c>
      <c r="H12" s="37">
        <v>743.04947150140617</v>
      </c>
      <c r="I12" s="37">
        <v>396.24873164051411</v>
      </c>
      <c r="J12" s="37">
        <v>2226.6336689569416</v>
      </c>
      <c r="K12" s="37">
        <v>8533.1143099349847</v>
      </c>
    </row>
    <row r="13" spans="1:11" x14ac:dyDescent="0.2">
      <c r="A13" s="34" t="s">
        <v>12</v>
      </c>
      <c r="B13" s="26">
        <v>0</v>
      </c>
      <c r="C13" s="26">
        <v>1.010408</v>
      </c>
      <c r="D13" s="26">
        <v>0.80667</v>
      </c>
      <c r="E13" s="26">
        <v>0.88076399999999999</v>
      </c>
      <c r="F13" s="26">
        <v>0.88144299999999998</v>
      </c>
      <c r="G13" s="26">
        <v>0.59051100000000001</v>
      </c>
      <c r="H13" s="26">
        <v>2.0613510000000002</v>
      </c>
      <c r="I13" s="26">
        <v>2.6090360000000001</v>
      </c>
      <c r="J13" s="26">
        <v>1.7717360000000002</v>
      </c>
      <c r="K13" s="49">
        <v>10.611919</v>
      </c>
    </row>
    <row r="14" spans="1:11" x14ac:dyDescent="0.2">
      <c r="A14" s="32" t="s">
        <v>11</v>
      </c>
      <c r="B14" s="37">
        <v>219.53105739008839</v>
      </c>
      <c r="C14" s="37">
        <v>539.70041853971497</v>
      </c>
      <c r="D14" s="37">
        <v>1390.8685085036216</v>
      </c>
      <c r="E14" s="37">
        <v>1346.9731323278841</v>
      </c>
      <c r="F14" s="37">
        <v>589.62469907921729</v>
      </c>
      <c r="G14" s="37">
        <v>1084.6544179955988</v>
      </c>
      <c r="H14" s="37">
        <v>745.11082250140612</v>
      </c>
      <c r="I14" s="37">
        <v>398.85776764051411</v>
      </c>
      <c r="J14" s="37">
        <v>2228.4054049569418</v>
      </c>
      <c r="K14" s="37">
        <v>8543.7262289349856</v>
      </c>
    </row>
    <row r="15" spans="1:11" x14ac:dyDescent="0.2">
      <c r="A15" s="34"/>
      <c r="B15" s="38"/>
      <c r="C15" s="38"/>
      <c r="D15" s="38"/>
      <c r="E15" s="38"/>
      <c r="F15" s="38"/>
      <c r="G15" s="38"/>
      <c r="H15" s="38"/>
      <c r="I15" s="38"/>
      <c r="J15" s="38"/>
      <c r="K15" s="50"/>
    </row>
    <row r="16" spans="1:11" x14ac:dyDescent="0.2">
      <c r="A16" s="32" t="s">
        <v>86</v>
      </c>
      <c r="B16" s="38"/>
      <c r="C16" s="38"/>
      <c r="D16" s="38"/>
      <c r="E16" s="38"/>
      <c r="F16" s="38"/>
      <c r="G16" s="38"/>
      <c r="H16" s="38"/>
      <c r="I16" s="38"/>
      <c r="J16" s="38"/>
      <c r="K16" s="50"/>
    </row>
    <row r="17" spans="1:11" x14ac:dyDescent="0.2">
      <c r="A17" s="32"/>
      <c r="B17" s="38"/>
      <c r="C17" s="38"/>
      <c r="D17" s="38"/>
      <c r="E17" s="38"/>
      <c r="F17" s="38"/>
      <c r="G17" s="38"/>
      <c r="H17" s="38"/>
      <c r="I17" s="38"/>
      <c r="J17" s="38"/>
      <c r="K17" s="50"/>
    </row>
    <row r="18" spans="1:11" x14ac:dyDescent="0.2">
      <c r="A18" s="34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</row>
    <row r="19" spans="1:11" x14ac:dyDescent="0.2">
      <c r="A19" s="34" t="s">
        <v>82</v>
      </c>
      <c r="B19" s="26">
        <v>460.33008921520798</v>
      </c>
      <c r="C19" s="26">
        <v>934.96188457833591</v>
      </c>
      <c r="D19" s="26">
        <v>2603.6829379361416</v>
      </c>
      <c r="E19" s="26">
        <v>2269.9964257439856</v>
      </c>
      <c r="F19" s="26">
        <v>904.30250774714932</v>
      </c>
      <c r="G19" s="26">
        <v>1961.4412918311359</v>
      </c>
      <c r="H19" s="26">
        <v>1180.9452306410515</v>
      </c>
      <c r="I19" s="26">
        <v>632.49013288546473</v>
      </c>
      <c r="J19" s="26">
        <v>2925.4278164332009</v>
      </c>
      <c r="K19" s="49">
        <v>13873.578317011674</v>
      </c>
    </row>
    <row r="20" spans="1:11" x14ac:dyDescent="0.2">
      <c r="A20" s="34" t="s">
        <v>10</v>
      </c>
      <c r="B20" s="26">
        <v>6.5364778252185785</v>
      </c>
      <c r="C20" s="26">
        <v>13.078199042026419</v>
      </c>
      <c r="D20" s="26">
        <v>36.60194739764556</v>
      </c>
      <c r="E20" s="26">
        <v>32.409384777952454</v>
      </c>
      <c r="F20" s="26">
        <v>12.681574973366573</v>
      </c>
      <c r="G20" s="26">
        <v>27.741989848127357</v>
      </c>
      <c r="H20" s="26">
        <v>16.524087098862278</v>
      </c>
      <c r="I20" s="26">
        <v>8.9529590755724353</v>
      </c>
      <c r="J20" s="26">
        <v>40.232366694222669</v>
      </c>
      <c r="K20" s="49">
        <v>194.75898673299432</v>
      </c>
    </row>
    <row r="21" spans="1:11" x14ac:dyDescent="0.2">
      <c r="A21" s="34" t="s">
        <v>83</v>
      </c>
      <c r="B21" s="49">
        <v>466.86656704042656</v>
      </c>
      <c r="C21" s="49">
        <v>948.04008362036234</v>
      </c>
      <c r="D21" s="49">
        <v>2640.2848853337873</v>
      </c>
      <c r="E21" s="49">
        <v>2302.4058105219378</v>
      </c>
      <c r="F21" s="49">
        <v>916.98408272051586</v>
      </c>
      <c r="G21" s="49">
        <v>1989.1832816792632</v>
      </c>
      <c r="H21" s="49">
        <v>1197.4693177399138</v>
      </c>
      <c r="I21" s="49">
        <v>641.44309196103711</v>
      </c>
      <c r="J21" s="49">
        <v>2965.6601831274234</v>
      </c>
      <c r="K21" s="49">
        <v>14068.337303744667</v>
      </c>
    </row>
    <row r="22" spans="1:11" x14ac:dyDescent="0.2">
      <c r="A22" s="34" t="s">
        <v>84</v>
      </c>
      <c r="B22" s="49">
        <v>-6.3759999999999994</v>
      </c>
      <c r="C22" s="49">
        <v>-12.324499999999999</v>
      </c>
      <c r="D22" s="49">
        <v>-37.304000000000002</v>
      </c>
      <c r="E22" s="49">
        <v>-37.457420000000006</v>
      </c>
      <c r="F22" s="49">
        <v>-9.2675000000000001</v>
      </c>
      <c r="G22" s="49">
        <v>-38.818234999999994</v>
      </c>
      <c r="H22" s="49">
        <v>-19.591000000000001</v>
      </c>
      <c r="I22" s="49">
        <v>-8.8302000000000032</v>
      </c>
      <c r="J22" s="49">
        <v>-74.686999999999998</v>
      </c>
      <c r="K22" s="49">
        <v>-244.65585499999997</v>
      </c>
    </row>
    <row r="23" spans="1:11" x14ac:dyDescent="0.2">
      <c r="A23" s="34" t="s">
        <v>85</v>
      </c>
      <c r="B23" s="49">
        <v>460.49056704042658</v>
      </c>
      <c r="C23" s="49">
        <v>935.71558362036239</v>
      </c>
      <c r="D23" s="49">
        <v>2602.9808853337872</v>
      </c>
      <c r="E23" s="49">
        <v>2264.9483905219377</v>
      </c>
      <c r="F23" s="49">
        <v>907.71658272051582</v>
      </c>
      <c r="G23" s="49">
        <v>1950.3650466792633</v>
      </c>
      <c r="H23" s="49">
        <v>1177.8783177399139</v>
      </c>
      <c r="I23" s="49">
        <v>632.61289196103712</v>
      </c>
      <c r="J23" s="49">
        <v>2890.9731831274235</v>
      </c>
      <c r="K23" s="49">
        <v>13823.681448744668</v>
      </c>
    </row>
    <row r="24" spans="1:11" x14ac:dyDescent="0.2">
      <c r="A24" s="34" t="s">
        <v>12</v>
      </c>
      <c r="B24" s="26">
        <v>0</v>
      </c>
      <c r="C24" s="26">
        <v>0.77854800000000002</v>
      </c>
      <c r="D24" s="26">
        <v>0.56408599999999998</v>
      </c>
      <c r="E24" s="26">
        <v>0.6420800000000001</v>
      </c>
      <c r="F24" s="26">
        <v>0.60485500000000003</v>
      </c>
      <c r="G24" s="26">
        <v>0.33655099999999999</v>
      </c>
      <c r="H24" s="26">
        <v>1.3147249999999999</v>
      </c>
      <c r="I24" s="26">
        <v>2.3004530000000001</v>
      </c>
      <c r="J24" s="26">
        <v>1.5799459999999999</v>
      </c>
      <c r="K24" s="49">
        <v>8.1212440000000008</v>
      </c>
    </row>
    <row r="25" spans="1:11" x14ac:dyDescent="0.2">
      <c r="A25" s="32" t="s">
        <v>11</v>
      </c>
      <c r="B25" s="49">
        <v>460.49056704042658</v>
      </c>
      <c r="C25" s="49">
        <v>936.4941316203624</v>
      </c>
      <c r="D25" s="49">
        <v>2603.5449713337871</v>
      </c>
      <c r="E25" s="49">
        <v>2265.5904705219377</v>
      </c>
      <c r="F25" s="49">
        <v>908.32143772051586</v>
      </c>
      <c r="G25" s="49">
        <v>1950.7015976792634</v>
      </c>
      <c r="H25" s="49">
        <v>1179.1930427399138</v>
      </c>
      <c r="I25" s="49">
        <v>634.91334496103707</v>
      </c>
      <c r="J25" s="49">
        <v>2892.5531291274233</v>
      </c>
      <c r="K25" s="49">
        <v>13831.802692744668</v>
      </c>
    </row>
    <row r="26" spans="1:1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51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51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41" t="s">
        <v>15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41" t="s">
        <v>16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34" t="s">
        <v>14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34" t="s">
        <v>87</v>
      </c>
      <c r="B34" s="42">
        <v>10.549076595839701</v>
      </c>
      <c r="C34" s="42">
        <v>35.778425053195257</v>
      </c>
      <c r="D34" s="42">
        <v>63.947196849431485</v>
      </c>
      <c r="E34" s="42">
        <v>61.428894332740008</v>
      </c>
      <c r="F34" s="42">
        <v>39.694848699554896</v>
      </c>
      <c r="G34" s="42">
        <v>55.107870791679986</v>
      </c>
      <c r="H34" s="42">
        <v>61.113053716098108</v>
      </c>
      <c r="I34" s="42">
        <v>20.260122755522875</v>
      </c>
      <c r="J34" s="42">
        <v>73.24133339514735</v>
      </c>
      <c r="K34" s="37">
        <v>421.12082218920978</v>
      </c>
    </row>
    <row r="35" spans="1:11" x14ac:dyDescent="0.2">
      <c r="A35" s="34" t="s">
        <v>10</v>
      </c>
      <c r="B35" s="42">
        <v>7.8018274593470785E-2</v>
      </c>
      <c r="C35" s="42">
        <v>0.26460808820203963</v>
      </c>
      <c r="D35" s="42">
        <v>0.47293712562947621</v>
      </c>
      <c r="E35" s="42">
        <v>0.45431240379039811</v>
      </c>
      <c r="F35" s="42">
        <v>0.2935729566139853</v>
      </c>
      <c r="G35" s="42">
        <v>0.4075637290739178</v>
      </c>
      <c r="H35" s="42">
        <v>0.45197652730556004</v>
      </c>
      <c r="I35" s="42">
        <v>0.14983869024718297</v>
      </c>
      <c r="J35" s="42">
        <v>0.54167418432321579</v>
      </c>
      <c r="K35" s="37">
        <v>3.1145019797792468</v>
      </c>
    </row>
    <row r="36" spans="1:11" x14ac:dyDescent="0.2">
      <c r="A36" s="32" t="s">
        <v>11</v>
      </c>
      <c r="B36" s="37">
        <v>10.627094870433172</v>
      </c>
      <c r="C36" s="37">
        <v>36.043033141397295</v>
      </c>
      <c r="D36" s="37">
        <v>64.420133975060963</v>
      </c>
      <c r="E36" s="37">
        <v>61.883206736530404</v>
      </c>
      <c r="F36" s="37">
        <v>39.988421656168882</v>
      </c>
      <c r="G36" s="37">
        <v>55.515434520753907</v>
      </c>
      <c r="H36" s="37">
        <v>61.565030243403669</v>
      </c>
      <c r="I36" s="37">
        <v>20.409961445770058</v>
      </c>
      <c r="J36" s="37">
        <v>73.783007579470564</v>
      </c>
      <c r="K36" s="37">
        <v>424.23532416898894</v>
      </c>
    </row>
    <row r="37" spans="1:11" x14ac:dyDescent="0.2">
      <c r="A37" s="33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">
      <c r="A38" s="41" t="s">
        <v>17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34" t="s">
        <v>14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34" t="s">
        <v>87</v>
      </c>
      <c r="B41" s="42">
        <v>6.7923918474377773E-2</v>
      </c>
      <c r="C41" s="42">
        <v>0.58656332987619442</v>
      </c>
      <c r="D41" s="42">
        <v>8.329890035955259</v>
      </c>
      <c r="E41" s="42">
        <v>4.1721403483244943</v>
      </c>
      <c r="F41" s="42">
        <v>2.8418676737966364</v>
      </c>
      <c r="G41" s="42">
        <v>1.4275535408174309</v>
      </c>
      <c r="H41" s="42">
        <v>0.61994966268563434</v>
      </c>
      <c r="I41" s="42">
        <v>0.45877426291592444</v>
      </c>
      <c r="J41" s="42">
        <v>39.057980002050463</v>
      </c>
      <c r="K41" s="42">
        <v>57.562642774896418</v>
      </c>
    </row>
    <row r="42" spans="1:11" x14ac:dyDescent="0.2">
      <c r="A42" s="34" t="s">
        <v>10</v>
      </c>
      <c r="B42" s="42">
        <v>-7.4831966307095849E-4</v>
      </c>
      <c r="C42" s="42">
        <v>-6.4621842090620022E-3</v>
      </c>
      <c r="D42" s="42">
        <v>-9.1770625799150365E-2</v>
      </c>
      <c r="E42" s="42">
        <v>-4.5964584050324449E-2</v>
      </c>
      <c r="F42" s="42">
        <v>-3.1308933699841876E-2</v>
      </c>
      <c r="G42" s="42">
        <v>-1.572739630860974E-2</v>
      </c>
      <c r="H42" s="42">
        <v>-6.8300023485376189E-3</v>
      </c>
      <c r="I42" s="42">
        <v>-5.0543285717589582E-3</v>
      </c>
      <c r="J42" s="42">
        <v>-0.43030283134197816</v>
      </c>
      <c r="K42" s="42">
        <v>-0.63416920599233417</v>
      </c>
    </row>
    <row r="43" spans="1:11" x14ac:dyDescent="0.2">
      <c r="A43" s="32" t="s">
        <v>11</v>
      </c>
      <c r="B43" s="37">
        <v>6.7175598811306816E-2</v>
      </c>
      <c r="C43" s="37">
        <v>0.58010114566713245</v>
      </c>
      <c r="D43" s="37">
        <v>8.2381194101561093</v>
      </c>
      <c r="E43" s="37">
        <v>4.1261757642741701</v>
      </c>
      <c r="F43" s="37">
        <v>2.8105587400967944</v>
      </c>
      <c r="G43" s="37">
        <v>1.4118261445088212</v>
      </c>
      <c r="H43" s="37">
        <v>0.61311966033709675</v>
      </c>
      <c r="I43" s="37">
        <v>0.45371993434416547</v>
      </c>
      <c r="J43" s="37">
        <v>38.627677170708488</v>
      </c>
      <c r="K43" s="37">
        <v>56.928473568904082</v>
      </c>
    </row>
    <row r="44" spans="1:11" x14ac:dyDescent="0.2">
      <c r="A44" s="33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">
      <c r="A45" s="41" t="s">
        <v>18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34" t="s">
        <v>14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34" t="s">
        <v>87</v>
      </c>
      <c r="B48" s="42">
        <v>1.3029462940238909</v>
      </c>
      <c r="C48" s="42">
        <v>2.5544308110182574</v>
      </c>
      <c r="D48" s="42">
        <v>7.3705529496179096</v>
      </c>
      <c r="E48" s="42">
        <v>6.4621896593523616</v>
      </c>
      <c r="F48" s="42">
        <v>2.4282361910459045</v>
      </c>
      <c r="G48" s="42">
        <v>5.5332736931739985</v>
      </c>
      <c r="H48" s="42">
        <v>3.2381470838693764</v>
      </c>
      <c r="I48" s="42">
        <v>1.6904541615183248</v>
      </c>
      <c r="J48" s="42">
        <v>7.7948643396442616</v>
      </c>
      <c r="K48" s="42">
        <v>38.375095183264285</v>
      </c>
    </row>
    <row r="49" spans="1:11" x14ac:dyDescent="0.2">
      <c r="A49" s="34" t="s">
        <v>10</v>
      </c>
      <c r="B49" s="42">
        <v>-1.4350022029674846E-2</v>
      </c>
      <c r="C49" s="42">
        <v>-2.8279563931379471E-2</v>
      </c>
      <c r="D49" s="42">
        <v>-8.1281802053613322E-2</v>
      </c>
      <c r="E49" s="42">
        <v>-7.1324978244098017E-2</v>
      </c>
      <c r="F49" s="42">
        <v>-2.6745539568405093E-2</v>
      </c>
      <c r="G49" s="42">
        <v>-6.1050215636519169E-2</v>
      </c>
      <c r="H49" s="42">
        <v>-3.5642719072740872E-2</v>
      </c>
      <c r="I49" s="42">
        <v>-1.8611200815714483E-2</v>
      </c>
      <c r="J49" s="42">
        <v>-8.5493429309420207E-2</v>
      </c>
      <c r="K49" s="42">
        <v>-0.42277947066156552</v>
      </c>
    </row>
    <row r="50" spans="1:11" x14ac:dyDescent="0.2">
      <c r="A50" s="32" t="s">
        <v>11</v>
      </c>
      <c r="B50" s="37">
        <v>1.2885962719942161</v>
      </c>
      <c r="C50" s="37">
        <v>2.5261512470868781</v>
      </c>
      <c r="D50" s="37">
        <v>7.2892711475642962</v>
      </c>
      <c r="E50" s="37">
        <v>6.3908646811082637</v>
      </c>
      <c r="F50" s="37">
        <v>2.4014906514774994</v>
      </c>
      <c r="G50" s="37">
        <v>5.4722234775374794</v>
      </c>
      <c r="H50" s="37">
        <v>3.2025043647966354</v>
      </c>
      <c r="I50" s="37">
        <v>1.6718429607026104</v>
      </c>
      <c r="J50" s="37">
        <v>7.7093709103348411</v>
      </c>
      <c r="K50" s="37">
        <v>37.952315712602719</v>
      </c>
    </row>
    <row r="52" spans="1:11" x14ac:dyDescent="0.2">
      <c r="A52" s="41" t="s">
        <v>88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1:11" x14ac:dyDescent="0.2">
      <c r="A53" s="33" t="s">
        <v>14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spans="1:11" x14ac:dyDescent="0.2">
      <c r="A54" s="33" t="s">
        <v>63</v>
      </c>
      <c r="B54" s="33"/>
      <c r="C54" s="33"/>
      <c r="D54" s="52">
        <v>7.1234301857103333E-2</v>
      </c>
      <c r="E54" s="33"/>
      <c r="F54" s="33"/>
      <c r="G54" s="33"/>
      <c r="H54" s="33"/>
      <c r="I54" s="33"/>
      <c r="J54" s="33"/>
      <c r="K54" s="33"/>
    </row>
    <row r="55" spans="1:11" x14ac:dyDescent="0.2">
      <c r="A55" s="33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45" customFormat="1" x14ac:dyDescent="0.2">
      <c r="A56" s="51" t="s">
        <v>64</v>
      </c>
      <c r="B56" s="42">
        <v>3.64844401</v>
      </c>
      <c r="C56" s="42">
        <v>13.439679830000001</v>
      </c>
      <c r="D56" s="42">
        <v>30.995598600000001</v>
      </c>
      <c r="E56" s="42">
        <v>29.28038183</v>
      </c>
      <c r="F56" s="42">
        <v>12.642760760000002</v>
      </c>
      <c r="G56" s="42">
        <v>24.430691019999998</v>
      </c>
      <c r="H56" s="42">
        <v>14.06967697</v>
      </c>
      <c r="I56" s="42">
        <v>9.9378398600000004</v>
      </c>
      <c r="J56" s="42">
        <v>0</v>
      </c>
      <c r="K56" s="42">
        <v>138.44507288</v>
      </c>
    </row>
    <row r="57" spans="1:11" x14ac:dyDescent="0.2">
      <c r="A57" s="51" t="s">
        <v>79</v>
      </c>
      <c r="B57" s="42">
        <v>0.55839760000000005</v>
      </c>
      <c r="C57" s="42">
        <v>7.6001353499999995</v>
      </c>
      <c r="D57" s="42">
        <v>13.890989050000002</v>
      </c>
      <c r="E57" s="42">
        <v>16.356976119999999</v>
      </c>
      <c r="F57" s="42">
        <v>8.1509670599999993</v>
      </c>
      <c r="G57" s="42">
        <v>12.51051936</v>
      </c>
      <c r="H57" s="42">
        <v>8.1118501499999986</v>
      </c>
      <c r="I57" s="42">
        <v>5.8001602000000005</v>
      </c>
      <c r="J57" s="42">
        <v>0</v>
      </c>
      <c r="K57" s="42">
        <v>72.97999489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workbookViewId="0"/>
  </sheetViews>
  <sheetFormatPr baseColWidth="10" defaultRowHeight="12.75" x14ac:dyDescent="0.2"/>
  <cols>
    <col min="1" max="1" width="36" style="30" customWidth="1"/>
    <col min="2" max="10" width="8.5703125" style="30" customWidth="1"/>
    <col min="11" max="11" width="9.140625" style="30" bestFit="1" customWidth="1"/>
    <col min="12" max="16384" width="11.42578125" style="30"/>
  </cols>
  <sheetData>
    <row r="1" spans="1:11" ht="15.75" x14ac:dyDescent="0.25">
      <c r="A1" s="29" t="s">
        <v>89</v>
      </c>
    </row>
    <row r="2" spans="1:11" x14ac:dyDescent="0.2">
      <c r="A2" s="48"/>
    </row>
    <row r="5" spans="1:11" x14ac:dyDescent="0.2">
      <c r="A5" s="32" t="s">
        <v>90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91</v>
      </c>
      <c r="B8" s="26">
        <v>234.30963557749973</v>
      </c>
      <c r="C8" s="26">
        <v>565.55056843640193</v>
      </c>
      <c r="D8" s="26">
        <v>1489.7117485337908</v>
      </c>
      <c r="E8" s="26">
        <v>1412.7710731506982</v>
      </c>
      <c r="F8" s="26">
        <v>614.99716076710433</v>
      </c>
      <c r="G8" s="26">
        <v>1144.3148550809854</v>
      </c>
      <c r="H8" s="26">
        <v>777.57169892282207</v>
      </c>
      <c r="I8" s="26">
        <v>414.88636225820767</v>
      </c>
      <c r="J8" s="26">
        <v>2304.8415732633512</v>
      </c>
      <c r="K8" s="49">
        <v>8958.9546759908626</v>
      </c>
    </row>
    <row r="9" spans="1:11" x14ac:dyDescent="0.2">
      <c r="A9" s="34" t="s">
        <v>10</v>
      </c>
      <c r="B9" s="26">
        <v>2.1067607397961257</v>
      </c>
      <c r="C9" s="26">
        <v>5.5403307688994099</v>
      </c>
      <c r="D9" s="26">
        <v>8.9966173972527024</v>
      </c>
      <c r="E9" s="26">
        <v>9.7288290487616322</v>
      </c>
      <c r="F9" s="26">
        <v>7.7774748286566462</v>
      </c>
      <c r="G9" s="26">
        <v>9.8981285562086843</v>
      </c>
      <c r="H9" s="26">
        <v>6.1431284518981117</v>
      </c>
      <c r="I9" s="26">
        <v>2.4351691125128418</v>
      </c>
      <c r="J9" s="26">
        <v>24.951004883677697</v>
      </c>
      <c r="K9" s="49">
        <v>77.577443787663853</v>
      </c>
    </row>
    <row r="10" spans="1:11" x14ac:dyDescent="0.2">
      <c r="A10" s="34" t="s">
        <v>83</v>
      </c>
      <c r="B10" s="37">
        <v>236.41639631729586</v>
      </c>
      <c r="C10" s="37">
        <v>571.0908992053013</v>
      </c>
      <c r="D10" s="37">
        <v>1498.7083659310435</v>
      </c>
      <c r="E10" s="37">
        <v>1422.4999021994597</v>
      </c>
      <c r="F10" s="37">
        <v>622.77463559576097</v>
      </c>
      <c r="G10" s="37">
        <v>1154.2129836371939</v>
      </c>
      <c r="H10" s="37">
        <v>783.71482737472013</v>
      </c>
      <c r="I10" s="37">
        <v>417.32153137072049</v>
      </c>
      <c r="J10" s="37">
        <v>2329.792578147029</v>
      </c>
      <c r="K10" s="37">
        <v>9036.532119778527</v>
      </c>
    </row>
    <row r="11" spans="1:11" x14ac:dyDescent="0.2">
      <c r="A11" s="34" t="s">
        <v>84</v>
      </c>
      <c r="B11" s="37">
        <v>-6.3759999999999994</v>
      </c>
      <c r="C11" s="37">
        <v>-12.324499999999999</v>
      </c>
      <c r="D11" s="37">
        <v>-35.492000000000004</v>
      </c>
      <c r="E11" s="37">
        <v>-19.788580000000003</v>
      </c>
      <c r="F11" s="37">
        <v>-9.2675000000000001</v>
      </c>
      <c r="G11" s="37">
        <v>-27.473764999999997</v>
      </c>
      <c r="H11" s="37">
        <v>-10.548999999999999</v>
      </c>
      <c r="I11" s="37">
        <v>-5.8868</v>
      </c>
      <c r="J11" s="37">
        <v>0</v>
      </c>
      <c r="K11" s="37">
        <v>-127.15814499999999</v>
      </c>
    </row>
    <row r="12" spans="1:11" x14ac:dyDescent="0.2">
      <c r="A12" s="34" t="s">
        <v>85</v>
      </c>
      <c r="B12" s="37">
        <v>230.04039631729586</v>
      </c>
      <c r="C12" s="37">
        <v>558.76639920530135</v>
      </c>
      <c r="D12" s="37">
        <v>1463.2163659310436</v>
      </c>
      <c r="E12" s="37">
        <v>1402.7113221994598</v>
      </c>
      <c r="F12" s="37">
        <v>613.50713559576093</v>
      </c>
      <c r="G12" s="37">
        <v>1126.739218637194</v>
      </c>
      <c r="H12" s="37">
        <v>773.16582737472015</v>
      </c>
      <c r="I12" s="37">
        <v>411.4347313707205</v>
      </c>
      <c r="J12" s="37">
        <v>2329.792578147029</v>
      </c>
      <c r="K12" s="37">
        <v>8909.3739747785276</v>
      </c>
    </row>
    <row r="13" spans="1:11" x14ac:dyDescent="0.2">
      <c r="A13" s="34" t="s">
        <v>12</v>
      </c>
      <c r="B13" s="26">
        <v>0</v>
      </c>
      <c r="C13" s="26">
        <v>0.85533799999999993</v>
      </c>
      <c r="D13" s="26">
        <v>0.783439</v>
      </c>
      <c r="E13" s="26">
        <v>0.92050699999999996</v>
      </c>
      <c r="F13" s="26">
        <v>0.96034600000000003</v>
      </c>
      <c r="G13" s="26">
        <v>0.50407599999999997</v>
      </c>
      <c r="H13" s="26">
        <v>2.018033</v>
      </c>
      <c r="I13" s="26">
        <v>2.751754</v>
      </c>
      <c r="J13" s="26">
        <v>1.7352780000000001</v>
      </c>
      <c r="K13" s="49">
        <v>10.528770999999999</v>
      </c>
    </row>
    <row r="14" spans="1:11" x14ac:dyDescent="0.2">
      <c r="A14" s="32" t="s">
        <v>11</v>
      </c>
      <c r="B14" s="37">
        <v>230.04039631729586</v>
      </c>
      <c r="C14" s="37">
        <v>559.62173720530132</v>
      </c>
      <c r="D14" s="37">
        <v>1463.9998049310436</v>
      </c>
      <c r="E14" s="37">
        <v>1403.6318291994598</v>
      </c>
      <c r="F14" s="37">
        <v>614.46748159576089</v>
      </c>
      <c r="G14" s="37">
        <v>1127.2432946371939</v>
      </c>
      <c r="H14" s="37">
        <v>775.1838603747201</v>
      </c>
      <c r="I14" s="37">
        <v>414.1864853707205</v>
      </c>
      <c r="J14" s="37">
        <v>2331.5278561470291</v>
      </c>
      <c r="K14" s="37">
        <v>8919.9027457785269</v>
      </c>
    </row>
    <row r="15" spans="1:11" x14ac:dyDescent="0.2">
      <c r="A15" s="34"/>
      <c r="B15" s="38"/>
      <c r="C15" s="38"/>
      <c r="D15" s="38"/>
      <c r="E15" s="38"/>
      <c r="F15" s="38"/>
      <c r="G15" s="38"/>
      <c r="H15" s="38"/>
      <c r="I15" s="38"/>
      <c r="J15" s="38"/>
      <c r="K15" s="50"/>
    </row>
    <row r="16" spans="1:11" x14ac:dyDescent="0.2">
      <c r="A16" s="32" t="s">
        <v>92</v>
      </c>
      <c r="B16" s="38"/>
      <c r="C16" s="38"/>
      <c r="D16" s="38"/>
      <c r="E16" s="38"/>
      <c r="F16" s="38"/>
      <c r="G16" s="38"/>
      <c r="H16" s="38"/>
      <c r="I16" s="38"/>
      <c r="J16" s="38"/>
      <c r="K16" s="50"/>
    </row>
    <row r="17" spans="1:11" x14ac:dyDescent="0.2">
      <c r="A17" s="32"/>
      <c r="B17" s="38"/>
      <c r="C17" s="38"/>
      <c r="D17" s="38"/>
      <c r="E17" s="38"/>
      <c r="F17" s="38"/>
      <c r="G17" s="38"/>
      <c r="H17" s="38"/>
      <c r="I17" s="38"/>
      <c r="J17" s="38"/>
      <c r="K17" s="50"/>
    </row>
    <row r="18" spans="1:11" x14ac:dyDescent="0.2">
      <c r="A18" s="34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</row>
    <row r="19" spans="1:11" x14ac:dyDescent="0.2">
      <c r="A19" s="34" t="s">
        <v>91</v>
      </c>
      <c r="B19" s="26">
        <v>485.96681518743947</v>
      </c>
      <c r="C19" s="26">
        <v>980.50137092941554</v>
      </c>
      <c r="D19" s="26">
        <v>2746.6894291189756</v>
      </c>
      <c r="E19" s="26">
        <v>2393.5030638506541</v>
      </c>
      <c r="F19" s="26">
        <v>952.17232336514644</v>
      </c>
      <c r="G19" s="26">
        <v>2066.6744390623639</v>
      </c>
      <c r="H19" s="26">
        <v>1246.7631974295782</v>
      </c>
      <c r="I19" s="26">
        <v>666.4978422767856</v>
      </c>
      <c r="J19" s="26">
        <v>3094.1660328667181</v>
      </c>
      <c r="K19" s="49">
        <v>14632.934514087077</v>
      </c>
    </row>
    <row r="20" spans="1:11" x14ac:dyDescent="0.2">
      <c r="A20" s="34" t="s">
        <v>10</v>
      </c>
      <c r="B20" s="26">
        <v>3.04273472987063</v>
      </c>
      <c r="C20" s="26">
        <v>6.0518612978734305</v>
      </c>
      <c r="D20" s="26">
        <v>17.132013704159764</v>
      </c>
      <c r="E20" s="26">
        <v>15.001164086028934</v>
      </c>
      <c r="F20" s="26">
        <v>5.7747202839415985</v>
      </c>
      <c r="G20" s="26">
        <v>13.009677145163064</v>
      </c>
      <c r="H20" s="26">
        <v>7.7135595650142061</v>
      </c>
      <c r="I20" s="26">
        <v>3.8455326494080948</v>
      </c>
      <c r="J20" s="26">
        <v>18.874783057515977</v>
      </c>
      <c r="K20" s="49">
        <v>90.446046518975692</v>
      </c>
    </row>
    <row r="21" spans="1:11" x14ac:dyDescent="0.2">
      <c r="A21" s="34" t="s">
        <v>83</v>
      </c>
      <c r="B21" s="49">
        <v>489.0095499173101</v>
      </c>
      <c r="C21" s="49">
        <v>986.55323222728896</v>
      </c>
      <c r="D21" s="49">
        <v>2763.8214428231354</v>
      </c>
      <c r="E21" s="49">
        <v>2408.504227936683</v>
      </c>
      <c r="F21" s="49">
        <v>957.94704364908807</v>
      </c>
      <c r="G21" s="49">
        <v>2079.684116207527</v>
      </c>
      <c r="H21" s="49">
        <v>1254.4767569945925</v>
      </c>
      <c r="I21" s="49">
        <v>670.34337492619375</v>
      </c>
      <c r="J21" s="49">
        <v>3113.0408159242343</v>
      </c>
      <c r="K21" s="49">
        <v>14723.380560606052</v>
      </c>
    </row>
    <row r="22" spans="1:11" x14ac:dyDescent="0.2">
      <c r="A22" s="34" t="s">
        <v>84</v>
      </c>
      <c r="B22" s="49">
        <v>-6.3759999999999994</v>
      </c>
      <c r="C22" s="49">
        <v>-12.324499999999999</v>
      </c>
      <c r="D22" s="49">
        <v>-37.304000000000002</v>
      </c>
      <c r="E22" s="49">
        <v>-37.457420000000006</v>
      </c>
      <c r="F22" s="49">
        <v>-9.2675000000000001</v>
      </c>
      <c r="G22" s="49">
        <v>-38.818234999999994</v>
      </c>
      <c r="H22" s="49">
        <v>-19.591000000000001</v>
      </c>
      <c r="I22" s="49">
        <v>-8.8302000000000032</v>
      </c>
      <c r="J22" s="49">
        <v>-74.686999999999998</v>
      </c>
      <c r="K22" s="49">
        <v>-244.65585499999997</v>
      </c>
    </row>
    <row r="23" spans="1:11" x14ac:dyDescent="0.2">
      <c r="A23" s="34" t="s">
        <v>85</v>
      </c>
      <c r="B23" s="49">
        <v>482.63354991731012</v>
      </c>
      <c r="C23" s="49">
        <v>974.22873222728902</v>
      </c>
      <c r="D23" s="49">
        <v>2726.5174428231353</v>
      </c>
      <c r="E23" s="49">
        <v>2371.0468079366829</v>
      </c>
      <c r="F23" s="49">
        <v>948.67954364908803</v>
      </c>
      <c r="G23" s="49">
        <v>2040.8658812075271</v>
      </c>
      <c r="H23" s="49">
        <v>1234.8857569945926</v>
      </c>
      <c r="I23" s="49">
        <v>661.51317492619376</v>
      </c>
      <c r="J23" s="49">
        <v>3038.3538159242344</v>
      </c>
      <c r="K23" s="49">
        <v>14478.724705606051</v>
      </c>
    </row>
    <row r="24" spans="1:11" x14ac:dyDescent="0.2">
      <c r="A24" s="34" t="s">
        <v>12</v>
      </c>
      <c r="B24" s="26">
        <v>0</v>
      </c>
      <c r="C24" s="26">
        <v>0.615317</v>
      </c>
      <c r="D24" s="26">
        <v>0.53963300000000003</v>
      </c>
      <c r="E24" s="26">
        <v>0.68391600000000008</v>
      </c>
      <c r="F24" s="26">
        <v>0.69051899999999999</v>
      </c>
      <c r="G24" s="26">
        <v>0.24556700000000001</v>
      </c>
      <c r="H24" s="26">
        <v>1.2691269999999999</v>
      </c>
      <c r="I24" s="26">
        <v>2.4352109999999998</v>
      </c>
      <c r="J24" s="26">
        <v>1.541569</v>
      </c>
      <c r="K24" s="49">
        <v>8.0208589999999997</v>
      </c>
    </row>
    <row r="25" spans="1:11" x14ac:dyDescent="0.2">
      <c r="A25" s="32" t="s">
        <v>11</v>
      </c>
      <c r="B25" s="49">
        <v>482.63354991731012</v>
      </c>
      <c r="C25" s="49">
        <v>974.84404922728902</v>
      </c>
      <c r="D25" s="49">
        <v>2727.0570758231352</v>
      </c>
      <c r="E25" s="49">
        <v>2371.7307239366828</v>
      </c>
      <c r="F25" s="49">
        <v>949.37006264908803</v>
      </c>
      <c r="G25" s="49">
        <v>2041.111448207527</v>
      </c>
      <c r="H25" s="49">
        <v>1236.1548839945926</v>
      </c>
      <c r="I25" s="49">
        <v>663.94838592619374</v>
      </c>
      <c r="J25" s="49">
        <v>3039.8953849242343</v>
      </c>
      <c r="K25" s="49">
        <v>14486.745564606052</v>
      </c>
    </row>
    <row r="26" spans="1:1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51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51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41" t="s">
        <v>15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41" t="s">
        <v>16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34" t="s">
        <v>14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34" t="s">
        <v>93</v>
      </c>
      <c r="B34" s="42">
        <v>10.828934217278082</v>
      </c>
      <c r="C34" s="42">
        <v>36.727594854289258</v>
      </c>
      <c r="D34" s="42">
        <v>65.643659117512072</v>
      </c>
      <c r="E34" s="42">
        <v>63.058548274425313</v>
      </c>
      <c r="F34" s="42">
        <v>40.747917737350591</v>
      </c>
      <c r="G34" s="42">
        <v>56.569833599720965</v>
      </c>
      <c r="H34" s="42">
        <v>62.734328687081657</v>
      </c>
      <c r="I34" s="42">
        <v>20.79760579613767</v>
      </c>
      <c r="J34" s="42">
        <v>75.184360841078032</v>
      </c>
      <c r="K34" s="37">
        <v>432.29278312487361</v>
      </c>
    </row>
    <row r="35" spans="1:11" x14ac:dyDescent="0.2">
      <c r="A35" s="34" t="s">
        <v>10</v>
      </c>
      <c r="B35" s="42">
        <v>0.10958966987179156</v>
      </c>
      <c r="C35" s="42">
        <v>0.37168616176875369</v>
      </c>
      <c r="D35" s="42">
        <v>0.66431901676771665</v>
      </c>
      <c r="E35" s="42">
        <v>0.6381574907863542</v>
      </c>
      <c r="F35" s="42">
        <v>0.41237214699062313</v>
      </c>
      <c r="G35" s="42">
        <v>0.57249118560568601</v>
      </c>
      <c r="H35" s="42">
        <v>0.63487636294586991</v>
      </c>
      <c r="I35" s="42">
        <v>0.21047341387352572</v>
      </c>
      <c r="J35" s="42">
        <v>0.76087167202001726</v>
      </c>
      <c r="K35" s="37">
        <v>4.3748371206303389</v>
      </c>
    </row>
    <row r="36" spans="1:11" x14ac:dyDescent="0.2">
      <c r="A36" s="32" t="s">
        <v>11</v>
      </c>
      <c r="B36" s="37">
        <v>10.938523887149874</v>
      </c>
      <c r="C36" s="37">
        <v>37.099281016058015</v>
      </c>
      <c r="D36" s="37">
        <v>66.307978134279793</v>
      </c>
      <c r="E36" s="37">
        <v>63.696705765211668</v>
      </c>
      <c r="F36" s="37">
        <v>41.160289884341211</v>
      </c>
      <c r="G36" s="37">
        <v>57.14232478532665</v>
      </c>
      <c r="H36" s="37">
        <v>63.369205050027524</v>
      </c>
      <c r="I36" s="37">
        <v>21.008079210011196</v>
      </c>
      <c r="J36" s="37">
        <v>75.945232513098048</v>
      </c>
      <c r="K36" s="37">
        <v>436.667620245504</v>
      </c>
    </row>
    <row r="37" spans="1:11" x14ac:dyDescent="0.2">
      <c r="A37" s="33"/>
      <c r="B37" s="38"/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">
      <c r="A38" s="41" t="s">
        <v>17</v>
      </c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34" t="s">
        <v>14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34" t="s">
        <v>93</v>
      </c>
      <c r="B41" s="42">
        <v>6.7625681940030477E-2</v>
      </c>
      <c r="C41" s="42">
        <v>0.58398788048212757</v>
      </c>
      <c r="D41" s="42">
        <v>8.2933156216456005</v>
      </c>
      <c r="E41" s="42">
        <v>4.1538215483164498</v>
      </c>
      <c r="F41" s="42">
        <v>2.8293897604909368</v>
      </c>
      <c r="G41" s="42">
        <v>1.4212855187396238</v>
      </c>
      <c r="H41" s="42">
        <v>0.61722762245265117</v>
      </c>
      <c r="I41" s="42">
        <v>0.45675990259495164</v>
      </c>
      <c r="J41" s="42">
        <v>38.886486412515993</v>
      </c>
      <c r="K41" s="42">
        <v>57.309899949178366</v>
      </c>
    </row>
    <row r="42" spans="1:11" x14ac:dyDescent="0.2">
      <c r="A42" s="34" t="s">
        <v>10</v>
      </c>
      <c r="B42" s="42">
        <v>-2.6683208285629691E-4</v>
      </c>
      <c r="C42" s="42">
        <v>-2.3042533256826801E-3</v>
      </c>
      <c r="D42" s="42">
        <v>-3.2723110771299614E-2</v>
      </c>
      <c r="E42" s="42">
        <v>-1.6389821496122749E-2</v>
      </c>
      <c r="F42" s="42">
        <v>-1.1163982992047294E-2</v>
      </c>
      <c r="G42" s="42">
        <v>-5.6079963176575804E-3</v>
      </c>
      <c r="H42" s="42">
        <v>-2.435408078273099E-3</v>
      </c>
      <c r="I42" s="42">
        <v>-1.802247203698812E-3</v>
      </c>
      <c r="J42" s="42">
        <v>-0.15343523150888358</v>
      </c>
      <c r="K42" s="42">
        <v>-0.22612888377652171</v>
      </c>
    </row>
    <row r="43" spans="1:11" x14ac:dyDescent="0.2">
      <c r="A43" s="32" t="s">
        <v>11</v>
      </c>
      <c r="B43" s="37">
        <v>6.7358849857174177E-2</v>
      </c>
      <c r="C43" s="37">
        <v>0.58168362715644495</v>
      </c>
      <c r="D43" s="37">
        <v>8.2605925108743001</v>
      </c>
      <c r="E43" s="37">
        <v>4.1374317268203269</v>
      </c>
      <c r="F43" s="37">
        <v>2.8182257774988897</v>
      </c>
      <c r="G43" s="37">
        <v>1.4156775224219662</v>
      </c>
      <c r="H43" s="37">
        <v>0.61479221437437803</v>
      </c>
      <c r="I43" s="37">
        <v>0.45495765539125282</v>
      </c>
      <c r="J43" s="37">
        <v>38.733051181007106</v>
      </c>
      <c r="K43" s="37">
        <v>57.083771065401848</v>
      </c>
    </row>
    <row r="44" spans="1:11" x14ac:dyDescent="0.2">
      <c r="A44" s="33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">
      <c r="A45" s="41" t="s">
        <v>18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34" t="s">
        <v>14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34" t="s">
        <v>93</v>
      </c>
      <c r="B48" s="42">
        <v>1.2973614509381524</v>
      </c>
      <c r="C48" s="42">
        <v>2.528013408809497</v>
      </c>
      <c r="D48" s="42">
        <v>7.3349367347311487</v>
      </c>
      <c r="E48" s="42">
        <v>6.4219925803037468</v>
      </c>
      <c r="F48" s="42">
        <v>2.4124667559185822</v>
      </c>
      <c r="G48" s="42">
        <v>5.4950498950737652</v>
      </c>
      <c r="H48" s="42">
        <v>3.2264760425405394</v>
      </c>
      <c r="I48" s="42">
        <v>1.683104310779826</v>
      </c>
      <c r="J48" s="42">
        <v>7.8071987870236628</v>
      </c>
      <c r="K48" s="42">
        <v>38.206599966118922</v>
      </c>
    </row>
    <row r="49" spans="1:11" x14ac:dyDescent="0.2">
      <c r="A49" s="34" t="s">
        <v>10</v>
      </c>
      <c r="B49" s="42">
        <v>-5.1184896468460007E-3</v>
      </c>
      <c r="C49" s="42">
        <v>-1.0034817029489204E-2</v>
      </c>
      <c r="D49" s="42">
        <v>-2.8954454329533291E-2</v>
      </c>
      <c r="E49" s="42">
        <v>-2.5386043169284677E-2</v>
      </c>
      <c r="F49" s="42">
        <v>-9.5390745274548869E-3</v>
      </c>
      <c r="G49" s="42">
        <v>-2.1736892949140382E-2</v>
      </c>
      <c r="H49" s="42">
        <v>-1.2720725635253984E-2</v>
      </c>
      <c r="I49" s="42">
        <v>-6.6407741929845089E-3</v>
      </c>
      <c r="J49" s="42">
        <v>-3.0621317704369176E-2</v>
      </c>
      <c r="K49" s="42">
        <v>-0.15075258918435611</v>
      </c>
    </row>
    <row r="50" spans="1:11" x14ac:dyDescent="0.2">
      <c r="A50" s="32" t="s">
        <v>11</v>
      </c>
      <c r="B50" s="37">
        <v>1.2922429612913064</v>
      </c>
      <c r="C50" s="37">
        <v>2.5179785917800079</v>
      </c>
      <c r="D50" s="37">
        <v>7.305982280401615</v>
      </c>
      <c r="E50" s="37">
        <v>6.3966065371344625</v>
      </c>
      <c r="F50" s="37">
        <v>2.4029276813911271</v>
      </c>
      <c r="G50" s="37">
        <v>5.473313002124625</v>
      </c>
      <c r="H50" s="37">
        <v>3.2137553169052855</v>
      </c>
      <c r="I50" s="37">
        <v>1.6764635365868414</v>
      </c>
      <c r="J50" s="37">
        <v>7.7765774693192933</v>
      </c>
      <c r="K50" s="37">
        <v>38.055847376934565</v>
      </c>
    </row>
    <row r="52" spans="1:11" x14ac:dyDescent="0.2">
      <c r="A52" s="41" t="s">
        <v>88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1:11" x14ac:dyDescent="0.2">
      <c r="A53" s="33" t="s">
        <v>14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spans="1:11" x14ac:dyDescent="0.2">
      <c r="A54" s="33" t="s">
        <v>63</v>
      </c>
      <c r="B54" s="33"/>
      <c r="C54" s="33"/>
      <c r="D54" s="52">
        <v>3.9146157851197572E-2</v>
      </c>
      <c r="E54" s="33"/>
      <c r="F54" s="33"/>
      <c r="G54" s="33"/>
      <c r="H54" s="33"/>
      <c r="I54" s="33"/>
      <c r="J54" s="33"/>
      <c r="K54" s="33"/>
    </row>
    <row r="55" spans="1:11" x14ac:dyDescent="0.2">
      <c r="A55" s="33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45" customFormat="1" x14ac:dyDescent="0.2">
      <c r="A56" s="51" t="s">
        <v>64</v>
      </c>
      <c r="B56" s="42">
        <v>3.8083217499999997</v>
      </c>
      <c r="C56" s="42">
        <v>13.94453878</v>
      </c>
      <c r="D56" s="42">
        <v>32.313357610000004</v>
      </c>
      <c r="E56" s="42">
        <v>30.48296453</v>
      </c>
      <c r="F56" s="42">
        <v>13.02093125</v>
      </c>
      <c r="G56" s="42">
        <v>25.925995050000001</v>
      </c>
      <c r="H56" s="42">
        <v>14.63621399</v>
      </c>
      <c r="I56" s="42">
        <v>10.367359139999998</v>
      </c>
      <c r="J56" s="42">
        <v>0</v>
      </c>
      <c r="K56" s="42">
        <v>144.4996821</v>
      </c>
    </row>
    <row r="57" spans="1:11" x14ac:dyDescent="0.2">
      <c r="A57" s="51" t="s">
        <v>79</v>
      </c>
      <c r="B57" s="42">
        <v>0.58593279000000009</v>
      </c>
      <c r="C57" s="42">
        <v>7.8994250999999984</v>
      </c>
      <c r="D57" s="42">
        <v>14.488686309999999</v>
      </c>
      <c r="E57" s="42">
        <v>17.03446576</v>
      </c>
      <c r="F57" s="42">
        <v>8.3794338499999999</v>
      </c>
      <c r="G57" s="42">
        <v>13.367557889999999</v>
      </c>
      <c r="H57" s="42">
        <v>8.4304204899999995</v>
      </c>
      <c r="I57" s="42">
        <v>6.0518953099999999</v>
      </c>
      <c r="J57" s="42">
        <v>0</v>
      </c>
      <c r="K57" s="42">
        <v>76.237817500000006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98</v>
      </c>
    </row>
    <row r="2" spans="1:40" x14ac:dyDescent="0.2">
      <c r="A2" s="70"/>
    </row>
    <row r="5" spans="1:40" x14ac:dyDescent="0.2">
      <c r="A5" s="62" t="s">
        <v>97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62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95</v>
      </c>
      <c r="B8" s="68">
        <v>245.19358940302584</v>
      </c>
      <c r="C8" s="68">
        <v>581.4779653028146</v>
      </c>
      <c r="D8" s="68">
        <v>1549.2490997508985</v>
      </c>
      <c r="E8" s="68">
        <v>1463.8446557272396</v>
      </c>
      <c r="F8" s="68">
        <v>640.98224132841267</v>
      </c>
      <c r="G8" s="68">
        <v>1190.328814309077</v>
      </c>
      <c r="H8" s="68">
        <v>805.3890079015946</v>
      </c>
      <c r="I8" s="68">
        <v>434.20855681980709</v>
      </c>
      <c r="J8" s="68">
        <v>2405.6884499166495</v>
      </c>
      <c r="K8" s="67">
        <v>9316.362380459519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0.59481055978711805</v>
      </c>
      <c r="C9" s="68">
        <v>-1.601315440611681</v>
      </c>
      <c r="D9" s="68">
        <v>3.8072182585978882</v>
      </c>
      <c r="E9" s="68">
        <v>3.819612707838882</v>
      </c>
      <c r="F9" s="68">
        <v>0.45093414421274791</v>
      </c>
      <c r="G9" s="68">
        <v>-1.4830069711753167</v>
      </c>
      <c r="H9" s="68">
        <v>1.1482359291507165</v>
      </c>
      <c r="I9" s="68">
        <v>0.42067908757698025</v>
      </c>
      <c r="J9" s="68">
        <v>-4.4518129882384088</v>
      </c>
      <c r="K9" s="67">
        <v>2.7053552871389268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245.78839996281295</v>
      </c>
      <c r="C10" s="67">
        <v>579.87664986220295</v>
      </c>
      <c r="D10" s="67">
        <v>1553.0563180094964</v>
      </c>
      <c r="E10" s="67">
        <v>1467.6642684350784</v>
      </c>
      <c r="F10" s="67">
        <v>641.43317547262541</v>
      </c>
      <c r="G10" s="67">
        <v>1188.8458073379015</v>
      </c>
      <c r="H10" s="67">
        <v>806.5372438307453</v>
      </c>
      <c r="I10" s="67">
        <v>434.62923590738404</v>
      </c>
      <c r="J10" s="67">
        <v>2401.2366369284109</v>
      </c>
      <c r="K10" s="67">
        <v>9319.0677357466575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239.41239996281294</v>
      </c>
      <c r="C12" s="67">
        <v>567.55214986220301</v>
      </c>
      <c r="D12" s="67">
        <v>1517.5643180094964</v>
      </c>
      <c r="E12" s="67">
        <v>1447.8756884350785</v>
      </c>
      <c r="F12" s="67">
        <v>632.16567547262537</v>
      </c>
      <c r="G12" s="67">
        <v>1161.3720423379016</v>
      </c>
      <c r="H12" s="67">
        <v>795.98824383074532</v>
      </c>
      <c r="I12" s="67">
        <v>428.74243590738405</v>
      </c>
      <c r="J12" s="67">
        <v>2401.2366369284109</v>
      </c>
      <c r="K12" s="67">
        <v>9191.9095907466581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0.86357299999999992</v>
      </c>
      <c r="D13" s="68">
        <v>0.66546099999999997</v>
      </c>
      <c r="E13" s="68">
        <v>0.91911900000000002</v>
      </c>
      <c r="F13" s="68">
        <v>1.0546139999999999</v>
      </c>
      <c r="G13" s="68">
        <v>0.38012400000000002</v>
      </c>
      <c r="H13" s="68">
        <v>2.1085970000000001</v>
      </c>
      <c r="I13" s="68">
        <v>2.8113249999999996</v>
      </c>
      <c r="J13" s="68">
        <v>1.7066590000000001</v>
      </c>
      <c r="K13" s="67">
        <v>10.509471999999999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239.41239996281294</v>
      </c>
      <c r="C14" s="67">
        <v>568.41572286220298</v>
      </c>
      <c r="D14" s="67">
        <v>1518.2297790094965</v>
      </c>
      <c r="E14" s="67">
        <v>1448.7948074350784</v>
      </c>
      <c r="F14" s="67">
        <v>633.22028947262538</v>
      </c>
      <c r="G14" s="67">
        <v>1161.7521663379016</v>
      </c>
      <c r="H14" s="67">
        <v>798.09684083074535</v>
      </c>
      <c r="I14" s="67">
        <v>431.55376090738406</v>
      </c>
      <c r="J14" s="67">
        <v>2402.9432959284109</v>
      </c>
      <c r="K14" s="67">
        <v>9202.4190627466578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96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95</v>
      </c>
      <c r="B19" s="68">
        <v>502.28869897011128</v>
      </c>
      <c r="C19" s="68">
        <v>1009.921717012509</v>
      </c>
      <c r="D19" s="68">
        <v>2836.8665512620014</v>
      </c>
      <c r="E19" s="68">
        <v>2473.5911230143838</v>
      </c>
      <c r="F19" s="68">
        <v>983.85835963719364</v>
      </c>
      <c r="G19" s="68">
        <v>2132.763049300459</v>
      </c>
      <c r="H19" s="68">
        <v>1290.3495710154207</v>
      </c>
      <c r="I19" s="68">
        <v>689.05856813794094</v>
      </c>
      <c r="J19" s="68">
        <v>3212.6923260996168</v>
      </c>
      <c r="K19" s="67">
        <v>15131.389964449638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3.352654199350567</v>
      </c>
      <c r="C20" s="68">
        <v>6.1133764748818944</v>
      </c>
      <c r="D20" s="68">
        <v>18.246381360141093</v>
      </c>
      <c r="E20" s="68">
        <v>16.110220727607608</v>
      </c>
      <c r="F20" s="68">
        <v>5.6499015813414006</v>
      </c>
      <c r="G20" s="68">
        <v>12.586497475740732</v>
      </c>
      <c r="H20" s="68">
        <v>7.2685184207339768</v>
      </c>
      <c r="I20" s="68">
        <v>4.2266921851149526</v>
      </c>
      <c r="J20" s="68">
        <v>15.30300127560459</v>
      </c>
      <c r="K20" s="67">
        <v>88.857243700516833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505.64135316946187</v>
      </c>
      <c r="C21" s="67">
        <v>1016.0350934873909</v>
      </c>
      <c r="D21" s="67">
        <v>2855.1129326221426</v>
      </c>
      <c r="E21" s="67">
        <v>2489.7013437419914</v>
      </c>
      <c r="F21" s="67">
        <v>989.50826121853504</v>
      </c>
      <c r="G21" s="67">
        <v>2145.3495467761995</v>
      </c>
      <c r="H21" s="67">
        <v>1297.6180894361546</v>
      </c>
      <c r="I21" s="67">
        <v>693.28526032305592</v>
      </c>
      <c r="J21" s="67">
        <v>3227.9953273752212</v>
      </c>
      <c r="K21" s="67">
        <v>15220.247208150155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499.26535316946189</v>
      </c>
      <c r="C23" s="67">
        <v>1003.710593487391</v>
      </c>
      <c r="D23" s="67">
        <v>2817.8089326221425</v>
      </c>
      <c r="E23" s="67">
        <v>2452.2439237419912</v>
      </c>
      <c r="F23" s="67">
        <v>980.240761218535</v>
      </c>
      <c r="G23" s="67">
        <v>2106.5313117761993</v>
      </c>
      <c r="H23" s="67">
        <v>1278.0270894361547</v>
      </c>
      <c r="I23" s="67">
        <v>684.45506032305593</v>
      </c>
      <c r="J23" s="67">
        <v>3153.3083273752213</v>
      </c>
      <c r="K23" s="67">
        <v>14975.591353150154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0.62398500000000001</v>
      </c>
      <c r="D24" s="68">
        <v>0.41544600000000004</v>
      </c>
      <c r="E24" s="68">
        <v>0.68245400000000001</v>
      </c>
      <c r="F24" s="68">
        <v>0.74873800000000001</v>
      </c>
      <c r="G24" s="68">
        <v>0.115091</v>
      </c>
      <c r="H24" s="68">
        <v>1.364457</v>
      </c>
      <c r="I24" s="68">
        <v>2.4408670000000003</v>
      </c>
      <c r="J24" s="68">
        <v>1.5114430000000001</v>
      </c>
      <c r="K24" s="67">
        <v>7.9024809999999999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499.26535316946189</v>
      </c>
      <c r="C25" s="67">
        <v>1004.3345784873909</v>
      </c>
      <c r="D25" s="67">
        <v>2818.2243786221425</v>
      </c>
      <c r="E25" s="67">
        <v>2452.926377741991</v>
      </c>
      <c r="F25" s="67">
        <v>980.989499218535</v>
      </c>
      <c r="G25" s="67">
        <v>2106.6464027761995</v>
      </c>
      <c r="H25" s="67">
        <v>1279.3915464361546</v>
      </c>
      <c r="I25" s="67">
        <v>686.89592732305596</v>
      </c>
      <c r="J25" s="67">
        <v>3154.8197703752212</v>
      </c>
      <c r="K25" s="67">
        <v>14983.493834150153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A27" s="62"/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94</v>
      </c>
      <c r="B34" s="54">
        <v>11.079528656448462</v>
      </c>
      <c r="C34" s="54">
        <v>37.577515155762939</v>
      </c>
      <c r="D34" s="54">
        <v>67.162731596075801</v>
      </c>
      <c r="E34" s="54">
        <v>64.517798208229038</v>
      </c>
      <c r="F34" s="54">
        <v>41.690873100073134</v>
      </c>
      <c r="G34" s="54">
        <v>57.878926945422982</v>
      </c>
      <c r="H34" s="54">
        <v>64.186075793365305</v>
      </c>
      <c r="I34" s="54">
        <v>21.278887172125167</v>
      </c>
      <c r="J34" s="54">
        <v>76.924216524132376</v>
      </c>
      <c r="K34" s="61">
        <v>442.29655315163518</v>
      </c>
    </row>
    <row r="35" spans="1:11" x14ac:dyDescent="0.2">
      <c r="A35" s="63" t="s">
        <v>10</v>
      </c>
      <c r="B35" s="54">
        <v>2.0437704802365262E-2</v>
      </c>
      <c r="C35" s="54">
        <v>6.9316862275802124E-2</v>
      </c>
      <c r="D35" s="54">
        <v>0.12389083729495177</v>
      </c>
      <c r="E35" s="54">
        <v>0.11901189618845091</v>
      </c>
      <c r="F35" s="54">
        <v>7.6904513160508947E-2</v>
      </c>
      <c r="G35" s="54">
        <v>0.10676559083582106</v>
      </c>
      <c r="H35" s="54">
        <v>0.1183999888590406</v>
      </c>
      <c r="I35" s="54">
        <v>3.9251815490682927E-2</v>
      </c>
      <c r="J35" s="54">
        <v>0.1418972303084447</v>
      </c>
      <c r="K35" s="61">
        <v>0.81587643921606823</v>
      </c>
    </row>
    <row r="36" spans="1:11" x14ac:dyDescent="0.2">
      <c r="A36" s="62" t="s">
        <v>11</v>
      </c>
      <c r="B36" s="61">
        <v>11.099966361250827</v>
      </c>
      <c r="C36" s="61">
        <v>37.646832018038744</v>
      </c>
      <c r="D36" s="61">
        <v>67.286622433370752</v>
      </c>
      <c r="E36" s="61">
        <v>64.636810104417492</v>
      </c>
      <c r="F36" s="61">
        <v>41.76777761323364</v>
      </c>
      <c r="G36" s="61">
        <v>57.985692536258803</v>
      </c>
      <c r="H36" s="61">
        <v>64.304475782224344</v>
      </c>
      <c r="I36" s="61">
        <v>21.31813898761585</v>
      </c>
      <c r="J36" s="61">
        <v>77.066113754440821</v>
      </c>
      <c r="K36" s="61">
        <v>443.11242959085132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94</v>
      </c>
      <c r="B41" s="54">
        <v>6.6142057843915858E-2</v>
      </c>
      <c r="C41" s="54">
        <v>0.57117590629618853</v>
      </c>
      <c r="D41" s="54">
        <v>8.1113705005025967</v>
      </c>
      <c r="E41" s="54">
        <v>4.0626918241754426</v>
      </c>
      <c r="F41" s="54">
        <v>2.7673164370797685</v>
      </c>
      <c r="G41" s="54">
        <v>1.3901042665500958</v>
      </c>
      <c r="H41" s="54">
        <v>0.60368640930421513</v>
      </c>
      <c r="I41" s="54">
        <v>0.44673915340339782</v>
      </c>
      <c r="J41" s="54">
        <v>38.033364837993417</v>
      </c>
      <c r="K41" s="54">
        <v>56.052591393149036</v>
      </c>
    </row>
    <row r="42" spans="1:11" x14ac:dyDescent="0.2">
      <c r="A42" s="63" t="s">
        <v>10</v>
      </c>
      <c r="B42" s="54">
        <v>1.955524439570695E-4</v>
      </c>
      <c r="C42" s="54">
        <v>1.6887113592563309E-3</v>
      </c>
      <c r="D42" s="54">
        <v>2.3981689970361913E-2</v>
      </c>
      <c r="E42" s="54">
        <v>1.2011560286447093E-2</v>
      </c>
      <c r="F42" s="54">
        <v>8.1817153882711869E-3</v>
      </c>
      <c r="G42" s="54">
        <v>4.1099157713008483E-3</v>
      </c>
      <c r="H42" s="54">
        <v>1.7848303571333872E-3</v>
      </c>
      <c r="I42" s="54">
        <v>1.3208076087608447E-3</v>
      </c>
      <c r="J42" s="54">
        <v>0.11244762694762175</v>
      </c>
      <c r="K42" s="54">
        <v>0.16572241013311043</v>
      </c>
    </row>
    <row r="43" spans="1:11" x14ac:dyDescent="0.2">
      <c r="A43" s="62" t="s">
        <v>11</v>
      </c>
      <c r="B43" s="61">
        <v>6.6337610287872925E-2</v>
      </c>
      <c r="C43" s="61">
        <v>0.57286461765544483</v>
      </c>
      <c r="D43" s="61">
        <v>8.1353521904729593</v>
      </c>
      <c r="E43" s="61">
        <v>4.0747033844618894</v>
      </c>
      <c r="F43" s="61">
        <v>2.7754981524680398</v>
      </c>
      <c r="G43" s="61">
        <v>1.3942141823213967</v>
      </c>
      <c r="H43" s="61">
        <v>0.60547123966134853</v>
      </c>
      <c r="I43" s="61">
        <v>0.44805996101215867</v>
      </c>
      <c r="J43" s="61">
        <v>38.145812464941038</v>
      </c>
      <c r="K43" s="61">
        <v>56.218313803282143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94</v>
      </c>
      <c r="B48" s="54">
        <v>1.2674243624335142</v>
      </c>
      <c r="C48" s="54">
        <v>2.4579209946230232</v>
      </c>
      <c r="D48" s="54">
        <v>7.1601848687668479</v>
      </c>
      <c r="E48" s="54">
        <v>6.2728901192331161</v>
      </c>
      <c r="F48" s="54">
        <v>2.3531786868192395</v>
      </c>
      <c r="G48" s="54">
        <v>5.3570381270045067</v>
      </c>
      <c r="H48" s="54">
        <v>3.161242560064998</v>
      </c>
      <c r="I48" s="54">
        <v>1.6469262464691055</v>
      </c>
      <c r="J48" s="54">
        <v>7.6915882966850102</v>
      </c>
      <c r="K48" s="54">
        <v>37.368394262099365</v>
      </c>
    </row>
    <row r="49" spans="1:11" x14ac:dyDescent="0.2">
      <c r="A49" s="55" t="s">
        <v>10</v>
      </c>
      <c r="B49" s="54">
        <v>5.5061545370833753E-3</v>
      </c>
      <c r="C49" s="54">
        <v>8.415821776562098E-3</v>
      </c>
      <c r="D49" s="54">
        <v>2.8877264910500345E-2</v>
      </c>
      <c r="E49" s="54">
        <v>2.5474775881843017E-2</v>
      </c>
      <c r="F49" s="54">
        <v>3.4089081947195156E-4</v>
      </c>
      <c r="G49" s="54">
        <v>1.6661312330309555E-2</v>
      </c>
      <c r="H49" s="54">
        <v>8.3761444769402255E-3</v>
      </c>
      <c r="I49" s="54">
        <v>6.2888172186560494E-3</v>
      </c>
      <c r="J49" s="54">
        <v>1.0540424804038594E-2</v>
      </c>
      <c r="K49" s="54">
        <v>0.11048160675540521</v>
      </c>
    </row>
    <row r="50" spans="1:11" x14ac:dyDescent="0.2">
      <c r="A50" s="63" t="s">
        <v>11</v>
      </c>
      <c r="B50" s="61">
        <v>1.2729305169705976</v>
      </c>
      <c r="C50" s="61">
        <v>2.4663368163995854</v>
      </c>
      <c r="D50" s="61">
        <v>7.1890621336773481</v>
      </c>
      <c r="E50" s="61">
        <v>6.2983648951149593</v>
      </c>
      <c r="F50" s="61">
        <v>2.3535195776387114</v>
      </c>
      <c r="G50" s="61">
        <v>5.3736994393348159</v>
      </c>
      <c r="H50" s="61">
        <v>3.1696187045419384</v>
      </c>
      <c r="I50" s="61">
        <v>1.6532150636877616</v>
      </c>
      <c r="J50" s="61">
        <v>7.702128721489049</v>
      </c>
      <c r="K50" s="61">
        <v>37.478875868854765</v>
      </c>
    </row>
    <row r="52" spans="1:11" x14ac:dyDescent="0.2">
      <c r="A52" s="60" t="s">
        <v>88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</row>
    <row r="53" spans="1:11" x14ac:dyDescent="0.2">
      <c r="A53" s="57" t="s">
        <v>14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</row>
    <row r="54" spans="1:11" x14ac:dyDescent="0.2">
      <c r="A54" s="57" t="s">
        <v>63</v>
      </c>
      <c r="B54" s="58"/>
      <c r="C54" s="58"/>
      <c r="D54" s="59">
        <v>5.3060662448863649E-2</v>
      </c>
      <c r="E54" s="58"/>
      <c r="F54" s="58"/>
      <c r="G54" s="58"/>
      <c r="H54" s="58"/>
      <c r="I54" s="58"/>
      <c r="J54" s="58"/>
      <c r="K54" s="58"/>
    </row>
    <row r="55" spans="1:11" x14ac:dyDescent="0.2">
      <c r="A55" s="57"/>
      <c r="B55" s="40" t="s">
        <v>0</v>
      </c>
      <c r="C55" s="40" t="s">
        <v>1</v>
      </c>
      <c r="D55" s="40" t="s">
        <v>2</v>
      </c>
      <c r="E55" s="40" t="s">
        <v>3</v>
      </c>
      <c r="F55" s="40" t="s">
        <v>4</v>
      </c>
      <c r="G55" s="40" t="s">
        <v>5</v>
      </c>
      <c r="H55" s="40" t="s">
        <v>6</v>
      </c>
      <c r="I55" s="40" t="s">
        <v>7</v>
      </c>
      <c r="J55" s="40" t="s">
        <v>8</v>
      </c>
      <c r="K55" s="40" t="s">
        <v>9</v>
      </c>
    </row>
    <row r="56" spans="1:11" s="56" customFormat="1" x14ac:dyDescent="0.2">
      <c r="A56" s="55" t="s">
        <v>64</v>
      </c>
      <c r="B56" s="54">
        <v>4.03309403</v>
      </c>
      <c r="C56" s="54">
        <v>14.72298269</v>
      </c>
      <c r="D56" s="54">
        <v>34.191190759999998</v>
      </c>
      <c r="E56" s="54">
        <v>32.256260380000001</v>
      </c>
      <c r="F56" s="54">
        <v>13.82747664</v>
      </c>
      <c r="G56" s="54">
        <v>27.493535739999999</v>
      </c>
      <c r="H56" s="54">
        <v>15.658616839999999</v>
      </c>
      <c r="I56" s="54">
        <v>11.00165511</v>
      </c>
      <c r="J56" s="54">
        <v>0</v>
      </c>
      <c r="K56" s="54">
        <v>153.18481219</v>
      </c>
    </row>
    <row r="57" spans="1:11" x14ac:dyDescent="0.2">
      <c r="A57" s="55" t="s">
        <v>79</v>
      </c>
      <c r="B57" s="54">
        <v>0.62504002000000003</v>
      </c>
      <c r="C57" s="54">
        <v>8.3595404899999988</v>
      </c>
      <c r="D57" s="54">
        <v>15.33890774</v>
      </c>
      <c r="E57" s="54">
        <v>18.046062159999998</v>
      </c>
      <c r="F57" s="54">
        <v>8.9018055</v>
      </c>
      <c r="G57" s="54">
        <v>14.227836199999999</v>
      </c>
      <c r="H57" s="54">
        <v>9.0436804300000002</v>
      </c>
      <c r="I57" s="54">
        <v>6.4231468700000001</v>
      </c>
      <c r="J57" s="54">
        <v>0</v>
      </c>
      <c r="K57" s="54">
        <v>80.966019409999987</v>
      </c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99</v>
      </c>
    </row>
    <row r="2" spans="1:40" x14ac:dyDescent="0.2">
      <c r="A2" s="70"/>
    </row>
    <row r="5" spans="1:40" x14ac:dyDescent="0.2">
      <c r="A5" s="62" t="s">
        <v>100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108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107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101</v>
      </c>
      <c r="B8" s="68">
        <v>252.8861495551277</v>
      </c>
      <c r="C8" s="68">
        <v>600.91418102685589</v>
      </c>
      <c r="D8" s="68">
        <v>1616.5369507417934</v>
      </c>
      <c r="E8" s="68">
        <v>1526.9643889297504</v>
      </c>
      <c r="F8" s="68">
        <v>668.8541603517067</v>
      </c>
      <c r="G8" s="68">
        <v>1233.7406757488388</v>
      </c>
      <c r="H8" s="68">
        <v>850.09774928779143</v>
      </c>
      <c r="I8" s="68">
        <v>456.52998012983807</v>
      </c>
      <c r="J8" s="68">
        <v>2524.6436879353641</v>
      </c>
      <c r="K8" s="67">
        <v>9731.1679237070675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-0.69827191223719276</v>
      </c>
      <c r="C9" s="68">
        <v>-1.7157025193842128</v>
      </c>
      <c r="D9" s="68">
        <v>-3.890576439992059</v>
      </c>
      <c r="E9" s="68">
        <v>-3.7382793983770535</v>
      </c>
      <c r="F9" s="68">
        <v>-2.6397978239975637</v>
      </c>
      <c r="G9" s="68">
        <v>-2.4495056282272563</v>
      </c>
      <c r="H9" s="68">
        <v>-1.9700536641009385</v>
      </c>
      <c r="I9" s="68">
        <v>1.8100948489282747</v>
      </c>
      <c r="J9" s="68">
        <v>-12.132559138017241</v>
      </c>
      <c r="K9" s="67">
        <v>-27.42465167540524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252.1878776428905</v>
      </c>
      <c r="C10" s="67">
        <v>599.19847850747169</v>
      </c>
      <c r="D10" s="67">
        <v>1612.6463743018014</v>
      </c>
      <c r="E10" s="67">
        <v>1523.2261095313734</v>
      </c>
      <c r="F10" s="67">
        <v>666.21436252770911</v>
      </c>
      <c r="G10" s="67">
        <v>1231.2911701206117</v>
      </c>
      <c r="H10" s="67">
        <v>848.12769562369044</v>
      </c>
      <c r="I10" s="67">
        <v>458.34007497876632</v>
      </c>
      <c r="J10" s="67">
        <v>2512.5111287973468</v>
      </c>
      <c r="K10" s="67">
        <v>9703.7432720316629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245.81187764289049</v>
      </c>
      <c r="C12" s="67">
        <v>586.87397850747175</v>
      </c>
      <c r="D12" s="67">
        <v>1577.1543743018015</v>
      </c>
      <c r="E12" s="67">
        <v>1503.4375295313735</v>
      </c>
      <c r="F12" s="67">
        <v>656.94686252770907</v>
      </c>
      <c r="G12" s="67">
        <v>1203.8174051206117</v>
      </c>
      <c r="H12" s="67">
        <v>837.57869562369046</v>
      </c>
      <c r="I12" s="67">
        <v>452.45327497876633</v>
      </c>
      <c r="J12" s="67">
        <v>2512.5111287973468</v>
      </c>
      <c r="K12" s="67">
        <v>9576.5851270316634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0.92798900000000006</v>
      </c>
      <c r="D13" s="68">
        <v>0.934724</v>
      </c>
      <c r="E13" s="68">
        <v>0.77694299999999994</v>
      </c>
      <c r="F13" s="68">
        <v>0.97871000000000008</v>
      </c>
      <c r="G13" s="68">
        <v>0.327096</v>
      </c>
      <c r="H13" s="68">
        <v>2.174668</v>
      </c>
      <c r="I13" s="68">
        <v>3.0223809999999998</v>
      </c>
      <c r="J13" s="68">
        <v>2.7774940000000004</v>
      </c>
      <c r="K13" s="67">
        <v>11.920005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245.81187764289049</v>
      </c>
      <c r="C14" s="67">
        <v>587.80196750747177</v>
      </c>
      <c r="D14" s="67">
        <v>1578.0890983018014</v>
      </c>
      <c r="E14" s="67">
        <v>1504.2144725313735</v>
      </c>
      <c r="F14" s="67">
        <v>657.92557252770905</v>
      </c>
      <c r="G14" s="67">
        <v>1204.1445011206117</v>
      </c>
      <c r="H14" s="67">
        <v>839.75336362369046</v>
      </c>
      <c r="I14" s="67">
        <v>455.47565597876633</v>
      </c>
      <c r="J14" s="67">
        <v>2515.2886227973468</v>
      </c>
      <c r="K14" s="67">
        <v>9588.5051320316634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102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101</v>
      </c>
      <c r="B19" s="68">
        <v>519.26575740269504</v>
      </c>
      <c r="C19" s="68">
        <v>1041.6731669812982</v>
      </c>
      <c r="D19" s="68">
        <v>2933.9085701132603</v>
      </c>
      <c r="E19" s="68">
        <v>2559.9692116406081</v>
      </c>
      <c r="F19" s="68">
        <v>1015.4596731706705</v>
      </c>
      <c r="G19" s="68">
        <v>2205.8591900384558</v>
      </c>
      <c r="H19" s="68">
        <v>1337.718508532636</v>
      </c>
      <c r="I19" s="68">
        <v>713.54300531862714</v>
      </c>
      <c r="J19" s="68">
        <v>3340.1683916863831</v>
      </c>
      <c r="K19" s="67">
        <v>15667.565474884632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2.8371135976475199</v>
      </c>
      <c r="C20" s="68">
        <v>5.6282052960585567</v>
      </c>
      <c r="D20" s="68">
        <v>15.947531482906081</v>
      </c>
      <c r="E20" s="68">
        <v>14.033914671366103</v>
      </c>
      <c r="F20" s="68">
        <v>3.9961550632114524</v>
      </c>
      <c r="G20" s="68">
        <v>11.996890527424403</v>
      </c>
      <c r="H20" s="68">
        <v>7.1944240860301072</v>
      </c>
      <c r="I20" s="68">
        <v>3.7956689814780837</v>
      </c>
      <c r="J20" s="68">
        <v>17.986931428729555</v>
      </c>
      <c r="K20" s="67">
        <v>83.41683513485188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522.10287100034259</v>
      </c>
      <c r="C21" s="67">
        <v>1047.3013722773567</v>
      </c>
      <c r="D21" s="67">
        <v>2949.8561015961664</v>
      </c>
      <c r="E21" s="67">
        <v>2574.003126311974</v>
      </c>
      <c r="F21" s="67">
        <v>1019.4558282338819</v>
      </c>
      <c r="G21" s="67">
        <v>2217.8560805658803</v>
      </c>
      <c r="H21" s="67">
        <v>1344.912932618666</v>
      </c>
      <c r="I21" s="67">
        <v>717.33867430010525</v>
      </c>
      <c r="J21" s="67">
        <v>3358.1553231151124</v>
      </c>
      <c r="K21" s="67">
        <v>15750.982310019484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515.72687100034261</v>
      </c>
      <c r="C23" s="67">
        <v>1034.9768722773567</v>
      </c>
      <c r="D23" s="67">
        <v>2912.5521015961663</v>
      </c>
      <c r="E23" s="67">
        <v>2536.5457063119738</v>
      </c>
      <c r="F23" s="67">
        <v>1010.1883282338819</v>
      </c>
      <c r="G23" s="67">
        <v>2179.0378455658802</v>
      </c>
      <c r="H23" s="67">
        <v>1325.3219326186661</v>
      </c>
      <c r="I23" s="67">
        <v>708.50847430010526</v>
      </c>
      <c r="J23" s="67">
        <v>3283.4683231151125</v>
      </c>
      <c r="K23" s="67">
        <v>15506.326455019484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0.69179200000000007</v>
      </c>
      <c r="D24" s="68">
        <v>0.69888099999999997</v>
      </c>
      <c r="E24" s="68">
        <v>0.53279600000000005</v>
      </c>
      <c r="F24" s="68">
        <v>0.68982699999999997</v>
      </c>
      <c r="G24" s="68">
        <v>5.9271999999999998E-2</v>
      </c>
      <c r="H24" s="68">
        <v>1.4340050000000002</v>
      </c>
      <c r="I24" s="68">
        <v>2.6745799999999997</v>
      </c>
      <c r="J24" s="68">
        <v>2.6386379999999998</v>
      </c>
      <c r="K24" s="67">
        <v>9.419791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515.72687100034261</v>
      </c>
      <c r="C25" s="67">
        <v>1035.6686642773568</v>
      </c>
      <c r="D25" s="67">
        <v>2913.2509825961661</v>
      </c>
      <c r="E25" s="67">
        <v>2537.0785023119738</v>
      </c>
      <c r="F25" s="67">
        <v>1010.8781552338819</v>
      </c>
      <c r="G25" s="67">
        <v>2179.0971175658801</v>
      </c>
      <c r="H25" s="67">
        <v>1326.7559376186662</v>
      </c>
      <c r="I25" s="67">
        <v>711.18305430010525</v>
      </c>
      <c r="J25" s="67">
        <v>3286.1069611151124</v>
      </c>
      <c r="K25" s="67">
        <v>15515.746246019484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103</v>
      </c>
      <c r="B34" s="54">
        <v>11.331635883132634</v>
      </c>
      <c r="C34" s="54">
        <v>38.432566252732485</v>
      </c>
      <c r="D34" s="54">
        <v>68.690974405336945</v>
      </c>
      <c r="E34" s="54">
        <v>65.985857336229842</v>
      </c>
      <c r="F34" s="54">
        <v>42.639520891979323</v>
      </c>
      <c r="G34" s="54">
        <v>59.195923020628221</v>
      </c>
      <c r="H34" s="54">
        <v>65.646586800806716</v>
      </c>
      <c r="I34" s="54">
        <v>21.763073945609225</v>
      </c>
      <c r="J34" s="54">
        <v>78.674575361055005</v>
      </c>
      <c r="K34" s="61">
        <v>452.36071389751038</v>
      </c>
    </row>
    <row r="35" spans="1:11" x14ac:dyDescent="0.2">
      <c r="A35" s="63" t="s">
        <v>10</v>
      </c>
      <c r="B35" s="54">
        <v>9.4339777154013066E-2</v>
      </c>
      <c r="C35" s="54">
        <v>0.31996436994030958</v>
      </c>
      <c r="D35" s="54">
        <v>0.57187605432483546</v>
      </c>
      <c r="E35" s="54">
        <v>0.5493550216948424</v>
      </c>
      <c r="F35" s="54">
        <v>0.35498871834480089</v>
      </c>
      <c r="G35" s="54">
        <v>0.49282647658181666</v>
      </c>
      <c r="H35" s="54">
        <v>0.54653047746867378</v>
      </c>
      <c r="I35" s="54">
        <v>0.1811850969612642</v>
      </c>
      <c r="J35" s="54">
        <v>0.65499297575354287</v>
      </c>
      <c r="K35" s="61">
        <v>3.7660589682240988</v>
      </c>
    </row>
    <row r="36" spans="1:11" x14ac:dyDescent="0.2">
      <c r="A36" s="62" t="s">
        <v>11</v>
      </c>
      <c r="B36" s="61">
        <v>11.425975660286648</v>
      </c>
      <c r="C36" s="61">
        <v>38.752530622672793</v>
      </c>
      <c r="D36" s="61">
        <v>69.262850459661777</v>
      </c>
      <c r="E36" s="61">
        <v>66.535212357924678</v>
      </c>
      <c r="F36" s="61">
        <v>42.994509610324123</v>
      </c>
      <c r="G36" s="61">
        <v>59.68874949721004</v>
      </c>
      <c r="H36" s="61">
        <v>66.193117278275395</v>
      </c>
      <c r="I36" s="61">
        <v>21.94425904257049</v>
      </c>
      <c r="J36" s="61">
        <v>79.329568336808549</v>
      </c>
      <c r="K36" s="61">
        <v>456.12677286573449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103</v>
      </c>
      <c r="B41" s="54">
        <v>6.624241751905928E-2</v>
      </c>
      <c r="C41" s="54">
        <v>0.57204257162645267</v>
      </c>
      <c r="D41" s="54">
        <v>8.1236781687992092</v>
      </c>
      <c r="E41" s="54">
        <v>4.0688562896452698</v>
      </c>
      <c r="F41" s="54">
        <v>2.7715153838270821</v>
      </c>
      <c r="G41" s="54">
        <v>1.3922135207395514</v>
      </c>
      <c r="H41" s="54">
        <v>0.60460240396632925</v>
      </c>
      <c r="I41" s="54">
        <v>0.44741700646347671</v>
      </c>
      <c r="J41" s="54">
        <v>38.09107420271804</v>
      </c>
      <c r="K41" s="54">
        <v>56.137641965304475</v>
      </c>
    </row>
    <row r="42" spans="1:11" x14ac:dyDescent="0.2">
      <c r="A42" s="63" t="s">
        <v>10</v>
      </c>
      <c r="B42" s="54">
        <v>-3.503918156541772E-4</v>
      </c>
      <c r="C42" s="54">
        <v>-3.0258411877252911E-3</v>
      </c>
      <c r="D42" s="54">
        <v>-4.2970508172302288E-2</v>
      </c>
      <c r="E42" s="54">
        <v>-2.1522371863232366E-2</v>
      </c>
      <c r="F42" s="54">
        <v>-1.4660037236311383E-2</v>
      </c>
      <c r="G42" s="54">
        <v>-7.3641669730704958E-3</v>
      </c>
      <c r="H42" s="54">
        <v>-3.1980676733859353E-3</v>
      </c>
      <c r="I42" s="54">
        <v>-2.3666294667489753E-3</v>
      </c>
      <c r="J42" s="54">
        <v>-0.20148420226765301</v>
      </c>
      <c r="K42" s="54">
        <v>-0.29694221665608395</v>
      </c>
    </row>
    <row r="43" spans="1:11" x14ac:dyDescent="0.2">
      <c r="A43" s="62" t="s">
        <v>11</v>
      </c>
      <c r="B43" s="61">
        <v>6.5892025703405105E-2</v>
      </c>
      <c r="C43" s="61">
        <v>0.56901673043872736</v>
      </c>
      <c r="D43" s="61">
        <v>8.0807076606269064</v>
      </c>
      <c r="E43" s="61">
        <v>4.0473339177820371</v>
      </c>
      <c r="F43" s="61">
        <v>2.7568553465907706</v>
      </c>
      <c r="G43" s="61">
        <v>1.384849353766481</v>
      </c>
      <c r="H43" s="61">
        <v>0.60140433629294332</v>
      </c>
      <c r="I43" s="61">
        <v>0.44505037699672773</v>
      </c>
      <c r="J43" s="61">
        <v>37.88959000045039</v>
      </c>
      <c r="K43" s="61">
        <v>55.84069974864839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103</v>
      </c>
      <c r="B48" s="54">
        <v>1.2657525886530887</v>
      </c>
      <c r="C48" s="54">
        <v>2.447974400670919</v>
      </c>
      <c r="D48" s="54">
        <v>7.1567616015470472</v>
      </c>
      <c r="E48" s="54">
        <v>6.2739886635046158</v>
      </c>
      <c r="F48" s="54">
        <v>2.3513752910509229</v>
      </c>
      <c r="G48" s="54">
        <v>5.3494965694546437</v>
      </c>
      <c r="H48" s="54">
        <v>3.1721352904959694</v>
      </c>
      <c r="I48" s="54">
        <v>1.6505419039728857</v>
      </c>
      <c r="J48" s="54">
        <v>7.7570683341862265</v>
      </c>
      <c r="K48" s="54">
        <v>37.425094643536319</v>
      </c>
    </row>
    <row r="49" spans="1:11" x14ac:dyDescent="0.2">
      <c r="A49" s="55" t="s">
        <v>10</v>
      </c>
      <c r="B49" s="54">
        <v>-6.7142622717515227E-3</v>
      </c>
      <c r="C49" s="54">
        <v>-1.3020994932949633E-2</v>
      </c>
      <c r="D49" s="54">
        <v>-3.7931540964560556E-2</v>
      </c>
      <c r="E49" s="54">
        <v>-3.323103982437442E-2</v>
      </c>
      <c r="F49" s="54">
        <v>-1.2466115804547826E-2</v>
      </c>
      <c r="G49" s="54">
        <v>-2.8379254849907738E-2</v>
      </c>
      <c r="H49" s="54">
        <v>-1.6746886269525932E-2</v>
      </c>
      <c r="I49" s="54">
        <v>-8.7246979691894926E-3</v>
      </c>
      <c r="J49" s="54">
        <v>-4.0746684883916716E-2</v>
      </c>
      <c r="K49" s="54">
        <v>-0.19796147777072381</v>
      </c>
    </row>
    <row r="50" spans="1:11" x14ac:dyDescent="0.2">
      <c r="A50" s="63" t="s">
        <v>11</v>
      </c>
      <c r="B50" s="61">
        <v>1.2590383263813372</v>
      </c>
      <c r="C50" s="61">
        <v>2.4349534057379691</v>
      </c>
      <c r="D50" s="61">
        <v>7.1188300605824866</v>
      </c>
      <c r="E50" s="61">
        <v>6.2407576236802411</v>
      </c>
      <c r="F50" s="61">
        <v>2.3389091752463749</v>
      </c>
      <c r="G50" s="61">
        <v>5.3211173146047361</v>
      </c>
      <c r="H50" s="61">
        <v>3.1553884042264433</v>
      </c>
      <c r="I50" s="61">
        <v>1.6418172060036962</v>
      </c>
      <c r="J50" s="61">
        <v>7.7163216493023095</v>
      </c>
      <c r="K50" s="61">
        <v>37.227133165765601</v>
      </c>
    </row>
    <row r="52" spans="1:11" s="4" customFormat="1" x14ac:dyDescent="0.2">
      <c r="A52" s="15" t="s">
        <v>104</v>
      </c>
    </row>
    <row r="53" spans="1:11" s="4" customFormat="1" x14ac:dyDescent="0.2">
      <c r="A53" s="4" t="s">
        <v>14</v>
      </c>
    </row>
    <row r="54" spans="1:11" s="4" customFormat="1" x14ac:dyDescent="0.2">
      <c r="A54" s="46" t="s">
        <v>105</v>
      </c>
      <c r="D54" s="72">
        <v>8.6516169626507988E-2</v>
      </c>
    </row>
    <row r="55" spans="1:11" s="4" customFormat="1" x14ac:dyDescent="0.2">
      <c r="B55" s="14" t="s">
        <v>0</v>
      </c>
      <c r="C55" s="14" t="s">
        <v>1</v>
      </c>
      <c r="D55" s="14" t="s">
        <v>2</v>
      </c>
      <c r="E55" s="14" t="s">
        <v>3</v>
      </c>
      <c r="F55" s="14" t="s">
        <v>4</v>
      </c>
      <c r="G55" s="14" t="s">
        <v>5</v>
      </c>
      <c r="H55" s="14" t="s">
        <v>6</v>
      </c>
      <c r="I55" s="14" t="s">
        <v>7</v>
      </c>
      <c r="J55" s="14" t="s">
        <v>8</v>
      </c>
      <c r="K55" s="14" t="s">
        <v>9</v>
      </c>
    </row>
    <row r="56" spans="1:11" s="4" customFormat="1" x14ac:dyDescent="0.2">
      <c r="A56" s="46" t="s">
        <v>106</v>
      </c>
      <c r="B56" s="12">
        <v>4.8341860200000015</v>
      </c>
      <c r="C56" s="12">
        <v>23.914651379999999</v>
      </c>
      <c r="D56" s="12">
        <v>54.866089078571463</v>
      </c>
      <c r="E56" s="12">
        <v>52.7744495114286</v>
      </c>
      <c r="F56" s="12">
        <v>24.210070198571437</v>
      </c>
      <c r="G56" s="12">
        <v>50.083310377142872</v>
      </c>
      <c r="H56" s="12">
        <v>26.231212927142856</v>
      </c>
      <c r="I56" s="12">
        <v>18.864118872857151</v>
      </c>
      <c r="J56" s="12">
        <v>0</v>
      </c>
      <c r="K56" s="73">
        <v>255.77808836571438</v>
      </c>
    </row>
    <row r="57" spans="1:11" x14ac:dyDescent="0.2">
      <c r="A57" s="55"/>
      <c r="B57" s="54"/>
      <c r="C57" s="54"/>
      <c r="D57" s="54"/>
      <c r="E57" s="54"/>
      <c r="F57" s="54"/>
      <c r="G57" s="54"/>
      <c r="H57" s="54"/>
      <c r="I57" s="54"/>
      <c r="J57" s="54"/>
      <c r="K57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7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109</v>
      </c>
    </row>
    <row r="2" spans="1:40" x14ac:dyDescent="0.2">
      <c r="A2" s="70"/>
    </row>
    <row r="5" spans="1:40" x14ac:dyDescent="0.2">
      <c r="A5" s="62" t="s">
        <v>110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108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107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111</v>
      </c>
      <c r="B8" s="68">
        <v>253.89924806154932</v>
      </c>
      <c r="C8" s="68">
        <v>604.68610001018897</v>
      </c>
      <c r="D8" s="68">
        <v>1624.8836354612051</v>
      </c>
      <c r="E8" s="68">
        <v>1527.6384483911584</v>
      </c>
      <c r="F8" s="68">
        <v>678.84349994810657</v>
      </c>
      <c r="G8" s="68">
        <v>1234.5251694322642</v>
      </c>
      <c r="H8" s="68">
        <v>859.19645301123126</v>
      </c>
      <c r="I8" s="68">
        <v>462.4744977515013</v>
      </c>
      <c r="J8" s="68">
        <v>2556.4982648116497</v>
      </c>
      <c r="K8" s="67">
        <v>9802.6453168788539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10</v>
      </c>
      <c r="B9" s="68">
        <v>1.7065082671107374</v>
      </c>
      <c r="C9" s="68">
        <v>4.3776776798993815</v>
      </c>
      <c r="D9" s="68">
        <v>11.357127708999673</v>
      </c>
      <c r="E9" s="68">
        <v>10.026594740735135</v>
      </c>
      <c r="F9" s="68">
        <v>5.861278688221006</v>
      </c>
      <c r="G9" s="68">
        <v>7.7424720964068543</v>
      </c>
      <c r="H9" s="68">
        <v>9.5807326433835556</v>
      </c>
      <c r="I9" s="68">
        <v>1.5983833304334549</v>
      </c>
      <c r="J9" s="68">
        <v>24.44324458994344</v>
      </c>
      <c r="K9" s="67">
        <v>76.694019745133247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83</v>
      </c>
      <c r="B10" s="67">
        <v>255.60575632866005</v>
      </c>
      <c r="C10" s="67">
        <v>609.06377769008839</v>
      </c>
      <c r="D10" s="67">
        <v>1636.2407631702049</v>
      </c>
      <c r="E10" s="67">
        <v>1537.6650431318935</v>
      </c>
      <c r="F10" s="67">
        <v>684.70477863632755</v>
      </c>
      <c r="G10" s="67">
        <v>1242.267641528671</v>
      </c>
      <c r="H10" s="67">
        <v>868.77718565461487</v>
      </c>
      <c r="I10" s="67">
        <v>464.07288108193478</v>
      </c>
      <c r="J10" s="67">
        <v>2580.9415094015931</v>
      </c>
      <c r="K10" s="67">
        <v>9879.3393366239889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84</v>
      </c>
      <c r="B11" s="67">
        <v>-6.3759999999999994</v>
      </c>
      <c r="C11" s="67">
        <v>-12.324499999999999</v>
      </c>
      <c r="D11" s="67">
        <v>-35.492000000000004</v>
      </c>
      <c r="E11" s="67">
        <v>-19.788580000000003</v>
      </c>
      <c r="F11" s="67">
        <v>-9.2675000000000001</v>
      </c>
      <c r="G11" s="67">
        <v>-27.473764999999997</v>
      </c>
      <c r="H11" s="67">
        <v>-10.548999999999999</v>
      </c>
      <c r="I11" s="67">
        <v>-5.8868</v>
      </c>
      <c r="J11" s="67">
        <v>0</v>
      </c>
      <c r="K11" s="67">
        <v>-127.15814499999999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</row>
    <row r="12" spans="1:40" x14ac:dyDescent="0.2">
      <c r="A12" s="63" t="s">
        <v>85</v>
      </c>
      <c r="B12" s="67">
        <v>249.22975632866005</v>
      </c>
      <c r="C12" s="67">
        <v>596.73927769008844</v>
      </c>
      <c r="D12" s="67">
        <v>1600.7487631702049</v>
      </c>
      <c r="E12" s="67">
        <v>1517.8764631318936</v>
      </c>
      <c r="F12" s="67">
        <v>675.43727863632751</v>
      </c>
      <c r="G12" s="67">
        <v>1214.793876528671</v>
      </c>
      <c r="H12" s="67">
        <v>858.22818565461489</v>
      </c>
      <c r="I12" s="67">
        <v>458.18608108193479</v>
      </c>
      <c r="J12" s="67">
        <v>2580.9415094015931</v>
      </c>
      <c r="K12" s="67">
        <v>9752.1811916239876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 t="s">
        <v>12</v>
      </c>
      <c r="B13" s="68">
        <v>0</v>
      </c>
      <c r="C13" s="68">
        <v>0.97553599999999996</v>
      </c>
      <c r="D13" s="68">
        <v>0.97031200000000006</v>
      </c>
      <c r="E13" s="68">
        <v>0.74588399999999999</v>
      </c>
      <c r="F13" s="68">
        <v>1.210777</v>
      </c>
      <c r="G13" s="68">
        <v>0.38416600000000001</v>
      </c>
      <c r="H13" s="68">
        <v>2.1707350000000001</v>
      </c>
      <c r="I13" s="68">
        <v>3.1587420000000002</v>
      </c>
      <c r="J13" s="68">
        <v>3.5595369999999997</v>
      </c>
      <c r="K13" s="67">
        <v>13.175689000000002</v>
      </c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</row>
    <row r="14" spans="1:40" x14ac:dyDescent="0.2">
      <c r="A14" s="62" t="s">
        <v>11</v>
      </c>
      <c r="B14" s="67">
        <v>249.22975632866005</v>
      </c>
      <c r="C14" s="67">
        <v>597.71481369008848</v>
      </c>
      <c r="D14" s="67">
        <v>1601.7190751702049</v>
      </c>
      <c r="E14" s="67">
        <v>1518.6223471318935</v>
      </c>
      <c r="F14" s="67">
        <v>676.64805563632751</v>
      </c>
      <c r="G14" s="67">
        <v>1215.1780425286711</v>
      </c>
      <c r="H14" s="67">
        <v>860.39892065461493</v>
      </c>
      <c r="I14" s="67">
        <v>461.34482308193481</v>
      </c>
      <c r="J14" s="67">
        <v>2584.5010464015932</v>
      </c>
      <c r="K14" s="67">
        <v>9765.3568806239891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</row>
    <row r="15" spans="1:40" x14ac:dyDescent="0.2">
      <c r="A15" s="63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2" t="s">
        <v>112</v>
      </c>
      <c r="B16" s="64"/>
      <c r="C16" s="64"/>
      <c r="D16" s="64"/>
      <c r="E16" s="64"/>
      <c r="F16" s="64"/>
      <c r="G16" s="64"/>
      <c r="H16" s="64"/>
      <c r="I16" s="64"/>
      <c r="J16" s="64"/>
      <c r="K16" s="69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</row>
    <row r="17" spans="1:40" x14ac:dyDescent="0.2">
      <c r="A17" s="62"/>
      <c r="B17" s="64"/>
      <c r="C17" s="64"/>
      <c r="D17" s="64"/>
      <c r="E17" s="64"/>
      <c r="F17" s="64"/>
      <c r="G17" s="64"/>
      <c r="H17" s="64"/>
      <c r="I17" s="64"/>
      <c r="J17" s="64"/>
      <c r="K17" s="69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</row>
    <row r="18" spans="1:40" x14ac:dyDescent="0.2">
      <c r="A18" s="63"/>
      <c r="B18" s="40" t="s">
        <v>0</v>
      </c>
      <c r="C18" s="40" t="s">
        <v>1</v>
      </c>
      <c r="D18" s="40" t="s">
        <v>2</v>
      </c>
      <c r="E18" s="40" t="s">
        <v>3</v>
      </c>
      <c r="F18" s="40" t="s">
        <v>4</v>
      </c>
      <c r="G18" s="40" t="s">
        <v>5</v>
      </c>
      <c r="H18" s="40" t="s">
        <v>6</v>
      </c>
      <c r="I18" s="40" t="s">
        <v>7</v>
      </c>
      <c r="J18" s="40" t="s">
        <v>8</v>
      </c>
      <c r="K18" s="40" t="s">
        <v>9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</row>
    <row r="19" spans="1:40" x14ac:dyDescent="0.2">
      <c r="A19" s="63" t="s">
        <v>111</v>
      </c>
      <c r="B19" s="68">
        <v>515.8188102222</v>
      </c>
      <c r="C19" s="68">
        <v>1034.7861517866661</v>
      </c>
      <c r="D19" s="68">
        <v>2922.2545218805644</v>
      </c>
      <c r="E19" s="68">
        <v>2551.1778499275906</v>
      </c>
      <c r="F19" s="68">
        <v>1011.7414944599503</v>
      </c>
      <c r="G19" s="68">
        <v>2192.9212379967994</v>
      </c>
      <c r="H19" s="68">
        <v>1335.5534094077736</v>
      </c>
      <c r="I19" s="68">
        <v>711.65841815099736</v>
      </c>
      <c r="J19" s="68">
        <v>3351.2985210171737</v>
      </c>
      <c r="K19" s="67">
        <v>15627.210414849715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</row>
    <row r="20" spans="1:40" x14ac:dyDescent="0.2">
      <c r="A20" s="63" t="s">
        <v>10</v>
      </c>
      <c r="B20" s="68">
        <v>9.5427498993131454</v>
      </c>
      <c r="C20" s="68">
        <v>18.835921657164114</v>
      </c>
      <c r="D20" s="68">
        <v>53.656509072555231</v>
      </c>
      <c r="E20" s="68">
        <v>47.108140807594637</v>
      </c>
      <c r="F20" s="68">
        <v>18.216989256601899</v>
      </c>
      <c r="G20" s="68">
        <v>40.355260218013079</v>
      </c>
      <c r="H20" s="68">
        <v>24.66563020761544</v>
      </c>
      <c r="I20" s="68">
        <v>12.867039299678757</v>
      </c>
      <c r="J20" s="68">
        <v>59.424415718132167</v>
      </c>
      <c r="K20" s="67">
        <v>284.67265613666848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3" t="s">
        <v>83</v>
      </c>
      <c r="B21" s="67">
        <v>525.36156012151309</v>
      </c>
      <c r="C21" s="67">
        <v>1053.6220734438302</v>
      </c>
      <c r="D21" s="67">
        <v>2975.9110309531197</v>
      </c>
      <c r="E21" s="67">
        <v>2598.2859907351854</v>
      </c>
      <c r="F21" s="67">
        <v>1029.9584837165523</v>
      </c>
      <c r="G21" s="67">
        <v>2233.2764982148124</v>
      </c>
      <c r="H21" s="67">
        <v>1360.2190396153892</v>
      </c>
      <c r="I21" s="67">
        <v>724.52545745067607</v>
      </c>
      <c r="J21" s="67">
        <v>3410.7229367353057</v>
      </c>
      <c r="K21" s="67">
        <v>15911.883070986383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  <row r="22" spans="1:40" x14ac:dyDescent="0.2">
      <c r="A22" s="63" t="s">
        <v>84</v>
      </c>
      <c r="B22" s="67">
        <v>-6.3759999999999994</v>
      </c>
      <c r="C22" s="67">
        <v>-12.324499999999999</v>
      </c>
      <c r="D22" s="67">
        <v>-37.304000000000002</v>
      </c>
      <c r="E22" s="67">
        <v>-37.457420000000006</v>
      </c>
      <c r="F22" s="67">
        <v>-9.2675000000000001</v>
      </c>
      <c r="G22" s="67">
        <v>-38.818234999999994</v>
      </c>
      <c r="H22" s="67">
        <v>-19.591000000000001</v>
      </c>
      <c r="I22" s="67">
        <v>-8.8302000000000032</v>
      </c>
      <c r="J22" s="67">
        <v>-74.686999999999998</v>
      </c>
      <c r="K22" s="67">
        <v>-244.65585499999997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</row>
    <row r="23" spans="1:40" x14ac:dyDescent="0.2">
      <c r="A23" s="63" t="s">
        <v>85</v>
      </c>
      <c r="B23" s="67">
        <v>518.98556012151312</v>
      </c>
      <c r="C23" s="67">
        <v>1041.2975734438303</v>
      </c>
      <c r="D23" s="67">
        <v>2938.6070309531196</v>
      </c>
      <c r="E23" s="67">
        <v>2560.8285707351852</v>
      </c>
      <c r="F23" s="67">
        <v>1020.6909837165523</v>
      </c>
      <c r="G23" s="67">
        <v>2194.4582632148122</v>
      </c>
      <c r="H23" s="67">
        <v>1340.6280396153893</v>
      </c>
      <c r="I23" s="67">
        <v>715.69525745067608</v>
      </c>
      <c r="J23" s="67">
        <v>3336.0359367353058</v>
      </c>
      <c r="K23" s="67">
        <v>15667.227215986382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</row>
    <row r="24" spans="1:40" x14ac:dyDescent="0.2">
      <c r="A24" s="63" t="s">
        <v>12</v>
      </c>
      <c r="B24" s="68">
        <v>0</v>
      </c>
      <c r="C24" s="68">
        <v>0.74184099999999997</v>
      </c>
      <c r="D24" s="68">
        <v>0.73634100000000002</v>
      </c>
      <c r="E24" s="68">
        <v>0.50010199999999994</v>
      </c>
      <c r="F24" s="68">
        <v>0.71359000000000006</v>
      </c>
      <c r="G24" s="68">
        <v>0.11934600000000001</v>
      </c>
      <c r="H24" s="68">
        <v>1.4298660000000001</v>
      </c>
      <c r="I24" s="68">
        <v>2.842603</v>
      </c>
      <c r="J24" s="68">
        <v>3.4618420000000003</v>
      </c>
      <c r="K24" s="67">
        <v>10.545531</v>
      </c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</row>
    <row r="25" spans="1:40" x14ac:dyDescent="0.2">
      <c r="A25" s="62" t="s">
        <v>11</v>
      </c>
      <c r="B25" s="67">
        <v>518.98556012151312</v>
      </c>
      <c r="C25" s="67">
        <v>1042.0394144438303</v>
      </c>
      <c r="D25" s="67">
        <v>2939.3433719531195</v>
      </c>
      <c r="E25" s="67">
        <v>2561.3286727351851</v>
      </c>
      <c r="F25" s="67">
        <v>1021.4045737165522</v>
      </c>
      <c r="G25" s="67">
        <v>2194.5776092148121</v>
      </c>
      <c r="H25" s="67">
        <v>1342.0579056153892</v>
      </c>
      <c r="I25" s="67">
        <v>718.53786045067613</v>
      </c>
      <c r="J25" s="67">
        <v>3339.4977787353059</v>
      </c>
      <c r="K25" s="67">
        <v>15677.772746986384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</row>
    <row r="26" spans="1:40" x14ac:dyDescent="0.2">
      <c r="A26" s="62"/>
      <c r="B26" s="67"/>
      <c r="C26" s="67"/>
      <c r="D26" s="67"/>
      <c r="E26" s="67"/>
      <c r="F26" s="67"/>
      <c r="G26" s="67"/>
      <c r="H26" s="67"/>
      <c r="I26" s="67"/>
      <c r="J26" s="67"/>
      <c r="K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</row>
    <row r="27" spans="1:40" x14ac:dyDescent="0.2">
      <c r="B27" s="67"/>
      <c r="C27" s="67"/>
      <c r="D27" s="67"/>
      <c r="E27" s="67"/>
      <c r="F27" s="67"/>
      <c r="G27" s="67"/>
      <c r="H27" s="67"/>
      <c r="I27" s="67"/>
      <c r="J27" s="67"/>
      <c r="K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</row>
    <row r="28" spans="1:40" x14ac:dyDescent="0.2">
      <c r="A28" s="58"/>
      <c r="B28" s="66"/>
      <c r="C28" s="66"/>
      <c r="D28" s="66"/>
      <c r="E28" s="66"/>
      <c r="F28" s="66"/>
      <c r="G28" s="66"/>
      <c r="H28" s="66"/>
      <c r="I28" s="66"/>
      <c r="J28" s="66"/>
      <c r="K28" s="66"/>
    </row>
    <row r="29" spans="1:40" x14ac:dyDescent="0.2">
      <c r="A29" s="65" t="s">
        <v>15</v>
      </c>
      <c r="B29" s="58"/>
      <c r="C29" s="58"/>
      <c r="D29" s="58"/>
      <c r="E29" s="58"/>
      <c r="F29" s="58"/>
      <c r="G29" s="58"/>
      <c r="H29" s="58"/>
      <c r="I29" s="58"/>
      <c r="J29" s="58"/>
      <c r="K29" s="58"/>
    </row>
    <row r="30" spans="1:40" x14ac:dyDescent="0.2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</row>
    <row r="31" spans="1:40" x14ac:dyDescent="0.2">
      <c r="A31" s="65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</row>
    <row r="32" spans="1:40" x14ac:dyDescent="0.2">
      <c r="A32" s="63" t="s">
        <v>14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</row>
    <row r="33" spans="1:11" x14ac:dyDescent="0.2">
      <c r="A33" s="63"/>
      <c r="B33" s="6" t="s">
        <v>0</v>
      </c>
      <c r="C33" s="6" t="s">
        <v>1</v>
      </c>
      <c r="D33" s="6" t="s">
        <v>2</v>
      </c>
      <c r="E33" s="6" t="s">
        <v>3</v>
      </c>
      <c r="F33" s="6" t="s">
        <v>4</v>
      </c>
      <c r="G33" s="6" t="s">
        <v>5</v>
      </c>
      <c r="H33" s="6" t="s">
        <v>6</v>
      </c>
      <c r="I33" s="6" t="s">
        <v>7</v>
      </c>
      <c r="J33" s="6" t="s">
        <v>8</v>
      </c>
      <c r="K33" s="6" t="s">
        <v>9</v>
      </c>
    </row>
    <row r="34" spans="1:11" x14ac:dyDescent="0.2">
      <c r="A34" s="63" t="s">
        <v>113</v>
      </c>
      <c r="B34" s="54">
        <v>11.674095798757875</v>
      </c>
      <c r="C34" s="54">
        <v>39.594059044409946</v>
      </c>
      <c r="D34" s="54">
        <v>70.766924033588168</v>
      </c>
      <c r="E34" s="54">
        <v>67.980054058475488</v>
      </c>
      <c r="F34" s="54">
        <v>43.92815449065538</v>
      </c>
      <c r="G34" s="54">
        <v>60.984917214589046</v>
      </c>
      <c r="H34" s="54">
        <v>67.63053023216537</v>
      </c>
      <c r="I34" s="54">
        <v>22.420788378372912</v>
      </c>
      <c r="J34" s="54">
        <v>81.052245162473838</v>
      </c>
      <c r="K34" s="61">
        <v>466.03176841348795</v>
      </c>
    </row>
    <row r="35" spans="1:11" x14ac:dyDescent="0.2">
      <c r="A35" s="63" t="s">
        <v>10</v>
      </c>
      <c r="B35" s="54">
        <v>-6.8903112845746361E-3</v>
      </c>
      <c r="C35" s="54">
        <v>-2.3369295278942444E-2</v>
      </c>
      <c r="D35" s="54">
        <v>-4.1768214313880891E-2</v>
      </c>
      <c r="E35" s="54">
        <v>-4.0123341600046845E-2</v>
      </c>
      <c r="F35" s="54">
        <v>-2.5927374917519046E-2</v>
      </c>
      <c r="G35" s="54">
        <v>-3.5994656075832611E-2</v>
      </c>
      <c r="H35" s="54">
        <v>-3.9917044854999403E-2</v>
      </c>
      <c r="I35" s="54">
        <v>-1.3233248538956105E-2</v>
      </c>
      <c r="J35" s="54">
        <v>-4.7838839864809413E-2</v>
      </c>
      <c r="K35" s="61">
        <v>-0.27506232672956143</v>
      </c>
    </row>
    <row r="36" spans="1:11" x14ac:dyDescent="0.2">
      <c r="A36" s="62" t="s">
        <v>11</v>
      </c>
      <c r="B36" s="61">
        <v>11.6672054874733</v>
      </c>
      <c r="C36" s="61">
        <v>39.570689749131006</v>
      </c>
      <c r="D36" s="61">
        <v>70.725155819274292</v>
      </c>
      <c r="E36" s="61">
        <v>67.939930716875438</v>
      </c>
      <c r="F36" s="61">
        <v>43.902227115737858</v>
      </c>
      <c r="G36" s="61">
        <v>60.94892255851321</v>
      </c>
      <c r="H36" s="61">
        <v>67.590613187310367</v>
      </c>
      <c r="I36" s="61">
        <v>22.407555129833955</v>
      </c>
      <c r="J36" s="61">
        <v>81.004406322609029</v>
      </c>
      <c r="K36" s="61">
        <v>465.75670608675847</v>
      </c>
    </row>
    <row r="37" spans="1:11" x14ac:dyDescent="0.2">
      <c r="A37" s="58"/>
      <c r="B37" s="64"/>
      <c r="C37" s="64"/>
      <c r="D37" s="64"/>
      <c r="E37" s="64"/>
      <c r="F37" s="64"/>
      <c r="G37" s="64"/>
      <c r="H37" s="64"/>
      <c r="I37" s="64"/>
      <c r="J37" s="64"/>
      <c r="K37" s="64"/>
    </row>
    <row r="38" spans="1:11" x14ac:dyDescent="0.2">
      <c r="A38" s="65" t="s">
        <v>17</v>
      </c>
      <c r="B38" s="64"/>
      <c r="C38" s="64"/>
      <c r="D38" s="64"/>
      <c r="E38" s="64"/>
      <c r="F38" s="64"/>
      <c r="G38" s="64"/>
      <c r="H38" s="64"/>
      <c r="I38" s="64"/>
      <c r="J38" s="64"/>
      <c r="K38" s="64"/>
    </row>
    <row r="39" spans="1:11" x14ac:dyDescent="0.2">
      <c r="A39" s="63" t="s">
        <v>14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</row>
    <row r="40" spans="1:11" x14ac:dyDescent="0.2">
      <c r="A40" s="63"/>
      <c r="B40" s="40" t="s">
        <v>0</v>
      </c>
      <c r="C40" s="40" t="s">
        <v>1</v>
      </c>
      <c r="D40" s="40" t="s">
        <v>2</v>
      </c>
      <c r="E40" s="40" t="s">
        <v>3</v>
      </c>
      <c r="F40" s="40" t="s">
        <v>4</v>
      </c>
      <c r="G40" s="40" t="s">
        <v>5</v>
      </c>
      <c r="H40" s="40" t="s">
        <v>6</v>
      </c>
      <c r="I40" s="40" t="s">
        <v>7</v>
      </c>
      <c r="J40" s="40" t="s">
        <v>8</v>
      </c>
      <c r="K40" s="40" t="s">
        <v>9</v>
      </c>
    </row>
    <row r="41" spans="1:11" x14ac:dyDescent="0.2">
      <c r="A41" s="63" t="s">
        <v>113</v>
      </c>
      <c r="B41" s="54">
        <v>6.5836407789519463E-2</v>
      </c>
      <c r="C41" s="54">
        <v>0.56853643675864685</v>
      </c>
      <c r="D41" s="54">
        <v>8.0738869247638654</v>
      </c>
      <c r="E41" s="54">
        <v>4.0439176581223482</v>
      </c>
      <c r="F41" s="54">
        <v>2.7545283496343869</v>
      </c>
      <c r="G41" s="54">
        <v>1.3836804348983756</v>
      </c>
      <c r="H41" s="54">
        <v>0.60089670499417347</v>
      </c>
      <c r="I41" s="54">
        <v>0.44467472040887296</v>
      </c>
      <c r="J41" s="54">
        <v>37.857608285951393</v>
      </c>
      <c r="K41" s="54">
        <v>55.79356592332158</v>
      </c>
    </row>
    <row r="42" spans="1:11" x14ac:dyDescent="0.2">
      <c r="A42" s="63" t="s">
        <v>10</v>
      </c>
      <c r="B42" s="54">
        <v>-2.5793532465415582E-4</v>
      </c>
      <c r="C42" s="54">
        <v>-2.2274245408694924E-3</v>
      </c>
      <c r="D42" s="54">
        <v>-3.1632051551444419E-2</v>
      </c>
      <c r="E42" s="54">
        <v>-1.5843349432995639E-2</v>
      </c>
      <c r="F42" s="54">
        <v>-1.0791751676420517E-2</v>
      </c>
      <c r="G42" s="54">
        <v>-5.4210136029014394E-3</v>
      </c>
      <c r="H42" s="54">
        <v>-2.3542063106148136E-3</v>
      </c>
      <c r="I42" s="54">
        <v>-1.7421563877065296E-3</v>
      </c>
      <c r="J42" s="54">
        <v>-0.14831936935388512</v>
      </c>
      <c r="K42" s="54">
        <v>-0.21858925818149211</v>
      </c>
    </row>
    <row r="43" spans="1:11" x14ac:dyDescent="0.2">
      <c r="A43" s="62" t="s">
        <v>11</v>
      </c>
      <c r="B43" s="61">
        <v>6.5578472464865312E-2</v>
      </c>
      <c r="C43" s="61">
        <v>0.56630901221777741</v>
      </c>
      <c r="D43" s="61">
        <v>8.0422548732124213</v>
      </c>
      <c r="E43" s="61">
        <v>4.0280743086893525</v>
      </c>
      <c r="F43" s="61">
        <v>2.7437365979579664</v>
      </c>
      <c r="G43" s="61">
        <v>1.3782594212954742</v>
      </c>
      <c r="H43" s="61">
        <v>0.59854249868355869</v>
      </c>
      <c r="I43" s="61">
        <v>0.44293256402116643</v>
      </c>
      <c r="J43" s="61">
        <v>37.709288916597508</v>
      </c>
      <c r="K43" s="61">
        <v>55.574976665140092</v>
      </c>
    </row>
    <row r="44" spans="1:11" x14ac:dyDescent="0.2">
      <c r="A44" s="58"/>
      <c r="B44" s="64"/>
      <c r="C44" s="64"/>
      <c r="D44" s="64"/>
      <c r="E44" s="64"/>
      <c r="F44" s="64"/>
      <c r="G44" s="64"/>
      <c r="H44" s="64"/>
      <c r="I44" s="64"/>
      <c r="J44" s="64"/>
      <c r="K44" s="64"/>
    </row>
    <row r="45" spans="1:11" x14ac:dyDescent="0.2">
      <c r="A45" s="65" t="s">
        <v>18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</row>
    <row r="46" spans="1:11" x14ac:dyDescent="0.2">
      <c r="A46" s="63" t="s">
        <v>14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</row>
    <row r="47" spans="1:11" x14ac:dyDescent="0.2">
      <c r="A47" s="63"/>
      <c r="B47" s="40" t="s">
        <v>0</v>
      </c>
      <c r="C47" s="40" t="s">
        <v>1</v>
      </c>
      <c r="D47" s="40" t="s">
        <v>2</v>
      </c>
      <c r="E47" s="40" t="s">
        <v>3</v>
      </c>
      <c r="F47" s="40" t="s">
        <v>4</v>
      </c>
      <c r="G47" s="40" t="s">
        <v>5</v>
      </c>
      <c r="H47" s="40" t="s">
        <v>6</v>
      </c>
      <c r="I47" s="40" t="s">
        <v>7</v>
      </c>
      <c r="J47" s="40" t="s">
        <v>8</v>
      </c>
      <c r="K47" s="40" t="s">
        <v>9</v>
      </c>
    </row>
    <row r="48" spans="1:11" x14ac:dyDescent="0.2">
      <c r="A48" s="63" t="s">
        <v>113</v>
      </c>
      <c r="B48" s="54">
        <v>1.2504194762050798</v>
      </c>
      <c r="C48" s="54">
        <v>2.4175837686469044</v>
      </c>
      <c r="D48" s="54">
        <v>7.0979077671453537</v>
      </c>
      <c r="E48" s="54">
        <v>6.2273758480263064</v>
      </c>
      <c r="F48" s="54">
        <v>2.3335262193389421</v>
      </c>
      <c r="G48" s="54">
        <v>5.2951918952963677</v>
      </c>
      <c r="H48" s="54">
        <v>3.1558684975539704</v>
      </c>
      <c r="I48" s="54">
        <v>1.6404775587091596</v>
      </c>
      <c r="J48" s="54">
        <v>7.7773595846256356</v>
      </c>
      <c r="K48" s="54">
        <v>37.195710615547725</v>
      </c>
    </row>
    <row r="49" spans="1:11" x14ac:dyDescent="0.2">
      <c r="A49" s="55" t="s">
        <v>10</v>
      </c>
      <c r="B49" s="54">
        <v>-4.928598881406742E-3</v>
      </c>
      <c r="C49" s="54">
        <v>-9.531944869018389E-3</v>
      </c>
      <c r="D49" s="54">
        <v>-2.7867063073843384E-2</v>
      </c>
      <c r="E49" s="54">
        <v>-2.4429713820935832E-2</v>
      </c>
      <c r="F49" s="54">
        <v>-9.1558063820134528E-3</v>
      </c>
      <c r="G49" s="54">
        <v>-2.0829918140920198E-2</v>
      </c>
      <c r="H49" s="54">
        <v>-1.2351689093557071E-2</v>
      </c>
      <c r="I49" s="54">
        <v>-6.4268949987231283E-3</v>
      </c>
      <c r="J49" s="54">
        <v>-3.020454286058066E-2</v>
      </c>
      <c r="K49" s="54">
        <v>-0.14572617212099884</v>
      </c>
    </row>
    <row r="50" spans="1:11" x14ac:dyDescent="0.2">
      <c r="A50" s="63" t="s">
        <v>11</v>
      </c>
      <c r="B50" s="61">
        <v>1.245490877323673</v>
      </c>
      <c r="C50" s="61">
        <v>2.4080518237778858</v>
      </c>
      <c r="D50" s="61">
        <v>7.0700407040715101</v>
      </c>
      <c r="E50" s="61">
        <v>6.2029461342053702</v>
      </c>
      <c r="F50" s="61">
        <v>2.3243704129569287</v>
      </c>
      <c r="G50" s="61">
        <v>5.2743619771554471</v>
      </c>
      <c r="H50" s="61">
        <v>3.1435168084604133</v>
      </c>
      <c r="I50" s="61">
        <v>1.6340506637104364</v>
      </c>
      <c r="J50" s="61">
        <v>7.7471550417650548</v>
      </c>
      <c r="K50" s="61">
        <v>37.049984443426723</v>
      </c>
    </row>
    <row r="52" spans="1:11" s="4" customFormat="1" x14ac:dyDescent="0.2">
      <c r="A52" s="15" t="s">
        <v>104</v>
      </c>
    </row>
    <row r="53" spans="1:11" s="4" customFormat="1" x14ac:dyDescent="0.2">
      <c r="A53" s="4" t="s">
        <v>14</v>
      </c>
    </row>
    <row r="54" spans="1:11" s="4" customFormat="1" x14ac:dyDescent="0.2">
      <c r="A54" s="33" t="s">
        <v>63</v>
      </c>
      <c r="D54" s="72">
        <v>4.6034699876225327E-2</v>
      </c>
    </row>
    <row r="55" spans="1:11" s="4" customFormat="1" x14ac:dyDescent="0.2">
      <c r="B55" s="14" t="s">
        <v>0</v>
      </c>
      <c r="C55" s="14" t="s">
        <v>1</v>
      </c>
      <c r="D55" s="14" t="s">
        <v>2</v>
      </c>
      <c r="E55" s="14" t="s">
        <v>3</v>
      </c>
      <c r="F55" s="14" t="s">
        <v>4</v>
      </c>
      <c r="G55" s="14" t="s">
        <v>5</v>
      </c>
      <c r="H55" s="14" t="s">
        <v>6</v>
      </c>
      <c r="I55" s="14" t="s">
        <v>7</v>
      </c>
      <c r="J55" s="14" t="s">
        <v>8</v>
      </c>
      <c r="K55" s="14" t="s">
        <v>9</v>
      </c>
    </row>
    <row r="56" spans="1:11" s="4" customFormat="1" x14ac:dyDescent="0.2">
      <c r="A56" s="46" t="s">
        <v>106</v>
      </c>
      <c r="B56" s="12">
        <v>5.0860155199999992</v>
      </c>
      <c r="C56" s="12">
        <v>25.181150870000007</v>
      </c>
      <c r="D56" s="12">
        <v>58.098869367142889</v>
      </c>
      <c r="E56" s="12">
        <v>55.975261585714222</v>
      </c>
      <c r="F56" s="12">
        <v>25.633999701428568</v>
      </c>
      <c r="G56" s="12">
        <v>52.849049517142817</v>
      </c>
      <c r="H56" s="12">
        <v>28.168259418571413</v>
      </c>
      <c r="I56" s="12">
        <v>20.146076077142858</v>
      </c>
      <c r="J56" s="12">
        <v>0</v>
      </c>
      <c r="K56" s="73">
        <v>271.13868205714277</v>
      </c>
    </row>
    <row r="57" spans="1:11" x14ac:dyDescent="0.2">
      <c r="A57" s="55"/>
      <c r="B57" s="54"/>
      <c r="C57" s="54"/>
      <c r="D57" s="54"/>
      <c r="E57" s="54"/>
      <c r="F57" s="54"/>
      <c r="G57" s="54"/>
      <c r="H57" s="54"/>
      <c r="I57" s="54"/>
      <c r="J57" s="54"/>
      <c r="K57" s="54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114</v>
      </c>
    </row>
    <row r="2" spans="1:40" x14ac:dyDescent="0.2">
      <c r="A2" s="70"/>
    </row>
    <row r="5" spans="1:40" x14ac:dyDescent="0.2">
      <c r="A5" s="62" t="s">
        <v>115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252.427606</v>
      </c>
      <c r="C8" s="68">
        <v>601.58175299999994</v>
      </c>
      <c r="D8" s="68">
        <v>1620.500237</v>
      </c>
      <c r="E8" s="68">
        <v>1532.843723</v>
      </c>
      <c r="F8" s="68">
        <v>675.72247100000004</v>
      </c>
      <c r="G8" s="68">
        <v>1245.75272</v>
      </c>
      <c r="H8" s="68">
        <v>875.45111500000007</v>
      </c>
      <c r="I8" s="68">
        <v>466.07432000000006</v>
      </c>
      <c r="J8" s="68">
        <v>2648.0362400000004</v>
      </c>
      <c r="K8" s="67">
        <f>SUM(B8:J8)</f>
        <v>9918.3901850000002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-3.6843310000000002</v>
      </c>
      <c r="C9" s="68">
        <v>-8.0418820000000011</v>
      </c>
      <c r="D9" s="68">
        <v>-22.975452000000001</v>
      </c>
      <c r="E9" s="68">
        <v>-23.49258</v>
      </c>
      <c r="F9" s="68">
        <v>-8.4384170000000012</v>
      </c>
      <c r="G9" s="68">
        <v>-13.969601999999998</v>
      </c>
      <c r="H9" s="68">
        <v>-9.6840600000000006</v>
      </c>
      <c r="I9" s="68">
        <v>-5.7564910000000005</v>
      </c>
      <c r="J9" s="68">
        <v>-33.870652000000007</v>
      </c>
      <c r="K9" s="67">
        <f t="shared" ref="K9:K12" si="0">SUM(B9:J9)</f>
        <v>-129.91346700000003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248.74327499999998</v>
      </c>
      <c r="C10" s="67">
        <f t="shared" ref="C10:J10" si="1">C8+C9</f>
        <v>593.53987099999995</v>
      </c>
      <c r="D10" s="67">
        <f t="shared" si="1"/>
        <v>1597.5247850000001</v>
      </c>
      <c r="E10" s="67">
        <f t="shared" si="1"/>
        <v>1509.3511429999999</v>
      </c>
      <c r="F10" s="67">
        <f t="shared" si="1"/>
        <v>667.28405400000008</v>
      </c>
      <c r="G10" s="67">
        <f t="shared" si="1"/>
        <v>1231.7831180000001</v>
      </c>
      <c r="H10" s="67">
        <f t="shared" si="1"/>
        <v>865.76705500000003</v>
      </c>
      <c r="I10" s="67">
        <f t="shared" si="1"/>
        <v>460.31782900000007</v>
      </c>
      <c r="J10" s="67">
        <f t="shared" si="1"/>
        <v>2614.1655880000003</v>
      </c>
      <c r="K10" s="67">
        <f t="shared" si="0"/>
        <v>9788.4767179999999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0.90355399999999997</v>
      </c>
      <c r="D11" s="68">
        <v>1.0078119999999999</v>
      </c>
      <c r="E11" s="68">
        <v>0.74112999999999996</v>
      </c>
      <c r="F11" s="68">
        <v>1.2190519999999998</v>
      </c>
      <c r="G11" s="68">
        <v>0.49188199999999999</v>
      </c>
      <c r="H11" s="68">
        <v>2.2477289999999996</v>
      </c>
      <c r="I11" s="68">
        <v>3.2712510000000004</v>
      </c>
      <c r="J11" s="68">
        <v>3.7937109999999996</v>
      </c>
      <c r="K11" s="75">
        <f t="shared" si="0"/>
        <v>13.676121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248.74327499999998</v>
      </c>
      <c r="C12" s="67">
        <f t="shared" ref="C12" si="2">C10+C11</f>
        <v>594.44342499999993</v>
      </c>
      <c r="D12" s="67">
        <f t="shared" ref="D12" si="3">D10+D11</f>
        <v>1598.5325970000001</v>
      </c>
      <c r="E12" s="67">
        <f t="shared" ref="E12" si="4">E10+E11</f>
        <v>1510.092273</v>
      </c>
      <c r="F12" s="67">
        <f t="shared" ref="F12" si="5">F10+F11</f>
        <v>668.50310600000012</v>
      </c>
      <c r="G12" s="67">
        <f t="shared" ref="G12" si="6">G10+G11</f>
        <v>1232.2750000000001</v>
      </c>
      <c r="H12" s="67">
        <f t="shared" ref="H12" si="7">H10+H11</f>
        <v>868.01478400000008</v>
      </c>
      <c r="I12" s="67">
        <f t="shared" ref="I12" si="8">I10+I11</f>
        <v>463.58908000000008</v>
      </c>
      <c r="J12" s="67">
        <f t="shared" ref="J12" si="9">J10+J11</f>
        <v>2617.9592990000001</v>
      </c>
      <c r="K12" s="67">
        <f t="shared" si="0"/>
        <v>9802.1528389999985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116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529.03231800000003</v>
      </c>
      <c r="C17" s="68">
        <v>1059.046576</v>
      </c>
      <c r="D17" s="68">
        <v>2978.0602730000001</v>
      </c>
      <c r="E17" s="68">
        <v>2616.5114279999998</v>
      </c>
      <c r="F17" s="68">
        <v>1042.6071910000001</v>
      </c>
      <c r="G17" s="68">
        <v>2237.294402</v>
      </c>
      <c r="H17" s="68">
        <v>1370.3678319999999</v>
      </c>
      <c r="I17" s="68">
        <v>731.73381900000004</v>
      </c>
      <c r="J17" s="68">
        <v>3404.4746720000003</v>
      </c>
      <c r="K17" s="67">
        <f>SUM(B17:J17)</f>
        <v>15969.128510999999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-0.57305699999999948</v>
      </c>
      <c r="C18" s="68">
        <v>-1.0946150000000001</v>
      </c>
      <c r="D18" s="68">
        <v>-3.187024000000001</v>
      </c>
      <c r="E18" s="68">
        <v>-2.8077620000000003</v>
      </c>
      <c r="F18" s="68">
        <v>-1.1122729999999992</v>
      </c>
      <c r="G18" s="68">
        <v>-2.3365230000000032</v>
      </c>
      <c r="H18" s="68">
        <v>-1.7670169999999992</v>
      </c>
      <c r="I18" s="68">
        <v>-0.79332600000000042</v>
      </c>
      <c r="J18" s="68">
        <v>-3.3669469999999997</v>
      </c>
      <c r="K18" s="67">
        <f t="shared" ref="K18:K21" si="10">SUM(B18:J18)</f>
        <v>-17.038544000000002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528.45926100000008</v>
      </c>
      <c r="C19" s="67">
        <f t="shared" ref="C19" si="11">C17+C18</f>
        <v>1057.951961</v>
      </c>
      <c r="D19" s="67">
        <f t="shared" ref="D19" si="12">D17+D18</f>
        <v>2974.8732490000002</v>
      </c>
      <c r="E19" s="67">
        <f t="shared" ref="E19" si="13">E17+E18</f>
        <v>2613.7036659999999</v>
      </c>
      <c r="F19" s="67">
        <f t="shared" ref="F19" si="14">F17+F18</f>
        <v>1041.4949180000001</v>
      </c>
      <c r="G19" s="67">
        <f t="shared" ref="G19" si="15">G17+G18</f>
        <v>2234.957879</v>
      </c>
      <c r="H19" s="67">
        <f t="shared" ref="H19" si="16">H17+H18</f>
        <v>1368.600815</v>
      </c>
      <c r="I19" s="67">
        <f t="shared" ref="I19" si="17">I17+I18</f>
        <v>730.94049300000006</v>
      </c>
      <c r="J19" s="67">
        <f t="shared" ref="J19" si="18">J17+J18</f>
        <v>3401.1077250000003</v>
      </c>
      <c r="K19" s="67">
        <f t="shared" si="10"/>
        <v>15952.089967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0.66606899999999991</v>
      </c>
      <c r="D20" s="68">
        <v>0.775814</v>
      </c>
      <c r="E20" s="68">
        <v>0.49509500000000001</v>
      </c>
      <c r="F20" s="68">
        <v>0.776362</v>
      </c>
      <c r="G20" s="68">
        <v>0.232733</v>
      </c>
      <c r="H20" s="68">
        <v>1.510915</v>
      </c>
      <c r="I20" s="68">
        <v>2.9510479999999997</v>
      </c>
      <c r="J20" s="68">
        <v>3.708342</v>
      </c>
      <c r="K20" s="67">
        <f t="shared" si="10"/>
        <v>11.116377999999999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528.45926100000008</v>
      </c>
      <c r="C21" s="67">
        <f t="shared" ref="C21" si="19">C19+C20</f>
        <v>1058.6180300000001</v>
      </c>
      <c r="D21" s="67">
        <f t="shared" ref="D21" si="20">D19+D20</f>
        <v>2975.6490630000003</v>
      </c>
      <c r="E21" s="67">
        <f t="shared" ref="E21" si="21">E19+E20</f>
        <v>2614.1987610000001</v>
      </c>
      <c r="F21" s="67">
        <f t="shared" ref="F21" si="22">F19+F20</f>
        <v>1042.2712800000002</v>
      </c>
      <c r="G21" s="67">
        <f t="shared" ref="G21" si="23">G19+G20</f>
        <v>2235.1906119999999</v>
      </c>
      <c r="H21" s="67">
        <f t="shared" ref="H21" si="24">H19+H20</f>
        <v>1370.1117300000001</v>
      </c>
      <c r="I21" s="67">
        <f t="shared" ref="I21" si="25">I19+I20</f>
        <v>733.89154100000007</v>
      </c>
      <c r="J21" s="67">
        <f t="shared" ref="J21" si="26">J19+J20</f>
        <v>3404.8160670000002</v>
      </c>
      <c r="K21" s="67">
        <f t="shared" si="10"/>
        <v>15963.206345000002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121</v>
      </c>
    </row>
    <row r="2" spans="1:40" x14ac:dyDescent="0.2">
      <c r="A2" s="70"/>
    </row>
    <row r="5" spans="1:40" x14ac:dyDescent="0.2">
      <c r="A5" s="62" t="s">
        <v>122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124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265.09273099999996</v>
      </c>
      <c r="C8" s="68">
        <v>627.47493099999997</v>
      </c>
      <c r="D8" s="68">
        <v>1715.2265170000001</v>
      </c>
      <c r="E8" s="68">
        <v>1626.2701160000001</v>
      </c>
      <c r="F8" s="68">
        <v>716.68919299999993</v>
      </c>
      <c r="G8" s="68">
        <v>1308.4829850000001</v>
      </c>
      <c r="H8" s="68">
        <v>915.65914799999996</v>
      </c>
      <c r="I8" s="68">
        <v>495.92449999999997</v>
      </c>
      <c r="J8" s="68">
        <v>2821.7724740000003</v>
      </c>
      <c r="K8" s="67">
        <f>SUM(B8:J8)</f>
        <v>10492.592595000002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-1.1443099999999999</v>
      </c>
      <c r="C9" s="68">
        <v>-3.777514</v>
      </c>
      <c r="D9" s="68">
        <v>-6.0717630000000007</v>
      </c>
      <c r="E9" s="68">
        <v>-6.1259180000000004</v>
      </c>
      <c r="F9" s="68">
        <v>-1.4792329999999998</v>
      </c>
      <c r="G9" s="68">
        <v>-8.4019919999999999</v>
      </c>
      <c r="H9" s="68">
        <v>-8.9959670000000003</v>
      </c>
      <c r="I9" s="68">
        <v>-2.2256669999999996</v>
      </c>
      <c r="J9" s="68">
        <v>-6.0722190000000005</v>
      </c>
      <c r="K9" s="67">
        <f t="shared" ref="K9:K12" si="0">SUM(B9:J9)</f>
        <v>-44.294583000000003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263.94842099999994</v>
      </c>
      <c r="C10" s="67">
        <f t="shared" ref="C10:J10" si="1">C8+C9</f>
        <v>623.69741699999997</v>
      </c>
      <c r="D10" s="67">
        <f t="shared" si="1"/>
        <v>1709.1547540000001</v>
      </c>
      <c r="E10" s="67">
        <f t="shared" si="1"/>
        <v>1620.1441980000002</v>
      </c>
      <c r="F10" s="67">
        <f t="shared" si="1"/>
        <v>715.20995999999991</v>
      </c>
      <c r="G10" s="67">
        <f t="shared" si="1"/>
        <v>1300.080993</v>
      </c>
      <c r="H10" s="67">
        <f t="shared" si="1"/>
        <v>906.66318100000001</v>
      </c>
      <c r="I10" s="67">
        <f t="shared" si="1"/>
        <v>493.69883299999998</v>
      </c>
      <c r="J10" s="67">
        <f t="shared" si="1"/>
        <v>2815.7002550000002</v>
      </c>
      <c r="K10" s="67">
        <f t="shared" si="0"/>
        <v>10448.298012000001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0.95805200000000001</v>
      </c>
      <c r="D11" s="68">
        <v>0.96692900000000004</v>
      </c>
      <c r="E11" s="68">
        <v>0.81700899999999999</v>
      </c>
      <c r="F11" s="68">
        <v>1.1276660000000001</v>
      </c>
      <c r="G11" s="68">
        <v>0.67540599999999995</v>
      </c>
      <c r="H11" s="68">
        <v>2.3265980000000002</v>
      </c>
      <c r="I11" s="68">
        <v>3.0528719999999998</v>
      </c>
      <c r="J11" s="68">
        <v>3.4984099999999998</v>
      </c>
      <c r="K11" s="75">
        <f t="shared" si="0"/>
        <v>13.422941999999999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263.94842099999994</v>
      </c>
      <c r="C12" s="67">
        <f t="shared" ref="C12:J12" si="2">C10+C11</f>
        <v>624.65546899999993</v>
      </c>
      <c r="D12" s="67">
        <f t="shared" si="2"/>
        <v>1710.1216830000001</v>
      </c>
      <c r="E12" s="67">
        <f t="shared" si="2"/>
        <v>1620.9612070000003</v>
      </c>
      <c r="F12" s="67">
        <f t="shared" si="2"/>
        <v>716.33762599999989</v>
      </c>
      <c r="G12" s="67">
        <f t="shared" si="2"/>
        <v>1300.7563990000001</v>
      </c>
      <c r="H12" s="67">
        <f t="shared" si="2"/>
        <v>908.989779</v>
      </c>
      <c r="I12" s="67">
        <f t="shared" si="2"/>
        <v>496.75170499999996</v>
      </c>
      <c r="J12" s="67">
        <f t="shared" si="2"/>
        <v>2819.1986650000003</v>
      </c>
      <c r="K12" s="67">
        <f t="shared" si="0"/>
        <v>10461.720954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123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526.31351900000004</v>
      </c>
      <c r="C17" s="68">
        <v>1041.176743</v>
      </c>
      <c r="D17" s="68">
        <v>2946.5968160000002</v>
      </c>
      <c r="E17" s="68">
        <v>2540.626741</v>
      </c>
      <c r="F17" s="68">
        <v>1014.8415519999999</v>
      </c>
      <c r="G17" s="68">
        <v>2189.6872960000001</v>
      </c>
      <c r="H17" s="68">
        <v>1340.4516159999998</v>
      </c>
      <c r="I17" s="68">
        <v>716.13846100000001</v>
      </c>
      <c r="J17" s="68">
        <v>3299.9957749999999</v>
      </c>
      <c r="K17" s="67">
        <f>SUM(B17:J17)</f>
        <v>15615.828519000001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0.72126200000000007</v>
      </c>
      <c r="C18" s="68">
        <v>1.4745719999999998</v>
      </c>
      <c r="D18" s="68">
        <v>4.286238</v>
      </c>
      <c r="E18" s="68">
        <v>3.8381489999999996</v>
      </c>
      <c r="F18" s="68">
        <v>1.4353819999999999</v>
      </c>
      <c r="G18" s="68">
        <v>3.3215549999999996</v>
      </c>
      <c r="H18" s="68">
        <v>1.8673059999999997</v>
      </c>
      <c r="I18" s="68">
        <v>0.99359799999999998</v>
      </c>
      <c r="J18" s="68">
        <v>5.0218389999999991</v>
      </c>
      <c r="K18" s="67">
        <f t="shared" ref="K18:K21" si="3">SUM(B18:J18)</f>
        <v>22.959900999999999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527.03478100000007</v>
      </c>
      <c r="C19" s="67">
        <f t="shared" ref="C19:J19" si="4">C17+C18</f>
        <v>1042.6513150000001</v>
      </c>
      <c r="D19" s="67">
        <f t="shared" si="4"/>
        <v>2950.8830540000004</v>
      </c>
      <c r="E19" s="67">
        <f t="shared" si="4"/>
        <v>2544.4648900000002</v>
      </c>
      <c r="F19" s="67">
        <f t="shared" si="4"/>
        <v>1016.2769339999999</v>
      </c>
      <c r="G19" s="67">
        <f t="shared" si="4"/>
        <v>2193.008851</v>
      </c>
      <c r="H19" s="67">
        <f t="shared" si="4"/>
        <v>1342.3189219999999</v>
      </c>
      <c r="I19" s="67">
        <f t="shared" si="4"/>
        <v>717.13205900000003</v>
      </c>
      <c r="J19" s="67">
        <f t="shared" si="4"/>
        <v>3305.0176139999999</v>
      </c>
      <c r="K19" s="67">
        <f t="shared" si="3"/>
        <v>15638.788420000001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0.72343900000000005</v>
      </c>
      <c r="D20" s="68">
        <v>0.73278200000000004</v>
      </c>
      <c r="E20" s="68">
        <v>0.57496999999999998</v>
      </c>
      <c r="F20" s="68">
        <v>0.69216200000000005</v>
      </c>
      <c r="G20" s="68">
        <v>0.42591400099999999</v>
      </c>
      <c r="H20" s="68">
        <v>1.5939319999999999</v>
      </c>
      <c r="I20" s="68">
        <v>2.68472</v>
      </c>
      <c r="J20" s="68">
        <v>3.3974989999999998</v>
      </c>
      <c r="K20" s="67">
        <f t="shared" si="3"/>
        <v>10.825418000999999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527.03478100000007</v>
      </c>
      <c r="C21" s="67">
        <f t="shared" ref="C21:J21" si="5">C19+C20</f>
        <v>1043.3747540000002</v>
      </c>
      <c r="D21" s="67">
        <f t="shared" si="5"/>
        <v>2951.6158360000004</v>
      </c>
      <c r="E21" s="67">
        <f t="shared" si="5"/>
        <v>2545.0398600000003</v>
      </c>
      <c r="F21" s="67">
        <f t="shared" si="5"/>
        <v>1016.9690959999999</v>
      </c>
      <c r="G21" s="67">
        <f t="shared" si="5"/>
        <v>2193.434765001</v>
      </c>
      <c r="H21" s="67">
        <f t="shared" si="5"/>
        <v>1343.9128539999999</v>
      </c>
      <c r="I21" s="67">
        <f t="shared" si="5"/>
        <v>719.816779</v>
      </c>
      <c r="J21" s="67">
        <f t="shared" si="5"/>
        <v>3308.415113</v>
      </c>
      <c r="K21" s="67">
        <f t="shared" si="3"/>
        <v>15649.613838001002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41</v>
      </c>
    </row>
    <row r="2" spans="1:12" x14ac:dyDescent="0.2">
      <c r="A2" s="2"/>
    </row>
    <row r="5" spans="1:12" x14ac:dyDescent="0.2">
      <c r="A5" s="3" t="s">
        <v>42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5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44</v>
      </c>
      <c r="B8" s="7">
        <f>2138.95873957184/(13.7603)</f>
        <v>155.44419377279854</v>
      </c>
      <c r="C8" s="7">
        <f>5330.99128467857/(13.7603)</f>
        <v>387.41824558175108</v>
      </c>
      <c r="D8" s="7">
        <f>13372.4414556864/(13.7603)</f>
        <v>971.81322032851017</v>
      </c>
      <c r="E8" s="7">
        <f>13100.868642533/(13.7603)</f>
        <v>952.07725431371398</v>
      </c>
      <c r="F8" s="7">
        <f>5521.36914419578/(13.7603)</f>
        <v>401.25354419567736</v>
      </c>
      <c r="G8" s="7">
        <f>10759.1331768944/(13.7603)</f>
        <v>781.89670115436434</v>
      </c>
      <c r="H8" s="7">
        <f>6865.01147859595/(13.7603)</f>
        <v>498.89984074445687</v>
      </c>
      <c r="I8" s="7">
        <f>3710.35859970655/(13.7603)</f>
        <v>269.6422752197663</v>
      </c>
      <c r="J8" s="7">
        <f>21999.785903705/(13.7603)</f>
        <v>1598.7867927083712</v>
      </c>
      <c r="K8" s="8">
        <f>82798.9184255675/(13.7603)</f>
        <v>6017.2320680194107</v>
      </c>
    </row>
    <row r="9" spans="1:12" x14ac:dyDescent="0.2">
      <c r="A9" s="5" t="s">
        <v>10</v>
      </c>
      <c r="B9" s="7">
        <f>104.806995501495/(13.7603)</f>
        <v>7.6166214037117639</v>
      </c>
      <c r="C9" s="7">
        <f>249.14778656601/(13.7603)</f>
        <v>18.106275776400949</v>
      </c>
      <c r="D9" s="7">
        <f>600.917796008432/(13.7603)</f>
        <v>43.670399337836528</v>
      </c>
      <c r="E9" s="7">
        <f>609.981702353718/(13.7603)</f>
        <v>44.329099100580507</v>
      </c>
      <c r="F9" s="7">
        <f>232.269772686571/(13.7603)</f>
        <v>16.879702672657643</v>
      </c>
      <c r="G9" s="7">
        <f>486.098585486136/(13.7603)</f>
        <v>35.326161892265141</v>
      </c>
      <c r="H9" s="7">
        <f>285.373579080804/(13.7603)</f>
        <v>20.738906788427869</v>
      </c>
      <c r="I9" s="7">
        <f>168.607480698234/(13.7603)</f>
        <v>12.253183484243367</v>
      </c>
      <c r="J9" s="7">
        <f>1032.18349027304/(13.7603)</f>
        <v>75.011699619415268</v>
      </c>
      <c r="K9" s="8">
        <f>3769.38718865444/(13.7603)</f>
        <v>273.932050075539</v>
      </c>
    </row>
    <row r="10" spans="1:12" x14ac:dyDescent="0.2">
      <c r="A10" s="9" t="s">
        <v>11</v>
      </c>
      <c r="B10" s="24">
        <f>2243.76573507334/(13.7603)</f>
        <v>163.06081517651066</v>
      </c>
      <c r="C10" s="24">
        <f>5580.13907124458/(13.7603)</f>
        <v>405.52452135815207</v>
      </c>
      <c r="D10" s="24">
        <f>13973.3592516948/(13.7603)</f>
        <v>1015.4836196663443</v>
      </c>
      <c r="E10" s="24">
        <f>13710.8503448867/(13.7603)</f>
        <v>996.40635341429322</v>
      </c>
      <c r="F10" s="24">
        <f>5753.63891688236/(13.7603)</f>
        <v>418.13324686833568</v>
      </c>
      <c r="G10" s="24">
        <f>11245.2317623805/(13.7603)</f>
        <v>817.2228630466268</v>
      </c>
      <c r="H10" s="24">
        <f>7150.38505767675/(13.7603)</f>
        <v>519.63874753288439</v>
      </c>
      <c r="I10" s="24">
        <f>3878.96608040479/(13.7603)</f>
        <v>281.89545870401008</v>
      </c>
      <c r="J10" s="24">
        <f>23031.9693939781/(13.7603)</f>
        <v>1673.7984923277907</v>
      </c>
      <c r="K10" s="10">
        <f>86568.305614222/(13.7603)</f>
        <v>6291.1641180949537</v>
      </c>
    </row>
    <row r="11" spans="1:12" x14ac:dyDescent="0.2">
      <c r="A11" s="9" t="s">
        <v>12</v>
      </c>
      <c r="B11" s="26">
        <v>0</v>
      </c>
      <c r="C11" s="26">
        <v>1.4590837409068118</v>
      </c>
      <c r="D11" s="26">
        <v>2.23549581041111</v>
      </c>
      <c r="E11" s="26">
        <v>1.7176491064875039</v>
      </c>
      <c r="F11" s="26">
        <v>1.2857878098587967</v>
      </c>
      <c r="G11" s="26">
        <v>1.5661005937370553</v>
      </c>
      <c r="H11" s="26">
        <v>3.1254831653379651</v>
      </c>
      <c r="I11" s="26">
        <v>2.4734646773689528</v>
      </c>
      <c r="J11" s="26">
        <v>4.0739833433864092</v>
      </c>
      <c r="K11" s="27">
        <v>17.937048247494605</v>
      </c>
      <c r="L11" s="11"/>
    </row>
    <row r="12" spans="1:12" x14ac:dyDescent="0.2">
      <c r="A12" s="3" t="s">
        <v>11</v>
      </c>
      <c r="B12" s="28">
        <f>B10+B11</f>
        <v>163.06081517651066</v>
      </c>
      <c r="C12" s="28">
        <f t="shared" ref="C12:K12" si="0">C10+C11</f>
        <v>406.98360509905888</v>
      </c>
      <c r="D12" s="28">
        <f t="shared" si="0"/>
        <v>1017.7191154767554</v>
      </c>
      <c r="E12" s="28">
        <f t="shared" si="0"/>
        <v>998.12400252078078</v>
      </c>
      <c r="F12" s="28">
        <f t="shared" si="0"/>
        <v>419.41903467819446</v>
      </c>
      <c r="G12" s="28">
        <f t="shared" si="0"/>
        <v>818.78896364036382</v>
      </c>
      <c r="H12" s="28">
        <f t="shared" si="0"/>
        <v>522.76423069822238</v>
      </c>
      <c r="I12" s="28">
        <f t="shared" si="0"/>
        <v>284.36892338137903</v>
      </c>
      <c r="J12" s="28">
        <f t="shared" si="0"/>
        <v>1677.872475671177</v>
      </c>
      <c r="K12" s="28">
        <f t="shared" si="0"/>
        <v>6309.1011663424479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45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5" t="s">
        <v>43</v>
      </c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44</v>
      </c>
      <c r="B17" s="7">
        <f>2932.1915181267/(13.7603)</f>
        <v>213.09066794522647</v>
      </c>
      <c r="C17" s="7">
        <f>6272.38060071462/(13.7603)</f>
        <v>455.83167523343388</v>
      </c>
      <c r="D17" s="7">
        <f>16758.2918051501/(13.7603)</f>
        <v>1217.8725612922756</v>
      </c>
      <c r="E17" s="7">
        <f>15399.1481151708/(13.7603)</f>
        <v>1119.0997373001169</v>
      </c>
      <c r="F17" s="7">
        <f>5923.1223737149/(13.7603)</f>
        <v>430.45009002092252</v>
      </c>
      <c r="G17" s="7">
        <f>13425.3571680896/(13.7603)</f>
        <v>975.65875512086211</v>
      </c>
      <c r="H17" s="7">
        <f>7743.86041048043/(13.7603)</f>
        <v>562.76828342989825</v>
      </c>
      <c r="I17" s="7">
        <f>4192.54234447313/(13.7603)</f>
        <v>304.68393454162549</v>
      </c>
      <c r="J17" s="7">
        <f>18844.9751461678/(13.7603)</f>
        <v>1369.5177536948902</v>
      </c>
      <c r="K17" s="8">
        <f>91491.8694820881/(13.7603)</f>
        <v>6648.973458579253</v>
      </c>
    </row>
    <row r="18" spans="1:12" x14ac:dyDescent="0.2">
      <c r="A18" s="5" t="s">
        <v>10</v>
      </c>
      <c r="B18" s="7">
        <f>238.120370858541/(13.7603)</f>
        <v>17.304882223392003</v>
      </c>
      <c r="C18" s="7">
        <f>505.272416181779/(13.7603)</f>
        <v>36.719578510772223</v>
      </c>
      <c r="D18" s="7">
        <f>1348.04490123625/(13.7603)</f>
        <v>97.96624355837082</v>
      </c>
      <c r="E18" s="7">
        <f>1185.11094364219/(13.7603)</f>
        <v>86.12537107782461</v>
      </c>
      <c r="F18" s="7">
        <f>433.934721345761/(13.7603)</f>
        <v>31.535266044036899</v>
      </c>
      <c r="G18" s="7">
        <f>1103.68496742251/(13.7603)</f>
        <v>80.207914611055713</v>
      </c>
      <c r="H18" s="7">
        <f>594.486529803069/(13.7603)</f>
        <v>43.20302099540482</v>
      </c>
      <c r="I18" s="7">
        <f>316.348401288262/(13.7603)</f>
        <v>22.989934906089399</v>
      </c>
      <c r="J18" s="7">
        <f>1383.98943548692/(13.7603)</f>
        <v>100.57843473521071</v>
      </c>
      <c r="K18" s="8">
        <f>7108.99268726529/(13.7603)</f>
        <v>516.6306466621578</v>
      </c>
    </row>
    <row r="19" spans="1:12" x14ac:dyDescent="0.2">
      <c r="A19" s="9" t="s">
        <v>11</v>
      </c>
      <c r="B19" s="24">
        <f>3170.31188898524/(13.7603)</f>
        <v>230.3955501686184</v>
      </c>
      <c r="C19" s="24">
        <f>6777.6530168964/(13.7603)</f>
        <v>492.55125374420612</v>
      </c>
      <c r="D19" s="24">
        <f>18106.3367063864/(13.7603)</f>
        <v>1315.8388048506499</v>
      </c>
      <c r="E19" s="24">
        <f>16584.259058813/(13.7603)</f>
        <v>1205.2251083779422</v>
      </c>
      <c r="F19" s="24">
        <f>6357.05709506066/(13.7603)</f>
        <v>461.98535606495932</v>
      </c>
      <c r="G19" s="24">
        <f>14529.0421355121/(13.7603)</f>
        <v>1055.866669731917</v>
      </c>
      <c r="H19" s="24">
        <f>8338.3469402835/(13.7603)</f>
        <v>605.97130442530317</v>
      </c>
      <c r="I19" s="24">
        <f>4508.89074576139/(13.7603)</f>
        <v>327.67386944771476</v>
      </c>
      <c r="J19" s="24">
        <f>20228.9645816547/(13.7603)</f>
        <v>1470.0961884300996</v>
      </c>
      <c r="K19" s="10">
        <f>98600.8621693534/(13.7603)</f>
        <v>7165.6041052414112</v>
      </c>
    </row>
    <row r="20" spans="1:12" x14ac:dyDescent="0.2">
      <c r="A20" s="9" t="s">
        <v>12</v>
      </c>
      <c r="B20" s="26">
        <v>0</v>
      </c>
      <c r="C20" s="26">
        <v>1.2410652384032326</v>
      </c>
      <c r="D20" s="26">
        <v>2.017477307907531</v>
      </c>
      <c r="E20" s="26">
        <v>1.4996306039839249</v>
      </c>
      <c r="F20" s="26">
        <v>0.9710033938213557</v>
      </c>
      <c r="G20" s="26">
        <v>1.3480820912334761</v>
      </c>
      <c r="H20" s="26">
        <v>2.4714276578272281</v>
      </c>
      <c r="I20" s="26">
        <v>2.0374278177074632</v>
      </c>
      <c r="J20" s="26">
        <v>3.8559648408828298</v>
      </c>
      <c r="K20" s="27">
        <v>15.442078951767042</v>
      </c>
      <c r="L20" s="11"/>
    </row>
    <row r="21" spans="1:12" x14ac:dyDescent="0.2">
      <c r="A21" s="3" t="s">
        <v>11</v>
      </c>
      <c r="B21" s="28">
        <f>B19+B20</f>
        <v>230.3955501686184</v>
      </c>
      <c r="C21" s="28">
        <f t="shared" ref="C21:K21" si="1">C19+C20</f>
        <v>493.79231898260934</v>
      </c>
      <c r="D21" s="28">
        <f t="shared" si="1"/>
        <v>1317.8562821585574</v>
      </c>
      <c r="E21" s="28">
        <f t="shared" si="1"/>
        <v>1206.7247389819261</v>
      </c>
      <c r="F21" s="28">
        <f t="shared" si="1"/>
        <v>462.9563594587807</v>
      </c>
      <c r="G21" s="28">
        <f t="shared" si="1"/>
        <v>1057.2147518231504</v>
      </c>
      <c r="H21" s="28">
        <f t="shared" si="1"/>
        <v>608.44273208313041</v>
      </c>
      <c r="I21" s="28">
        <f t="shared" si="1"/>
        <v>329.71129726542222</v>
      </c>
      <c r="J21" s="28">
        <f t="shared" si="1"/>
        <v>1473.9521532709823</v>
      </c>
      <c r="K21" s="28">
        <f t="shared" si="1"/>
        <v>7181.0461841931783</v>
      </c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 t="s">
        <v>38</v>
      </c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46</v>
      </c>
      <c r="B26" s="19">
        <v>25.351554835287022</v>
      </c>
      <c r="C26" s="19">
        <v>51.264798005857422</v>
      </c>
      <c r="D26" s="19">
        <v>137.91959477627668</v>
      </c>
      <c r="E26" s="19">
        <v>124.78790433348109</v>
      </c>
      <c r="F26" s="19">
        <v>45.143928548069447</v>
      </c>
      <c r="G26" s="19">
        <v>110.86829502263758</v>
      </c>
      <c r="H26" s="19">
        <v>59.085485054831643</v>
      </c>
      <c r="I26" s="19">
        <v>31.020035900380076</v>
      </c>
      <c r="J26" s="19">
        <v>144.09882051990144</v>
      </c>
      <c r="K26" s="10">
        <v>729.54041699672246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40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/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44</v>
      </c>
      <c r="B35" s="19">
        <f>92.0077853943554/(13.7603)</f>
        <v>6.6864665301160144</v>
      </c>
      <c r="C35" s="19">
        <f>312.055147589/(13.7603)</f>
        <v>22.677931991962382</v>
      </c>
      <c r="D35" s="19">
        <f>557.73980886758/(13.7603)</f>
        <v>40.53253263864741</v>
      </c>
      <c r="E35" s="19">
        <f>535.775475268448/(13.7603)</f>
        <v>38.936322265390139</v>
      </c>
      <c r="F35" s="19">
        <f>346.213726597682/(13.7603)</f>
        <v>25.160332739670064</v>
      </c>
      <c r="G35" s="19">
        <f>480.644263341531/(13.7603)</f>
        <v>34.929780843552173</v>
      </c>
      <c r="H35" s="19">
        <f>533.020751154845/(13.7603)</f>
        <v>38.736128656704068</v>
      </c>
      <c r="I35" s="19">
        <f>176.70636947395/(13.7603)</f>
        <v>12.841752685184915</v>
      </c>
      <c r="J35" s="19">
        <f>638.802157117218/(13.7603)</f>
        <v>46.42356323025065</v>
      </c>
      <c r="K35" s="24">
        <f>3672.96548480461/(13.7603)</f>
        <v>266.92481158147785</v>
      </c>
    </row>
    <row r="36" spans="1:11" x14ac:dyDescent="0.2">
      <c r="A36" s="5" t="s">
        <v>10</v>
      </c>
      <c r="B36" s="19">
        <f>0.830732288963558/(13.7603)</f>
        <v>6.0371669873735163E-2</v>
      </c>
      <c r="C36" s="19">
        <f>2.81752555969433/(13.7603)</f>
        <v>0.20475756776337214</v>
      </c>
      <c r="D36" s="19">
        <f>5.03579633050362/(13.7603)</f>
        <v>0.36596559162980602</v>
      </c>
      <c r="E36" s="19">
        <f>4.83748179605242/(13.7603)</f>
        <v>0.35155351235455767</v>
      </c>
      <c r="F36" s="19">
        <f>3.12594114002812/(13.7603)</f>
        <v>0.22717100208775387</v>
      </c>
      <c r="G36" s="19">
        <f>4.33970568198687/(13.7603)</f>
        <v>0.31537871136435031</v>
      </c>
      <c r="H36" s="19">
        <f>4.81260957183194/(13.7603)</f>
        <v>0.34974597732839691</v>
      </c>
      <c r="I36" s="19">
        <f>1.59547027632881/(13.7603)</f>
        <v>0.11594734681139292</v>
      </c>
      <c r="J36" s="19">
        <f>5.76770298189783/(13.7603)</f>
        <v>0.4191553223329309</v>
      </c>
      <c r="K36" s="24">
        <f>33.1629656272875/(13.7603)</f>
        <v>2.4100467015462961</v>
      </c>
    </row>
    <row r="37" spans="1:11" x14ac:dyDescent="0.2">
      <c r="A37" s="17" t="s">
        <v>11</v>
      </c>
      <c r="B37" s="10">
        <f>92.838517683319/(13.7603)</f>
        <v>6.7468381999897522</v>
      </c>
      <c r="C37" s="10">
        <f>314.872673148694/(13.7603)</f>
        <v>22.88268955972573</v>
      </c>
      <c r="D37" s="10">
        <f>562.775605198083/(13.7603)</f>
        <v>40.89849823027717</v>
      </c>
      <c r="E37" s="10">
        <f>540.612957064501/(13.7603)</f>
        <v>39.287875777744738</v>
      </c>
      <c r="F37" s="10">
        <f>349.339667737711/(13.7603)</f>
        <v>25.387503741757882</v>
      </c>
      <c r="G37" s="10">
        <f>484.983969023518/(13.7603)</f>
        <v>35.245159554916533</v>
      </c>
      <c r="H37" s="10">
        <f>537.833360726677/(13.7603)</f>
        <v>39.085874634032471</v>
      </c>
      <c r="I37" s="10">
        <f>178.301839750279/(13.7603)</f>
        <v>12.957700031996321</v>
      </c>
      <c r="J37" s="10">
        <f>644.569860099115/(13.7603)</f>
        <v>46.842718552583513</v>
      </c>
      <c r="K37" s="24">
        <f>3706.1284504319/(13.7603)</f>
        <v>269.33485828302435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44</v>
      </c>
      <c r="B42" s="19">
        <f>1.10136502521639/(13.7603)</f>
        <v>8.0039317835831333E-2</v>
      </c>
      <c r="C42" s="19">
        <f>9.51094034487712/(13.7603)</f>
        <v>0.69118699046366139</v>
      </c>
      <c r="D42" s="19">
        <f>135.066553219545/(13.7603)</f>
        <v>9.815669223748392</v>
      </c>
      <c r="E42" s="19">
        <f>67.6499466336304/(13.7603)</f>
        <v>4.9163133531703815</v>
      </c>
      <c r="F42" s="19">
        <f>46.0799926228247/(13.7603)</f>
        <v>3.3487636623347381</v>
      </c>
      <c r="G42" s="19">
        <f>23.1473327333614/(13.7603)</f>
        <v>1.6821822731598437</v>
      </c>
      <c r="H42" s="19">
        <f>10.0522892555767/(13.7603)</f>
        <v>0.73052835007788341</v>
      </c>
      <c r="I42" s="19">
        <f>7.43888072116493/(13.7603)</f>
        <v>0.54060454504370758</v>
      </c>
      <c r="J42" s="19">
        <f>633.312890305149/(13.7603)</f>
        <v>46.024642653514022</v>
      </c>
      <c r="K42" s="19">
        <f>933.360190861346/(13.7603)</f>
        <v>67.829930369348489</v>
      </c>
    </row>
    <row r="43" spans="1:11" x14ac:dyDescent="0.2">
      <c r="A43" s="5" t="s">
        <v>10</v>
      </c>
      <c r="B43" s="19">
        <f>0.211916868572622/(13.7603)</f>
        <v>1.540059944715028E-2</v>
      </c>
      <c r="C43" s="19">
        <f>1.8300278735212/(13.7603)</f>
        <v>0.13299331217496713</v>
      </c>
      <c r="D43" s="19">
        <f>25.9885508908001/(13.7603)</f>
        <v>1.8886616491500983</v>
      </c>
      <c r="E43" s="19">
        <f>13.0167242662234/(13.7603)</f>
        <v>0.94596224400800855</v>
      </c>
      <c r="F43" s="19">
        <f>8.86638627239861/(13.7603)</f>
        <v>0.644345419242212</v>
      </c>
      <c r="G43" s="19">
        <f>4.45384605135681/(13.7603)</f>
        <v>0.32367361549943019</v>
      </c>
      <c r="H43" s="19">
        <f>1.93419040214165/(13.7603)</f>
        <v>0.14056309834390601</v>
      </c>
      <c r="I43" s="19">
        <f>1.43133681569814/(13.7603)</f>
        <v>0.10401930304558331</v>
      </c>
      <c r="J43" s="19">
        <f>121.857587146255/(13.7603)</f>
        <v>8.8557362227753025</v>
      </c>
      <c r="K43" s="19">
        <f>179.590566586968/(13.7603)</f>
        <v>13.051355463686694</v>
      </c>
    </row>
    <row r="44" spans="1:11" x14ac:dyDescent="0.2">
      <c r="A44" s="17" t="s">
        <v>11</v>
      </c>
      <c r="B44" s="10">
        <f>1.31328189378901/(13.7603)</f>
        <v>9.5439917282981471E-2</v>
      </c>
      <c r="C44" s="10">
        <f>11.3409682183983/(13.7603)</f>
        <v>0.82418030263862707</v>
      </c>
      <c r="D44" s="10">
        <f>161.055104110345/(13.7603)</f>
        <v>11.704330872898483</v>
      </c>
      <c r="E44" s="10">
        <f>80.6666708998538/(13.7603)</f>
        <v>5.8622755971783898</v>
      </c>
      <c r="F44" s="10">
        <f>54.9463788952233/(13.7603)</f>
        <v>3.9931090815769492</v>
      </c>
      <c r="G44" s="10">
        <f>27.6011787847182/(13.7603)</f>
        <v>2.0058558886592732</v>
      </c>
      <c r="H44" s="10">
        <f>11.9864796577183/(13.7603)</f>
        <v>0.87109144842178587</v>
      </c>
      <c r="I44" s="10">
        <f>8.87021753686306/(13.7603)</f>
        <v>0.64462384808929007</v>
      </c>
      <c r="J44" s="10">
        <f>755.170477451404/(13.7603)</f>
        <v>54.880378876289328</v>
      </c>
      <c r="K44" s="10">
        <f>1112.95075744831/(13.7603)</f>
        <v>80.88128583303488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/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44</v>
      </c>
      <c r="B49" s="19">
        <f>3.60349394033764/(13.7603)</f>
        <v>0.26187611755104467</v>
      </c>
      <c r="C49" s="19">
        <f>7.28731088869271/(13.7603)</f>
        <v>0.52958953574360368</v>
      </c>
      <c r="D49" s="19">
        <f>19.6060108339148/(13.7603)</f>
        <v>1.4248243740263511</v>
      </c>
      <c r="E49" s="19">
        <f>17.7391726947779/(13.7603)</f>
        <v>1.2891559555226193</v>
      </c>
      <c r="F49" s="19">
        <f>6.41686117295839/(13.7603)</f>
        <v>0.46633148790058276</v>
      </c>
      <c r="G49" s="19">
        <f>15.7602308808211/(13.7603)</f>
        <v>1.1453406452490933</v>
      </c>
      <c r="H49" s="19">
        <f>8.39959431803231/(13.7603)</f>
        <v>0.61042232495165871</v>
      </c>
      <c r="I49" s="19">
        <f>4.40954423874631/(13.7603)</f>
        <v>0.32045407721825175</v>
      </c>
      <c r="J49" s="19">
        <f>20.4844689052017/(13.7603)</f>
        <v>1.4886644117644019</v>
      </c>
      <c r="K49" s="19">
        <f>103.706687873483/(13.7603)</f>
        <v>7.5366589299276177</v>
      </c>
    </row>
    <row r="50" spans="1:11" x14ac:dyDescent="0.2">
      <c r="A50" s="5" t="s">
        <v>10</v>
      </c>
      <c r="B50" s="19">
        <f>0.69335881771508/(13.7603)</f>
        <v>5.0388350378631278E-2</v>
      </c>
      <c r="C50" s="19">
        <f>1.40217282053561/(13.7603)</f>
        <v>0.1018998728614645</v>
      </c>
      <c r="D50" s="19">
        <f>3.77244993802833/(13.7603)</f>
        <v>0.27415462875288549</v>
      </c>
      <c r="E50" s="19">
        <f>3.41324614680561/(13.7603)</f>
        <v>0.24805027120089021</v>
      </c>
      <c r="F50" s="19">
        <f>1.23468704262823/(13.7603)</f>
        <v>8.9728206698126478E-2</v>
      </c>
      <c r="G50" s="19">
        <f>3.03247215934513/(13.7603)</f>
        <v>0.22037834635474005</v>
      </c>
      <c r="H50" s="19">
        <f>1.61619053120747/(13.7603)</f>
        <v>0.11745314645810556</v>
      </c>
      <c r="I50" s="19">
        <f>0.848453315215789/(13.7603)</f>
        <v>6.1659507075847837E-2</v>
      </c>
      <c r="J50" s="19">
        <f>3.94147662707077/(13.7603)</f>
        <v>0.28643827729560911</v>
      </c>
      <c r="K50" s="19">
        <f>19.954507398552/(13.7603)</f>
        <v>1.4501506070762991</v>
      </c>
    </row>
    <row r="51" spans="1:11" x14ac:dyDescent="0.2">
      <c r="A51" s="17" t="s">
        <v>11</v>
      </c>
      <c r="B51" s="10">
        <f>4.29685275805272/(13.7603)</f>
        <v>0.31226446792967588</v>
      </c>
      <c r="C51" s="10">
        <f>8.68948370922832/(13.7603)</f>
        <v>0.63148940860506819</v>
      </c>
      <c r="D51" s="10">
        <f>23.3784607719431/(13.7603)</f>
        <v>1.6989790027792344</v>
      </c>
      <c r="E51" s="10">
        <f>21.1524188415835/(13.7603)</f>
        <v>1.5372062267235089</v>
      </c>
      <c r="F51" s="10">
        <f>7.65154821558661/(13.7603)</f>
        <v>0.55605969459870852</v>
      </c>
      <c r="G51" s="10">
        <f>18.7927030401662/(13.7603)</f>
        <v>1.365718991603831</v>
      </c>
      <c r="H51" s="10">
        <f>10.0157848492398/(13.7603)</f>
        <v>0.72787547140976572</v>
      </c>
      <c r="I51" s="10">
        <f>5.2579975539621/(13.7603)</f>
        <v>0.38211358429409964</v>
      </c>
      <c r="J51" s="10">
        <f>24.4259455322725/(13.7603)</f>
        <v>1.7751026890600132</v>
      </c>
      <c r="K51" s="10">
        <f>123.661195272035/(13.7603)</f>
        <v>8.986809537003916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125</v>
      </c>
    </row>
    <row r="2" spans="1:40" x14ac:dyDescent="0.2">
      <c r="A2" s="70"/>
    </row>
    <row r="5" spans="1:40" x14ac:dyDescent="0.2">
      <c r="A5" s="62" t="s">
        <v>126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124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275.657196</v>
      </c>
      <c r="C8" s="68">
        <v>652.41874900000005</v>
      </c>
      <c r="D8" s="68">
        <v>1778.600316</v>
      </c>
      <c r="E8" s="68">
        <v>1701.51701</v>
      </c>
      <c r="F8" s="68">
        <v>750.87329999999997</v>
      </c>
      <c r="G8" s="68">
        <v>1368.6886930000001</v>
      </c>
      <c r="H8" s="68">
        <v>966.16920600000003</v>
      </c>
      <c r="I8" s="68">
        <v>524.153098</v>
      </c>
      <c r="J8" s="68">
        <v>2963.1373910000002</v>
      </c>
      <c r="K8" s="67">
        <f>SUM(B8:J8)</f>
        <v>10981.214959000001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1.2358089999999999</v>
      </c>
      <c r="C9" s="68">
        <v>3.1851389999999999</v>
      </c>
      <c r="D9" s="68">
        <v>7.3971390000000001</v>
      </c>
      <c r="E9" s="68">
        <v>5.8875549999999999</v>
      </c>
      <c r="F9" s="68">
        <v>1.04478</v>
      </c>
      <c r="G9" s="68">
        <v>7.3563860000000005</v>
      </c>
      <c r="H9" s="68">
        <v>7.3371029999999999</v>
      </c>
      <c r="I9" s="68">
        <v>3.102481</v>
      </c>
      <c r="J9" s="68">
        <v>17.575305</v>
      </c>
      <c r="K9" s="67">
        <f t="shared" ref="K9:K12" si="0">SUM(B9:J9)</f>
        <v>54.121696999999998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276.89300500000002</v>
      </c>
      <c r="C10" s="67">
        <f t="shared" ref="C10:J10" si="1">C8+C9</f>
        <v>655.6038880000001</v>
      </c>
      <c r="D10" s="67">
        <f t="shared" si="1"/>
        <v>1785.9974549999999</v>
      </c>
      <c r="E10" s="67">
        <f t="shared" si="1"/>
        <v>1707.404565</v>
      </c>
      <c r="F10" s="67">
        <f t="shared" si="1"/>
        <v>751.91807999999992</v>
      </c>
      <c r="G10" s="67">
        <f t="shared" si="1"/>
        <v>1376.045079</v>
      </c>
      <c r="H10" s="67">
        <f t="shared" si="1"/>
        <v>973.50630899999999</v>
      </c>
      <c r="I10" s="67">
        <f t="shared" si="1"/>
        <v>527.25557900000001</v>
      </c>
      <c r="J10" s="67">
        <f t="shared" si="1"/>
        <v>2980.7126960000001</v>
      </c>
      <c r="K10" s="67">
        <f t="shared" si="0"/>
        <v>11035.336655999999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1.085342</v>
      </c>
      <c r="D11" s="68">
        <v>1.0376570000000001</v>
      </c>
      <c r="E11" s="68">
        <v>0.985599</v>
      </c>
      <c r="F11" s="68">
        <v>1.456467</v>
      </c>
      <c r="G11" s="68">
        <v>0.74403399999999997</v>
      </c>
      <c r="H11" s="68">
        <v>2.496051</v>
      </c>
      <c r="I11" s="68">
        <v>3.1353219999999999</v>
      </c>
      <c r="J11" s="68">
        <v>3.5665589999999998</v>
      </c>
      <c r="K11" s="75">
        <f t="shared" si="0"/>
        <v>14.507031000000001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276.89300500000002</v>
      </c>
      <c r="C12" s="67">
        <f t="shared" ref="C12:J12" si="2">C10+C11</f>
        <v>656.68923000000007</v>
      </c>
      <c r="D12" s="67">
        <f t="shared" si="2"/>
        <v>1787.035112</v>
      </c>
      <c r="E12" s="67">
        <f t="shared" si="2"/>
        <v>1708.3901640000001</v>
      </c>
      <c r="F12" s="67">
        <f t="shared" si="2"/>
        <v>753.37454699999989</v>
      </c>
      <c r="G12" s="67">
        <f t="shared" si="2"/>
        <v>1376.789113</v>
      </c>
      <c r="H12" s="67">
        <f t="shared" si="2"/>
        <v>976.00235999999995</v>
      </c>
      <c r="I12" s="67">
        <f t="shared" si="2"/>
        <v>530.39090099999999</v>
      </c>
      <c r="J12" s="67">
        <f t="shared" si="2"/>
        <v>2984.2792549999999</v>
      </c>
      <c r="K12" s="67">
        <f t="shared" si="0"/>
        <v>11049.843687000001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127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547.726135</v>
      </c>
      <c r="C17" s="68">
        <v>1081.514645</v>
      </c>
      <c r="D17" s="68">
        <v>3067.9266509999998</v>
      </c>
      <c r="E17" s="68">
        <v>2651.5116840000001</v>
      </c>
      <c r="F17" s="68">
        <v>1056.8181440000001</v>
      </c>
      <c r="G17" s="68">
        <v>2278.5373329999998</v>
      </c>
      <c r="H17" s="68">
        <v>1399.1690669999998</v>
      </c>
      <c r="I17" s="68">
        <v>748.161654</v>
      </c>
      <c r="J17" s="68">
        <v>3457.1114379999999</v>
      </c>
      <c r="K17" s="67">
        <f>SUM(B17:J17)</f>
        <v>16288.476750999998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5.449122</v>
      </c>
      <c r="C18" s="68">
        <v>10.663633000000001</v>
      </c>
      <c r="D18" s="68">
        <v>30.686019000000002</v>
      </c>
      <c r="E18" s="68">
        <v>26.602740000000001</v>
      </c>
      <c r="F18" s="68">
        <v>10.472251</v>
      </c>
      <c r="G18" s="68">
        <v>22.785166</v>
      </c>
      <c r="H18" s="68">
        <v>13.885059000000002</v>
      </c>
      <c r="I18" s="68">
        <v>7.3624479999999997</v>
      </c>
      <c r="J18" s="68">
        <v>34.186762999999999</v>
      </c>
      <c r="K18" s="67">
        <f t="shared" ref="K18:K21" si="3">SUM(B18:J18)</f>
        <v>162.09320100000002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553.17525699999999</v>
      </c>
      <c r="C19" s="67">
        <f t="shared" ref="C19:J19" si="4">C17+C18</f>
        <v>1092.1782779999999</v>
      </c>
      <c r="D19" s="67">
        <f t="shared" si="4"/>
        <v>3098.61267</v>
      </c>
      <c r="E19" s="67">
        <f t="shared" si="4"/>
        <v>2678.1144239999999</v>
      </c>
      <c r="F19" s="67">
        <f t="shared" si="4"/>
        <v>1067.290395</v>
      </c>
      <c r="G19" s="67">
        <f t="shared" si="4"/>
        <v>2301.3224989999999</v>
      </c>
      <c r="H19" s="67">
        <f t="shared" si="4"/>
        <v>1413.0541259999998</v>
      </c>
      <c r="I19" s="67">
        <f t="shared" si="4"/>
        <v>755.52410199999997</v>
      </c>
      <c r="J19" s="67">
        <f t="shared" si="4"/>
        <v>3491.2982010000001</v>
      </c>
      <c r="K19" s="67">
        <f t="shared" si="3"/>
        <v>16450.569951999998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0.85742399999999996</v>
      </c>
      <c r="D20" s="68">
        <v>0.80723100000000003</v>
      </c>
      <c r="E20" s="68">
        <v>0.75243199999999999</v>
      </c>
      <c r="F20" s="68">
        <v>0.94247599999999998</v>
      </c>
      <c r="G20" s="68">
        <v>0.49815199999999998</v>
      </c>
      <c r="H20" s="68">
        <v>1.772297</v>
      </c>
      <c r="I20" s="68">
        <v>2.7755010000000002</v>
      </c>
      <c r="J20" s="68">
        <v>3.4692319999999999</v>
      </c>
      <c r="K20" s="67">
        <f t="shared" si="3"/>
        <v>11.874745000000001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553.17525699999999</v>
      </c>
      <c r="C21" s="67">
        <f t="shared" ref="C21:J21" si="5">C19+C20</f>
        <v>1093.0357019999999</v>
      </c>
      <c r="D21" s="67">
        <f t="shared" si="5"/>
        <v>3099.4199009999998</v>
      </c>
      <c r="E21" s="67">
        <f t="shared" si="5"/>
        <v>2678.8668560000001</v>
      </c>
      <c r="F21" s="67">
        <f t="shared" si="5"/>
        <v>1068.2328709999999</v>
      </c>
      <c r="G21" s="67">
        <f t="shared" si="5"/>
        <v>2301.820651</v>
      </c>
      <c r="H21" s="67">
        <f t="shared" si="5"/>
        <v>1414.8264229999997</v>
      </c>
      <c r="I21" s="67">
        <f t="shared" si="5"/>
        <v>758.29960299999993</v>
      </c>
      <c r="J21" s="67">
        <f t="shared" si="5"/>
        <v>3494.767433</v>
      </c>
      <c r="K21" s="67">
        <f t="shared" si="3"/>
        <v>16462.444696999999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128</v>
      </c>
    </row>
    <row r="2" spans="1:40" x14ac:dyDescent="0.2">
      <c r="A2" s="70"/>
    </row>
    <row r="5" spans="1:40" x14ac:dyDescent="0.2">
      <c r="A5" s="62" t="s">
        <v>129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 t="s">
        <v>124</v>
      </c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68">
        <v>252.622424</v>
      </c>
      <c r="C8" s="68">
        <v>599.28532900000005</v>
      </c>
      <c r="D8" s="68">
        <v>1642.141204</v>
      </c>
      <c r="E8" s="68">
        <v>1566.024684</v>
      </c>
      <c r="F8" s="68">
        <v>693.95345799999996</v>
      </c>
      <c r="G8" s="68">
        <v>1248.4264429999998</v>
      </c>
      <c r="H8" s="68">
        <v>891.31702799999994</v>
      </c>
      <c r="I8" s="68">
        <v>486.60264800000004</v>
      </c>
      <c r="J8" s="68">
        <v>2704.6605840000002</v>
      </c>
      <c r="K8" s="67">
        <f>SUM(B8:J8)</f>
        <v>10085.033801999998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68">
        <v>-0.31575099999999989</v>
      </c>
      <c r="C9" s="68">
        <v>-1.0278850000000004</v>
      </c>
      <c r="D9" s="68">
        <v>2.1913459999999993</v>
      </c>
      <c r="E9" s="68">
        <v>-2.5157619999999987</v>
      </c>
      <c r="F9" s="68">
        <v>-0.57642900000000008</v>
      </c>
      <c r="G9" s="68">
        <v>-4.317069</v>
      </c>
      <c r="H9" s="68">
        <v>-1.2737259999999999</v>
      </c>
      <c r="I9" s="68">
        <v>1.1653379999999998</v>
      </c>
      <c r="J9" s="68">
        <v>-10.627038000000001</v>
      </c>
      <c r="K9" s="67">
        <f t="shared" ref="K9:K12" si="0">SUM(B9:J9)</f>
        <v>-17.296976000000001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67">
        <f>B8+B9</f>
        <v>252.30667299999999</v>
      </c>
      <c r="C10" s="67">
        <f t="shared" ref="C10:J10" si="1">C8+C9</f>
        <v>598.25744400000008</v>
      </c>
      <c r="D10" s="67">
        <f t="shared" si="1"/>
        <v>1644.3325500000001</v>
      </c>
      <c r="E10" s="67">
        <f t="shared" si="1"/>
        <v>1563.508922</v>
      </c>
      <c r="F10" s="67">
        <f t="shared" si="1"/>
        <v>693.37702899999999</v>
      </c>
      <c r="G10" s="67">
        <f t="shared" si="1"/>
        <v>1244.1093739999999</v>
      </c>
      <c r="H10" s="67">
        <f t="shared" si="1"/>
        <v>890.04330199999993</v>
      </c>
      <c r="I10" s="67">
        <f t="shared" si="1"/>
        <v>487.76798600000006</v>
      </c>
      <c r="J10" s="67">
        <f t="shared" si="1"/>
        <v>2694.0335460000001</v>
      </c>
      <c r="K10" s="67">
        <f t="shared" si="0"/>
        <v>10067.736826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68">
        <v>0</v>
      </c>
      <c r="C11" s="68">
        <v>0.76160000000000005</v>
      </c>
      <c r="D11" s="68">
        <v>0.81527000000000005</v>
      </c>
      <c r="E11" s="68">
        <v>0.71098499999999998</v>
      </c>
      <c r="F11" s="68">
        <v>1.061674</v>
      </c>
      <c r="G11" s="68">
        <v>0.68109500000000001</v>
      </c>
      <c r="H11" s="68">
        <v>1.9276880000000001</v>
      </c>
      <c r="I11" s="68">
        <v>2.286613</v>
      </c>
      <c r="J11" s="68">
        <v>2.3251040000000001</v>
      </c>
      <c r="K11" s="75">
        <f t="shared" si="0"/>
        <v>10.570028999999998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67">
        <f>B10+B11</f>
        <v>252.30667299999999</v>
      </c>
      <c r="C12" s="67">
        <f t="shared" ref="C12:J12" si="2">C10+C11</f>
        <v>599.01904400000012</v>
      </c>
      <c r="D12" s="67">
        <f t="shared" si="2"/>
        <v>1645.1478200000001</v>
      </c>
      <c r="E12" s="67">
        <f t="shared" si="2"/>
        <v>1564.2199069999999</v>
      </c>
      <c r="F12" s="67">
        <f t="shared" si="2"/>
        <v>694.43870300000003</v>
      </c>
      <c r="G12" s="67">
        <f t="shared" si="2"/>
        <v>1244.7904689999998</v>
      </c>
      <c r="H12" s="67">
        <f t="shared" si="2"/>
        <v>891.97098999999992</v>
      </c>
      <c r="I12" s="67">
        <f t="shared" si="2"/>
        <v>490.05459900000005</v>
      </c>
      <c r="J12" s="67">
        <f t="shared" si="2"/>
        <v>2696.3586500000001</v>
      </c>
      <c r="K12" s="67">
        <f t="shared" si="0"/>
        <v>10078.306854999999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130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68">
        <v>493.27144499999997</v>
      </c>
      <c r="C17" s="68">
        <v>973.25300000000016</v>
      </c>
      <c r="D17" s="68">
        <v>2763.6423650000002</v>
      </c>
      <c r="E17" s="68">
        <v>2389.7483900000002</v>
      </c>
      <c r="F17" s="68">
        <v>953.76496799999995</v>
      </c>
      <c r="G17" s="68">
        <v>2050.5795790000002</v>
      </c>
      <c r="H17" s="68">
        <v>1261.3425689999999</v>
      </c>
      <c r="I17" s="68">
        <v>681.11716000000001</v>
      </c>
      <c r="J17" s="68">
        <v>3116.634779</v>
      </c>
      <c r="K17" s="67">
        <f>SUM(B17:J17)</f>
        <v>14683.354255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68">
        <v>1.844962</v>
      </c>
      <c r="C18" s="68">
        <v>3.6508389999999995</v>
      </c>
      <c r="D18" s="68">
        <v>10.444065999999999</v>
      </c>
      <c r="E18" s="68">
        <v>9.1182949999999998</v>
      </c>
      <c r="F18" s="68">
        <v>3.4800490000000002</v>
      </c>
      <c r="G18" s="68">
        <v>7.7844739999999994</v>
      </c>
      <c r="H18" s="68">
        <v>4.7627159999999993</v>
      </c>
      <c r="I18" s="68">
        <v>2.5145430000000002</v>
      </c>
      <c r="J18" s="68">
        <v>12.148666000000002</v>
      </c>
      <c r="K18" s="67">
        <f t="shared" ref="K18:K21" si="3">SUM(B18:J18)</f>
        <v>55.748609999999999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67">
        <f>B17+B18</f>
        <v>495.11640699999998</v>
      </c>
      <c r="C19" s="67">
        <f t="shared" ref="C19:J19" si="4">C17+C18</f>
        <v>976.90383900000018</v>
      </c>
      <c r="D19" s="67">
        <f t="shared" si="4"/>
        <v>2774.0864310000002</v>
      </c>
      <c r="E19" s="67">
        <f t="shared" si="4"/>
        <v>2398.8666850000004</v>
      </c>
      <c r="F19" s="67">
        <f t="shared" si="4"/>
        <v>957.24501699999996</v>
      </c>
      <c r="G19" s="67">
        <f t="shared" si="4"/>
        <v>2058.3640530000002</v>
      </c>
      <c r="H19" s="67">
        <f t="shared" si="4"/>
        <v>1266.1052849999999</v>
      </c>
      <c r="I19" s="67">
        <f t="shared" si="4"/>
        <v>683.63170300000002</v>
      </c>
      <c r="J19" s="67">
        <f t="shared" si="4"/>
        <v>3128.783445</v>
      </c>
      <c r="K19" s="67">
        <f t="shared" si="3"/>
        <v>14739.102865000001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68">
        <v>0</v>
      </c>
      <c r="C20" s="68">
        <v>0.51664299999999996</v>
      </c>
      <c r="D20" s="68">
        <v>0.57313999999999998</v>
      </c>
      <c r="E20" s="68">
        <v>0.46336699999999997</v>
      </c>
      <c r="F20" s="68">
        <v>0.66632400000000003</v>
      </c>
      <c r="G20" s="68">
        <v>0.43190299999999998</v>
      </c>
      <c r="H20" s="68">
        <v>1.19248</v>
      </c>
      <c r="I20" s="68">
        <v>1.939481</v>
      </c>
      <c r="J20" s="68">
        <v>2.162439</v>
      </c>
      <c r="K20" s="67">
        <f t="shared" si="3"/>
        <v>7.9457769999999996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67">
        <f>B19+B20</f>
        <v>495.11640699999998</v>
      </c>
      <c r="C21" s="67">
        <f t="shared" ref="C21:J21" si="5">C19+C20</f>
        <v>977.42048200000022</v>
      </c>
      <c r="D21" s="67">
        <f t="shared" si="5"/>
        <v>2774.6595710000001</v>
      </c>
      <c r="E21" s="67">
        <f t="shared" si="5"/>
        <v>2399.3300520000003</v>
      </c>
      <c r="F21" s="67">
        <f t="shared" si="5"/>
        <v>957.91134099999999</v>
      </c>
      <c r="G21" s="67">
        <f t="shared" si="5"/>
        <v>2058.7959560000004</v>
      </c>
      <c r="H21" s="67">
        <f t="shared" si="5"/>
        <v>1267.2977649999998</v>
      </c>
      <c r="I21" s="67">
        <f t="shared" si="5"/>
        <v>685.57118400000002</v>
      </c>
      <c r="J21" s="67">
        <f t="shared" si="5"/>
        <v>3130.9458840000002</v>
      </c>
      <c r="K21" s="67">
        <f t="shared" si="3"/>
        <v>14747.048642000002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21"/>
  <sheetViews>
    <sheetView tabSelected="1" workbookViewId="0"/>
  </sheetViews>
  <sheetFormatPr baseColWidth="10" defaultRowHeight="12.75" x14ac:dyDescent="0.2"/>
  <cols>
    <col min="1" max="1" width="36" style="53" customWidth="1"/>
    <col min="2" max="10" width="8.5703125" style="53" customWidth="1"/>
    <col min="11" max="11" width="9.140625" style="53" bestFit="1" customWidth="1"/>
    <col min="12" max="16384" width="11.42578125" style="53"/>
  </cols>
  <sheetData>
    <row r="1" spans="1:40" ht="15.75" x14ac:dyDescent="0.25">
      <c r="A1" s="71" t="s">
        <v>131</v>
      </c>
    </row>
    <row r="2" spans="1:40" x14ac:dyDescent="0.2">
      <c r="A2" s="70"/>
    </row>
    <row r="5" spans="1:40" x14ac:dyDescent="0.2">
      <c r="A5" s="62" t="s">
        <v>132</v>
      </c>
      <c r="B5" s="58"/>
      <c r="C5" s="58"/>
      <c r="D5" s="58"/>
      <c r="E5" s="58"/>
      <c r="F5" s="58"/>
      <c r="G5" s="58"/>
      <c r="H5" s="58"/>
      <c r="I5" s="58"/>
      <c r="J5" s="58"/>
      <c r="K5" s="58"/>
    </row>
    <row r="6" spans="1:40" x14ac:dyDescent="0.2">
      <c r="A6" s="74"/>
      <c r="B6" s="58"/>
      <c r="C6" s="58"/>
      <c r="D6" s="58"/>
      <c r="E6" s="58"/>
      <c r="F6" s="58"/>
      <c r="G6" s="58"/>
      <c r="H6" s="58"/>
      <c r="I6" s="58"/>
      <c r="J6" s="58"/>
      <c r="K6" s="58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</row>
    <row r="7" spans="1:40" x14ac:dyDescent="0.2">
      <c r="A7" s="63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</row>
    <row r="8" spans="1:40" x14ac:dyDescent="0.2">
      <c r="A8" s="63" t="s">
        <v>118</v>
      </c>
      <c r="B8" s="26">
        <v>292.24965299999997</v>
      </c>
      <c r="C8" s="26">
        <v>695.03166099999999</v>
      </c>
      <c r="D8" s="26">
        <v>1895.6429509999998</v>
      </c>
      <c r="E8" s="26">
        <v>1796.666937</v>
      </c>
      <c r="F8" s="26">
        <v>794.08616100000006</v>
      </c>
      <c r="G8" s="26">
        <v>1432.54952</v>
      </c>
      <c r="H8" s="26">
        <v>1026.168862</v>
      </c>
      <c r="I8" s="26">
        <v>556.32165499999996</v>
      </c>
      <c r="J8" s="26">
        <v>3102.8033150000001</v>
      </c>
      <c r="K8" s="49">
        <f>SUM(B8:J8)</f>
        <v>11591.520714999999</v>
      </c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</row>
    <row r="9" spans="1:40" x14ac:dyDescent="0.2">
      <c r="A9" s="63" t="s">
        <v>117</v>
      </c>
      <c r="B9" s="26">
        <v>3.4894780000000001</v>
      </c>
      <c r="C9" s="26">
        <v>10.197172999999999</v>
      </c>
      <c r="D9" s="26">
        <v>21.199297999999999</v>
      </c>
      <c r="E9" s="26">
        <v>23.329548000000003</v>
      </c>
      <c r="F9" s="26">
        <v>11.826328999999999</v>
      </c>
      <c r="G9" s="26">
        <v>20.118226</v>
      </c>
      <c r="H9" s="26">
        <v>13.048864000000002</v>
      </c>
      <c r="I9" s="26">
        <v>5.5406969999999998</v>
      </c>
      <c r="J9" s="26">
        <v>31.482098000000001</v>
      </c>
      <c r="K9" s="49">
        <f t="shared" ref="K9:K12" si="0">SUM(B9:J9)</f>
        <v>140.23171100000002</v>
      </c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</row>
    <row r="10" spans="1:40" x14ac:dyDescent="0.2">
      <c r="A10" s="63" t="s">
        <v>85</v>
      </c>
      <c r="B10" s="49">
        <f>B8+B9</f>
        <v>295.73913099999999</v>
      </c>
      <c r="C10" s="49">
        <f t="shared" ref="C10:J10" si="1">C8+C9</f>
        <v>705.22883400000001</v>
      </c>
      <c r="D10" s="49">
        <f t="shared" si="1"/>
        <v>1916.8422489999998</v>
      </c>
      <c r="E10" s="49">
        <f t="shared" si="1"/>
        <v>1819.9964849999999</v>
      </c>
      <c r="F10" s="49">
        <f t="shared" si="1"/>
        <v>805.91249000000005</v>
      </c>
      <c r="G10" s="49">
        <f t="shared" si="1"/>
        <v>1452.6677460000001</v>
      </c>
      <c r="H10" s="49">
        <f t="shared" si="1"/>
        <v>1039.2177260000001</v>
      </c>
      <c r="I10" s="49">
        <f t="shared" si="1"/>
        <v>561.86235199999999</v>
      </c>
      <c r="J10" s="49">
        <f t="shared" si="1"/>
        <v>3134.2854130000001</v>
      </c>
      <c r="K10" s="49">
        <f t="shared" si="0"/>
        <v>11731.752425999999</v>
      </c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</row>
    <row r="11" spans="1:40" x14ac:dyDescent="0.2">
      <c r="A11" s="63" t="s">
        <v>119</v>
      </c>
      <c r="B11" s="26">
        <v>0</v>
      </c>
      <c r="C11" s="26">
        <v>0.54719300000000004</v>
      </c>
      <c r="D11" s="26">
        <v>0.56077100000000002</v>
      </c>
      <c r="E11" s="26">
        <v>0.447436</v>
      </c>
      <c r="F11" s="26">
        <v>0.65897399999999995</v>
      </c>
      <c r="G11" s="26">
        <v>0.40090900000000002</v>
      </c>
      <c r="H11" s="26">
        <v>1.2686470000000001</v>
      </c>
      <c r="I11" s="26">
        <v>1.2411179999999999</v>
      </c>
      <c r="J11" s="26">
        <v>1.2779990000000001</v>
      </c>
      <c r="K11" s="49">
        <f t="shared" si="0"/>
        <v>6.4030469999999999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</row>
    <row r="12" spans="1:40" x14ac:dyDescent="0.2">
      <c r="A12" s="62" t="s">
        <v>120</v>
      </c>
      <c r="B12" s="49">
        <f>B10+B11</f>
        <v>295.73913099999999</v>
      </c>
      <c r="C12" s="49">
        <f t="shared" ref="C12:J12" si="2">C10+C11</f>
        <v>705.776027</v>
      </c>
      <c r="D12" s="49">
        <f t="shared" si="2"/>
        <v>1917.4030199999997</v>
      </c>
      <c r="E12" s="49">
        <f t="shared" si="2"/>
        <v>1820.4439209999998</v>
      </c>
      <c r="F12" s="49">
        <f t="shared" si="2"/>
        <v>806.57146399999999</v>
      </c>
      <c r="G12" s="49">
        <f t="shared" si="2"/>
        <v>1453.068655</v>
      </c>
      <c r="H12" s="49">
        <f t="shared" si="2"/>
        <v>1040.4863730000002</v>
      </c>
      <c r="I12" s="49">
        <f t="shared" si="2"/>
        <v>563.10347000000002</v>
      </c>
      <c r="J12" s="49">
        <f t="shared" si="2"/>
        <v>3135.563412</v>
      </c>
      <c r="K12" s="49">
        <f t="shared" si="0"/>
        <v>11738.155472999999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</row>
    <row r="13" spans="1:40" x14ac:dyDescent="0.2">
      <c r="A13" s="63"/>
      <c r="B13" s="64"/>
      <c r="C13" s="64"/>
      <c r="D13" s="64"/>
      <c r="E13" s="64"/>
      <c r="F13" s="64"/>
      <c r="G13" s="64"/>
      <c r="H13" s="64"/>
      <c r="I13" s="64"/>
      <c r="J13" s="64"/>
      <c r="K13" s="69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</row>
    <row r="14" spans="1:40" x14ac:dyDescent="0.2">
      <c r="A14" s="62" t="s">
        <v>133</v>
      </c>
      <c r="B14" s="64"/>
      <c r="C14" s="64"/>
      <c r="D14" s="64"/>
      <c r="E14" s="64"/>
      <c r="F14" s="64"/>
      <c r="G14" s="64"/>
      <c r="H14" s="64"/>
      <c r="I14" s="64"/>
      <c r="J14" s="64"/>
      <c r="K14" s="69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</row>
    <row r="15" spans="1:40" x14ac:dyDescent="0.2">
      <c r="A15" s="62"/>
      <c r="B15" s="64"/>
      <c r="C15" s="64"/>
      <c r="D15" s="64"/>
      <c r="E15" s="64"/>
      <c r="F15" s="64"/>
      <c r="G15" s="64"/>
      <c r="H15" s="64"/>
      <c r="I15" s="64"/>
      <c r="J15" s="64"/>
      <c r="K15" s="69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</row>
    <row r="16" spans="1:40" x14ac:dyDescent="0.2">
      <c r="A16" s="63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</row>
    <row r="17" spans="1:40" x14ac:dyDescent="0.2">
      <c r="A17" s="63" t="s">
        <v>118</v>
      </c>
      <c r="B17" s="26">
        <v>546.96703500000001</v>
      </c>
      <c r="C17" s="26">
        <v>1076.4861719999999</v>
      </c>
      <c r="D17" s="26">
        <v>3068.7270760000001</v>
      </c>
      <c r="E17" s="26">
        <v>2658.2928219999999</v>
      </c>
      <c r="F17" s="26">
        <v>1058.4200839999999</v>
      </c>
      <c r="G17" s="26">
        <v>2274.9029</v>
      </c>
      <c r="H17" s="26">
        <v>1400.1704589999999</v>
      </c>
      <c r="I17" s="26">
        <v>761.56147499999997</v>
      </c>
      <c r="J17" s="26">
        <v>3469.8372310000004</v>
      </c>
      <c r="K17" s="49">
        <f>SUM(B17:J17)</f>
        <v>16315.365254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</row>
    <row r="18" spans="1:40" x14ac:dyDescent="0.2">
      <c r="A18" s="63" t="s">
        <v>117</v>
      </c>
      <c r="B18" s="26">
        <v>-12.757952</v>
      </c>
      <c r="C18" s="26">
        <v>-24.85229</v>
      </c>
      <c r="D18" s="26">
        <v>-71.938049000000007</v>
      </c>
      <c r="E18" s="26">
        <v>-62.597063000000006</v>
      </c>
      <c r="F18" s="26">
        <v>-24.423181999999997</v>
      </c>
      <c r="G18" s="26">
        <v>-53.271096999999997</v>
      </c>
      <c r="H18" s="26">
        <v>-32.609465999999998</v>
      </c>
      <c r="I18" s="26">
        <v>-17.354734999999998</v>
      </c>
      <c r="J18" s="26">
        <v>-80.743326999999994</v>
      </c>
      <c r="K18" s="49">
        <f t="shared" ref="K18:K21" si="3">SUM(B18:J18)</f>
        <v>-380.54716099999996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</row>
    <row r="19" spans="1:40" x14ac:dyDescent="0.2">
      <c r="A19" s="63" t="s">
        <v>85</v>
      </c>
      <c r="B19" s="49">
        <f>B17+B18</f>
        <v>534.20908299999996</v>
      </c>
      <c r="C19" s="49">
        <f t="shared" ref="C19:J19" si="4">C17+C18</f>
        <v>1051.6338819999999</v>
      </c>
      <c r="D19" s="49">
        <f t="shared" si="4"/>
        <v>2996.7890270000003</v>
      </c>
      <c r="E19" s="49">
        <f t="shared" si="4"/>
        <v>2595.6957589999997</v>
      </c>
      <c r="F19" s="49">
        <f t="shared" si="4"/>
        <v>1033.9969019999999</v>
      </c>
      <c r="G19" s="49">
        <f t="shared" si="4"/>
        <v>2221.6318030000002</v>
      </c>
      <c r="H19" s="49">
        <f t="shared" si="4"/>
        <v>1367.5609930000001</v>
      </c>
      <c r="I19" s="49">
        <f t="shared" si="4"/>
        <v>744.20673999999997</v>
      </c>
      <c r="J19" s="49">
        <f t="shared" si="4"/>
        <v>3389.0939040000003</v>
      </c>
      <c r="K19" s="49">
        <f t="shared" si="3"/>
        <v>15934.818092999998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</row>
    <row r="20" spans="1:40" x14ac:dyDescent="0.2">
      <c r="A20" s="63" t="s">
        <v>119</v>
      </c>
      <c r="B20" s="26">
        <v>0</v>
      </c>
      <c r="C20" s="26">
        <v>0.29095399999999999</v>
      </c>
      <c r="D20" s="26">
        <v>0.30524600000000002</v>
      </c>
      <c r="E20" s="26">
        <v>0.185945</v>
      </c>
      <c r="F20" s="26">
        <v>0.27892499999999998</v>
      </c>
      <c r="G20" s="26">
        <v>0.13697000000000001</v>
      </c>
      <c r="H20" s="26">
        <v>0.50343400000000005</v>
      </c>
      <c r="I20" s="26">
        <v>0.92034800000000005</v>
      </c>
      <c r="J20" s="26">
        <v>1.060222</v>
      </c>
      <c r="K20" s="49">
        <f t="shared" si="3"/>
        <v>3.6820440000000003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</row>
    <row r="21" spans="1:40" x14ac:dyDescent="0.2">
      <c r="A21" s="62" t="s">
        <v>120</v>
      </c>
      <c r="B21" s="49">
        <f>B19+B20</f>
        <v>534.20908299999996</v>
      </c>
      <c r="C21" s="49">
        <f t="shared" ref="C21:J21" si="5">C19+C20</f>
        <v>1051.9248359999999</v>
      </c>
      <c r="D21" s="49">
        <f t="shared" si="5"/>
        <v>2997.0942730000002</v>
      </c>
      <c r="E21" s="49">
        <f t="shared" si="5"/>
        <v>2595.8817039999999</v>
      </c>
      <c r="F21" s="49">
        <f t="shared" si="5"/>
        <v>1034.2758269999999</v>
      </c>
      <c r="G21" s="49">
        <f t="shared" si="5"/>
        <v>2221.7687730000002</v>
      </c>
      <c r="H21" s="49">
        <f t="shared" si="5"/>
        <v>1368.064427</v>
      </c>
      <c r="I21" s="49">
        <f t="shared" si="5"/>
        <v>745.12708799999996</v>
      </c>
      <c r="J21" s="49">
        <f t="shared" si="5"/>
        <v>3390.1541260000004</v>
      </c>
      <c r="K21" s="49">
        <f t="shared" si="3"/>
        <v>15938.500136999999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</row>
  </sheetData>
  <pageMargins left="0.62992125984251968" right="0.55118110236220474" top="0.98425196850393704" bottom="0.98425196850393704" header="0.51181102362204722" footer="0.51181102362204722"/>
  <pageSetup paperSize="9" scale="75"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47</v>
      </c>
    </row>
    <row r="2" spans="1:12" x14ac:dyDescent="0.2">
      <c r="A2" s="2"/>
    </row>
    <row r="5" spans="1:12" x14ac:dyDescent="0.2">
      <c r="A5" s="3" t="s">
        <v>48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49</v>
      </c>
      <c r="B8" s="7">
        <v>153.35041388872423</v>
      </c>
      <c r="C8" s="7">
        <v>380.96577850161879</v>
      </c>
      <c r="D8" s="7">
        <v>966.47287476601332</v>
      </c>
      <c r="E8" s="7">
        <v>938.91393925225702</v>
      </c>
      <c r="F8" s="7">
        <v>404.44739408778474</v>
      </c>
      <c r="G8" s="7">
        <v>753.88314588988146</v>
      </c>
      <c r="H8" s="7">
        <v>507.92454048188154</v>
      </c>
      <c r="I8" s="7">
        <v>272.22677014124179</v>
      </c>
      <c r="J8" s="7">
        <v>1522.0969045357563</v>
      </c>
      <c r="K8" s="8">
        <v>5900.2817615451595</v>
      </c>
    </row>
    <row r="9" spans="1:12" x14ac:dyDescent="0.2">
      <c r="A9" s="5" t="s">
        <v>10</v>
      </c>
      <c r="B9" s="7">
        <v>10.19245350425606</v>
      </c>
      <c r="C9" s="7">
        <v>25.160797213300519</v>
      </c>
      <c r="D9" s="7">
        <v>62.307344717317051</v>
      </c>
      <c r="E9" s="7">
        <v>63.692016034333896</v>
      </c>
      <c r="F9" s="7">
        <v>24.461046672888749</v>
      </c>
      <c r="G9" s="7">
        <v>51.147761705542926</v>
      </c>
      <c r="H9" s="7">
        <v>31.888239945211861</v>
      </c>
      <c r="I9" s="7">
        <v>16.090353001730779</v>
      </c>
      <c r="J9" s="7">
        <v>88.653905431398258</v>
      </c>
      <c r="K9" s="8">
        <v>373.59391822598008</v>
      </c>
    </row>
    <row r="10" spans="1:12" x14ac:dyDescent="0.2">
      <c r="A10" s="9" t="s">
        <v>11</v>
      </c>
      <c r="B10" s="10">
        <v>163.5428673929803</v>
      </c>
      <c r="C10" s="10">
        <v>406.12657571491928</v>
      </c>
      <c r="D10" s="10">
        <v>1028.7802194833303</v>
      </c>
      <c r="E10" s="10">
        <v>1002.6059552865909</v>
      </c>
      <c r="F10" s="10">
        <v>428.9084407606735</v>
      </c>
      <c r="G10" s="10">
        <v>805.03090759542442</v>
      </c>
      <c r="H10" s="10">
        <v>539.81278042709334</v>
      </c>
      <c r="I10" s="10">
        <v>288.31712314297255</v>
      </c>
      <c r="J10" s="10">
        <v>1610.7508099671545</v>
      </c>
      <c r="K10" s="10">
        <v>6273.8756797711394</v>
      </c>
    </row>
    <row r="11" spans="1:12" x14ac:dyDescent="0.2">
      <c r="A11" s="9" t="s">
        <v>12</v>
      </c>
      <c r="B11" s="7">
        <v>0</v>
      </c>
      <c r="C11" s="7">
        <v>1.5384960000000001</v>
      </c>
      <c r="D11" s="7">
        <v>2.1478960000000002</v>
      </c>
      <c r="E11" s="7">
        <v>1.6639029999999999</v>
      </c>
      <c r="F11" s="7">
        <v>1.3555470000000001</v>
      </c>
      <c r="G11" s="7">
        <v>1.6172960000000001</v>
      </c>
      <c r="H11" s="7">
        <v>3.3274870000000001</v>
      </c>
      <c r="I11" s="7">
        <v>2.6611050000000001</v>
      </c>
      <c r="J11" s="7">
        <v>4.1115349999999999</v>
      </c>
      <c r="K11" s="8">
        <v>18.423265000000001</v>
      </c>
      <c r="L11" s="11"/>
    </row>
    <row r="12" spans="1:12" x14ac:dyDescent="0.2">
      <c r="A12" s="3" t="s">
        <v>11</v>
      </c>
      <c r="B12" s="10">
        <f>B10+B11</f>
        <v>163.5428673929803</v>
      </c>
      <c r="C12" s="10">
        <f t="shared" ref="C12:K12" si="0">C10+C11</f>
        <v>407.66507171491929</v>
      </c>
      <c r="D12" s="10">
        <f t="shared" si="0"/>
        <v>1030.9281154833302</v>
      </c>
      <c r="E12" s="10">
        <f t="shared" si="0"/>
        <v>1004.2698582865909</v>
      </c>
      <c r="F12" s="10">
        <f t="shared" si="0"/>
        <v>430.2639877606735</v>
      </c>
      <c r="G12" s="10">
        <f t="shared" si="0"/>
        <v>806.64820359542443</v>
      </c>
      <c r="H12" s="10">
        <f t="shared" si="0"/>
        <v>543.14026742709336</v>
      </c>
      <c r="I12" s="10">
        <f t="shared" si="0"/>
        <v>290.97822814297257</v>
      </c>
      <c r="J12" s="10">
        <f t="shared" si="0"/>
        <v>1614.8623449671545</v>
      </c>
      <c r="K12" s="10">
        <f t="shared" si="0"/>
        <v>6292.2989447711398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50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49</v>
      </c>
      <c r="B17" s="7">
        <v>207.86312798458664</v>
      </c>
      <c r="C17" s="7">
        <v>442.25309720077678</v>
      </c>
      <c r="D17" s="7">
        <v>1209.7063079856221</v>
      </c>
      <c r="E17" s="7">
        <v>1094.7209779007746</v>
      </c>
      <c r="F17" s="7">
        <v>432.38830946264642</v>
      </c>
      <c r="G17" s="7">
        <v>926.40857722358226</v>
      </c>
      <c r="H17" s="7">
        <v>565.43083486123749</v>
      </c>
      <c r="I17" s="7">
        <v>303.90659391835385</v>
      </c>
      <c r="J17" s="7">
        <v>1329.4790240222717</v>
      </c>
      <c r="K17" s="8">
        <v>6512.1568505598534</v>
      </c>
    </row>
    <row r="18" spans="1:12" x14ac:dyDescent="0.2">
      <c r="A18" s="5" t="s">
        <v>10</v>
      </c>
      <c r="B18" s="7">
        <v>18.598395542278794</v>
      </c>
      <c r="C18" s="7">
        <v>38.709925894062629</v>
      </c>
      <c r="D18" s="7">
        <v>104.64892709231781</v>
      </c>
      <c r="E18" s="7">
        <v>96.975829914902249</v>
      </c>
      <c r="F18" s="7">
        <v>36.7894074477882</v>
      </c>
      <c r="G18" s="7">
        <v>80.046753927415523</v>
      </c>
      <c r="H18" s="7">
        <v>46.724274834430098</v>
      </c>
      <c r="I18" s="7">
        <v>25.994499847915471</v>
      </c>
      <c r="J18" s="7">
        <v>131.47060538350229</v>
      </c>
      <c r="K18" s="8">
        <v>579.95861988461309</v>
      </c>
    </row>
    <row r="19" spans="1:12" x14ac:dyDescent="0.2">
      <c r="A19" s="9" t="s">
        <v>11</v>
      </c>
      <c r="B19" s="10">
        <v>226.46152352686545</v>
      </c>
      <c r="C19" s="10">
        <v>480.9630230948394</v>
      </c>
      <c r="D19" s="10">
        <v>1314.3552350779398</v>
      </c>
      <c r="E19" s="10">
        <v>1191.6968078156769</v>
      </c>
      <c r="F19" s="10">
        <v>469.17771691043464</v>
      </c>
      <c r="G19" s="10">
        <v>1006.4553311509978</v>
      </c>
      <c r="H19" s="10">
        <v>612.15510969566753</v>
      </c>
      <c r="I19" s="10">
        <v>329.9010937662693</v>
      </c>
      <c r="J19" s="10">
        <v>1460.949629405774</v>
      </c>
      <c r="K19" s="10">
        <v>7092.1154704444662</v>
      </c>
    </row>
    <row r="20" spans="1:12" x14ac:dyDescent="0.2">
      <c r="A20" s="9" t="s">
        <v>12</v>
      </c>
      <c r="B20" s="7">
        <v>0</v>
      </c>
      <c r="C20" s="7">
        <v>1.3209960000000001</v>
      </c>
      <c r="D20" s="7">
        <v>1.930396</v>
      </c>
      <c r="E20" s="7">
        <v>1.4464030000000001</v>
      </c>
      <c r="F20" s="7">
        <v>1.0178099999999999</v>
      </c>
      <c r="G20" s="7">
        <v>1.399796</v>
      </c>
      <c r="H20" s="7">
        <v>2.6749849999999999</v>
      </c>
      <c r="I20" s="7">
        <v>2.2261069999999998</v>
      </c>
      <c r="J20" s="7">
        <v>3.8940349999999997</v>
      </c>
      <c r="K20" s="8">
        <v>15.910528000000001</v>
      </c>
      <c r="L20" s="11"/>
    </row>
    <row r="21" spans="1:12" x14ac:dyDescent="0.2">
      <c r="A21" s="3" t="s">
        <v>11</v>
      </c>
      <c r="B21" s="10">
        <f>B19+B20</f>
        <v>226.46152352686545</v>
      </c>
      <c r="C21" s="10">
        <f t="shared" ref="C21:K21" si="1">C19+C20</f>
        <v>482.28401909483938</v>
      </c>
      <c r="D21" s="10">
        <f t="shared" si="1"/>
        <v>1316.2856310779398</v>
      </c>
      <c r="E21" s="10">
        <f t="shared" si="1"/>
        <v>1193.1432108156769</v>
      </c>
      <c r="F21" s="10">
        <f t="shared" si="1"/>
        <v>470.19552691043464</v>
      </c>
      <c r="G21" s="10">
        <f t="shared" si="1"/>
        <v>1007.8551271509979</v>
      </c>
      <c r="H21" s="10">
        <f t="shared" si="1"/>
        <v>614.83009469566753</v>
      </c>
      <c r="I21" s="10">
        <f t="shared" si="1"/>
        <v>332.12720076626931</v>
      </c>
      <c r="J21" s="10">
        <f t="shared" si="1"/>
        <v>1464.843664405774</v>
      </c>
      <c r="K21" s="10">
        <f t="shared" si="1"/>
        <v>7108.0259984444665</v>
      </c>
      <c r="L21" s="19"/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14</v>
      </c>
      <c r="B26" s="16">
        <v>26.271000000000001</v>
      </c>
      <c r="C26" s="16">
        <v>52.953000000000003</v>
      </c>
      <c r="D26" s="16">
        <v>146.322</v>
      </c>
      <c r="E26" s="16">
        <v>130.33099999999999</v>
      </c>
      <c r="F26" s="16">
        <v>48.779000000000003</v>
      </c>
      <c r="G26" s="16">
        <v>112.01300000000001</v>
      </c>
      <c r="H26" s="16">
        <v>63.750999999999998</v>
      </c>
      <c r="I26" s="16">
        <v>33.237000000000002</v>
      </c>
      <c r="J26" s="16">
        <v>146.732</v>
      </c>
      <c r="K26" s="10">
        <v>760.38900000000001</v>
      </c>
    </row>
    <row r="27" spans="1:12" x14ac:dyDescent="0.2">
      <c r="A27" s="4"/>
      <c r="B27" s="19"/>
      <c r="C27" s="19"/>
      <c r="D27" s="19"/>
      <c r="E27" s="19"/>
      <c r="F27" s="19"/>
      <c r="G27" s="19"/>
      <c r="H27" s="19"/>
      <c r="I27" s="19"/>
      <c r="J27" s="19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49</v>
      </c>
      <c r="B35" s="16">
        <v>6.8661327035596207</v>
      </c>
      <c r="C35" s="16">
        <v>23.287290798180656</v>
      </c>
      <c r="D35" s="16">
        <v>41.62164674792529</v>
      </c>
      <c r="E35" s="16">
        <v>39.982546006716241</v>
      </c>
      <c r="F35" s="16">
        <v>25.836393957586026</v>
      </c>
      <c r="G35" s="16">
        <v>35.868348326858772</v>
      </c>
      <c r="H35" s="16">
        <v>39.776973171280332</v>
      </c>
      <c r="I35" s="16">
        <v>13.186812150429278</v>
      </c>
      <c r="J35" s="16">
        <v>47.670970052019541</v>
      </c>
      <c r="K35" s="10">
        <v>274.09711391455573</v>
      </c>
    </row>
    <row r="36" spans="1:11" x14ac:dyDescent="0.2">
      <c r="A36" s="5" t="s">
        <v>10</v>
      </c>
      <c r="B36" s="16">
        <v>0.98603156189902907</v>
      </c>
      <c r="C36" s="16">
        <v>3.3442411776024517</v>
      </c>
      <c r="D36" s="16">
        <v>5.9772013043659609</v>
      </c>
      <c r="E36" s="16">
        <v>5.7418133307070418</v>
      </c>
      <c r="F36" s="16">
        <v>3.7103127754332297</v>
      </c>
      <c r="G36" s="16">
        <v>5.1509816443156415</v>
      </c>
      <c r="H36" s="16">
        <v>5.7122914276561669</v>
      </c>
      <c r="I36" s="16">
        <v>1.8937316743697492</v>
      </c>
      <c r="J36" s="16">
        <v>6.8459325048095296</v>
      </c>
      <c r="K36" s="10">
        <v>39.362537401158804</v>
      </c>
    </row>
    <row r="37" spans="1:11" x14ac:dyDescent="0.2">
      <c r="A37" s="17" t="s">
        <v>11</v>
      </c>
      <c r="B37" s="10">
        <v>7.8521642654586499</v>
      </c>
      <c r="C37" s="10">
        <v>26.631531975783108</v>
      </c>
      <c r="D37" s="10">
        <v>47.598848052291252</v>
      </c>
      <c r="E37" s="10">
        <v>45.72435933742328</v>
      </c>
      <c r="F37" s="10">
        <v>29.546706733019256</v>
      </c>
      <c r="G37" s="10">
        <v>41.019329971174415</v>
      </c>
      <c r="H37" s="10">
        <v>45.489264598936501</v>
      </c>
      <c r="I37" s="10">
        <v>15.080543824799026</v>
      </c>
      <c r="J37" s="10">
        <v>54.516902556829073</v>
      </c>
      <c r="K37" s="10">
        <v>313.45965131571455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49</v>
      </c>
      <c r="B42" s="16">
        <v>6.8010052644750268E-2</v>
      </c>
      <c r="C42" s="16">
        <v>0.58730714953390295</v>
      </c>
      <c r="D42" s="16">
        <v>8.3404531510354332</v>
      </c>
      <c r="E42" s="16">
        <v>4.1774310302470345</v>
      </c>
      <c r="F42" s="16">
        <v>2.8454714398909506</v>
      </c>
      <c r="G42" s="16">
        <v>1.4293638182964463</v>
      </c>
      <c r="H42" s="16">
        <v>0.62073581947793266</v>
      </c>
      <c r="I42" s="16">
        <v>0.45935603354123711</v>
      </c>
      <c r="J42" s="16">
        <v>39.107509339866439</v>
      </c>
      <c r="K42" s="16">
        <v>57.635637834534123</v>
      </c>
    </row>
    <row r="43" spans="1:11" x14ac:dyDescent="0.2">
      <c r="A43" s="5" t="s">
        <v>10</v>
      </c>
      <c r="B43" s="16">
        <v>-3.5790348670045459E-4</v>
      </c>
      <c r="C43" s="16">
        <v>-3.090708923286133E-3</v>
      </c>
      <c r="D43" s="16">
        <v>-4.3891706407139276E-2</v>
      </c>
      <c r="E43" s="16">
        <v>-2.1983766708515175E-2</v>
      </c>
      <c r="F43" s="16">
        <v>-1.497431791389967E-2</v>
      </c>
      <c r="G43" s="16">
        <v>-7.5220393815012441E-3</v>
      </c>
      <c r="H43" s="16">
        <v>-3.2666275862403785E-3</v>
      </c>
      <c r="I43" s="16">
        <v>-2.4173650754259271E-3</v>
      </c>
      <c r="J43" s="16">
        <v>-0.20580360409393872</v>
      </c>
      <c r="K43" s="16">
        <v>-0.30330803957664698</v>
      </c>
    </row>
    <row r="44" spans="1:11" x14ac:dyDescent="0.2">
      <c r="A44" s="17" t="s">
        <v>11</v>
      </c>
      <c r="B44" s="10">
        <v>6.7652149158049818E-2</v>
      </c>
      <c r="C44" s="10">
        <v>0.58421644061061684</v>
      </c>
      <c r="D44" s="10">
        <v>8.2965614446282938</v>
      </c>
      <c r="E44" s="10">
        <v>4.1554472635385196</v>
      </c>
      <c r="F44" s="10">
        <v>2.8304971219770509</v>
      </c>
      <c r="G44" s="10">
        <v>1.4218417789149451</v>
      </c>
      <c r="H44" s="10">
        <v>0.61746919189169225</v>
      </c>
      <c r="I44" s="10">
        <v>0.45693866846581116</v>
      </c>
      <c r="J44" s="10">
        <v>38.901705735772502</v>
      </c>
      <c r="K44" s="10">
        <v>57.332329794957481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49</v>
      </c>
      <c r="B49" s="16">
        <v>0.49788415697137656</v>
      </c>
      <c r="C49" s="16">
        <v>1.0034203709579093</v>
      </c>
      <c r="D49" s="16">
        <v>2.7727567609602715</v>
      </c>
      <c r="E49" s="16">
        <v>2.4696036432948936</v>
      </c>
      <c r="F49" s="16">
        <v>0.92435808379029538</v>
      </c>
      <c r="G49" s="16">
        <v>2.1225274313655373</v>
      </c>
      <c r="H49" s="16">
        <v>1.2080850932807699</v>
      </c>
      <c r="I49" s="16">
        <v>0.62977003228698236</v>
      </c>
      <c r="J49" s="16">
        <v>2.7805038857254991</v>
      </c>
      <c r="K49" s="16">
        <v>14.408909458633536</v>
      </c>
    </row>
    <row r="50" spans="1:11" x14ac:dyDescent="0.2">
      <c r="A50" s="5" t="s">
        <v>10</v>
      </c>
      <c r="B50" s="16">
        <v>-1.1710041775635793E-3</v>
      </c>
      <c r="C50" s="16">
        <v>-2.3681104048322928E-3</v>
      </c>
      <c r="D50" s="16">
        <v>-6.3712388509577786E-3</v>
      </c>
      <c r="E50" s="16">
        <v>-5.7645845049375394E-3</v>
      </c>
      <c r="F50" s="16">
        <v>-2.0852459764856448E-3</v>
      </c>
      <c r="G50" s="16">
        <v>-5.1215005509565514E-3</v>
      </c>
      <c r="H50" s="16">
        <v>-2.7295619748797227E-3</v>
      </c>
      <c r="I50" s="16">
        <v>-1.4329411427397732E-3</v>
      </c>
      <c r="J50" s="16">
        <v>-6.6567057029423777E-3</v>
      </c>
      <c r="K50" s="16">
        <v>-3.3700893286295261E-2</v>
      </c>
    </row>
    <row r="51" spans="1:11" x14ac:dyDescent="0.2">
      <c r="A51" s="17" t="s">
        <v>11</v>
      </c>
      <c r="B51" s="10">
        <v>0.49671315279381295</v>
      </c>
      <c r="C51" s="10">
        <v>1.0010522605530769</v>
      </c>
      <c r="D51" s="10">
        <v>2.7663855221093137</v>
      </c>
      <c r="E51" s="10">
        <v>2.4638390587899561</v>
      </c>
      <c r="F51" s="10">
        <v>0.92227283781380975</v>
      </c>
      <c r="G51" s="10">
        <v>2.1174059308145807</v>
      </c>
      <c r="H51" s="10">
        <v>1.2053555313058901</v>
      </c>
      <c r="I51" s="10">
        <v>0.62833709114424263</v>
      </c>
      <c r="J51" s="10">
        <v>2.7738471800225568</v>
      </c>
      <c r="K51" s="10">
        <v>14.37520856534724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51</v>
      </c>
    </row>
    <row r="2" spans="1:12" x14ac:dyDescent="0.2">
      <c r="A2" s="2"/>
    </row>
    <row r="5" spans="1:12" x14ac:dyDescent="0.2">
      <c r="A5" s="3" t="s">
        <v>52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53</v>
      </c>
      <c r="B8" s="7">
        <v>153.55143666918329</v>
      </c>
      <c r="C8" s="7">
        <v>379.14314777688304</v>
      </c>
      <c r="D8" s="7">
        <v>964.16564775211509</v>
      </c>
      <c r="E8" s="7">
        <v>927.08612766801787</v>
      </c>
      <c r="F8" s="7">
        <v>403.50596293093741</v>
      </c>
      <c r="G8" s="7">
        <v>751.21101766208972</v>
      </c>
      <c r="H8" s="7">
        <v>500.58955429504363</v>
      </c>
      <c r="I8" s="7">
        <v>274.53460130459672</v>
      </c>
      <c r="J8" s="7">
        <v>1518.0356233890736</v>
      </c>
      <c r="K8" s="8">
        <v>5871.8231194479404</v>
      </c>
    </row>
    <row r="9" spans="1:12" x14ac:dyDescent="0.2">
      <c r="A9" s="5" t="s">
        <v>10</v>
      </c>
      <c r="B9" s="7">
        <v>6.7449687848539037</v>
      </c>
      <c r="C9" s="7">
        <v>15.635850947118131</v>
      </c>
      <c r="D9" s="7">
        <v>40.127100372329352</v>
      </c>
      <c r="E9" s="7">
        <v>32.443048757921439</v>
      </c>
      <c r="F9" s="7">
        <v>15.84609161455225</v>
      </c>
      <c r="G9" s="7">
        <v>32.015389421219936</v>
      </c>
      <c r="H9" s="7">
        <v>20.081789420206739</v>
      </c>
      <c r="I9" s="7">
        <v>11.121279916498926</v>
      </c>
      <c r="J9" s="7">
        <v>54.295553657566195</v>
      </c>
      <c r="K9" s="8">
        <v>228.31107289226688</v>
      </c>
    </row>
    <row r="10" spans="1:12" x14ac:dyDescent="0.2">
      <c r="A10" s="9" t="s">
        <v>11</v>
      </c>
      <c r="B10" s="10">
        <v>160.2964054540372</v>
      </c>
      <c r="C10" s="10">
        <v>394.77899872400116</v>
      </c>
      <c r="D10" s="10">
        <v>1004.2927481244444</v>
      </c>
      <c r="E10" s="10">
        <v>959.52917642593934</v>
      </c>
      <c r="F10" s="10">
        <v>419.35205454548964</v>
      </c>
      <c r="G10" s="10">
        <v>783.2264070833096</v>
      </c>
      <c r="H10" s="10">
        <v>520.67134371525037</v>
      </c>
      <c r="I10" s="10">
        <v>285.65588122109563</v>
      </c>
      <c r="J10" s="10">
        <v>1572.3311770466398</v>
      </c>
      <c r="K10" s="10">
        <v>6100.1341923402069</v>
      </c>
    </row>
    <row r="11" spans="1:12" x14ac:dyDescent="0.2">
      <c r="A11" s="9" t="s">
        <v>12</v>
      </c>
      <c r="B11" s="7">
        <v>0</v>
      </c>
      <c r="C11" s="7">
        <v>1.475822</v>
      </c>
      <c r="D11" s="7">
        <v>2.0416889999999999</v>
      </c>
      <c r="E11" s="7">
        <v>1.5922780000000001</v>
      </c>
      <c r="F11" s="7">
        <v>1.3111199999999998</v>
      </c>
      <c r="G11" s="7">
        <v>1.443111</v>
      </c>
      <c r="H11" s="7">
        <v>3.3045949999999999</v>
      </c>
      <c r="I11" s="7">
        <v>2.4977460000000002</v>
      </c>
      <c r="J11" s="7">
        <v>4.3422700000000001</v>
      </c>
      <c r="K11" s="8">
        <v>18.008631000000001</v>
      </c>
      <c r="L11" s="11"/>
    </row>
    <row r="12" spans="1:12" x14ac:dyDescent="0.2">
      <c r="A12" s="3" t="s">
        <v>11</v>
      </c>
      <c r="B12" s="10">
        <f>B10+B11</f>
        <v>160.2964054540372</v>
      </c>
      <c r="C12" s="10">
        <f t="shared" ref="C12:K12" si="0">C10+C11</f>
        <v>396.25482072400115</v>
      </c>
      <c r="D12" s="10">
        <f t="shared" si="0"/>
        <v>1006.3344371244444</v>
      </c>
      <c r="E12" s="10">
        <f t="shared" si="0"/>
        <v>961.12145442593931</v>
      </c>
      <c r="F12" s="10">
        <f t="shared" si="0"/>
        <v>420.66317454548965</v>
      </c>
      <c r="G12" s="10">
        <f t="shared" si="0"/>
        <v>784.66951808330964</v>
      </c>
      <c r="H12" s="10">
        <f t="shared" si="0"/>
        <v>523.97593871525032</v>
      </c>
      <c r="I12" s="10">
        <f t="shared" si="0"/>
        <v>288.15362722109563</v>
      </c>
      <c r="J12" s="10">
        <f t="shared" si="0"/>
        <v>1576.6734470466399</v>
      </c>
      <c r="K12" s="10">
        <f t="shared" si="0"/>
        <v>6118.1428233402066</v>
      </c>
      <c r="L12" s="12"/>
    </row>
    <row r="13" spans="1:12" x14ac:dyDescent="0.2">
      <c r="A13" s="5"/>
      <c r="B13" s="25"/>
      <c r="C13" s="25"/>
      <c r="D13" s="25"/>
      <c r="E13" s="25"/>
      <c r="F13" s="25"/>
      <c r="G13" s="25"/>
      <c r="H13" s="25"/>
      <c r="I13" s="25"/>
      <c r="J13" s="25"/>
      <c r="K13" s="25"/>
    </row>
    <row r="14" spans="1:12" x14ac:dyDescent="0.2">
      <c r="A14" s="3" t="s">
        <v>54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53</v>
      </c>
      <c r="B17" s="7">
        <v>208.54439999811916</v>
      </c>
      <c r="C17" s="7">
        <v>444.72906603195185</v>
      </c>
      <c r="D17" s="7">
        <v>1219.6318515869041</v>
      </c>
      <c r="E17" s="7">
        <v>1100.6627703158854</v>
      </c>
      <c r="F17" s="7">
        <v>440.86581063339605</v>
      </c>
      <c r="G17" s="7">
        <v>934.8762573272644</v>
      </c>
      <c r="H17" s="7">
        <v>569.62518066923269</v>
      </c>
      <c r="I17" s="7">
        <v>306.7167048482799</v>
      </c>
      <c r="J17" s="7">
        <v>1338.446758912879</v>
      </c>
      <c r="K17" s="8">
        <v>6564.0988003239117</v>
      </c>
    </row>
    <row r="18" spans="1:12" x14ac:dyDescent="0.2">
      <c r="A18" s="5" t="s">
        <v>10</v>
      </c>
      <c r="B18" s="7">
        <v>15.828664772399817</v>
      </c>
      <c r="C18" s="7">
        <v>33.509542810020733</v>
      </c>
      <c r="D18" s="7">
        <v>89.313757719126997</v>
      </c>
      <c r="E18" s="7">
        <v>83.273698690736438</v>
      </c>
      <c r="F18" s="7">
        <v>31.89865336847253</v>
      </c>
      <c r="G18" s="7">
        <v>70.802018256894428</v>
      </c>
      <c r="H18" s="7">
        <v>41.157602228466303</v>
      </c>
      <c r="I18" s="7">
        <v>22.434217245927428</v>
      </c>
      <c r="J18" s="7">
        <v>92.974144116444748</v>
      </c>
      <c r="K18" s="8">
        <v>481.19229920848943</v>
      </c>
    </row>
    <row r="19" spans="1:12" x14ac:dyDescent="0.2">
      <c r="A19" s="9" t="s">
        <v>11</v>
      </c>
      <c r="B19" s="10">
        <v>224.37306477051897</v>
      </c>
      <c r="C19" s="10">
        <v>478.23860884197256</v>
      </c>
      <c r="D19" s="10">
        <v>1308.945609306031</v>
      </c>
      <c r="E19" s="10">
        <v>1183.9364690066218</v>
      </c>
      <c r="F19" s="10">
        <v>472.76446400186859</v>
      </c>
      <c r="G19" s="10">
        <v>1005.6782755841589</v>
      </c>
      <c r="H19" s="10">
        <v>610.78278289769901</v>
      </c>
      <c r="I19" s="10">
        <v>329.15092209420732</v>
      </c>
      <c r="J19" s="10">
        <v>1431.4209030293237</v>
      </c>
      <c r="K19" s="10">
        <v>7045.2910995324009</v>
      </c>
    </row>
    <row r="20" spans="1:12" x14ac:dyDescent="0.2">
      <c r="A20" s="9" t="s">
        <v>12</v>
      </c>
      <c r="B20" s="7">
        <v>0</v>
      </c>
      <c r="C20" s="7">
        <v>1.2583219999999999</v>
      </c>
      <c r="D20" s="7">
        <v>1.8241890000000001</v>
      </c>
      <c r="E20" s="7">
        <v>1.3747780000000001</v>
      </c>
      <c r="F20" s="7">
        <v>0.98497699999999999</v>
      </c>
      <c r="G20" s="7">
        <v>1.225611</v>
      </c>
      <c r="H20" s="7">
        <v>2.6520929999999998</v>
      </c>
      <c r="I20" s="7">
        <v>2.0627440000000004</v>
      </c>
      <c r="J20" s="7">
        <v>4.1247700000000007</v>
      </c>
      <c r="K20" s="8">
        <v>15.507484</v>
      </c>
      <c r="L20" s="11"/>
    </row>
    <row r="21" spans="1:12" x14ac:dyDescent="0.2">
      <c r="A21" s="3" t="s">
        <v>11</v>
      </c>
      <c r="B21" s="10">
        <f>B19+B20</f>
        <v>224.37306477051897</v>
      </c>
      <c r="C21" s="10">
        <f t="shared" ref="C21:K21" si="1">C19+C20</f>
        <v>479.49693084197258</v>
      </c>
      <c r="D21" s="10">
        <f t="shared" si="1"/>
        <v>1310.7697983060309</v>
      </c>
      <c r="E21" s="10">
        <f t="shared" si="1"/>
        <v>1185.3112470066219</v>
      </c>
      <c r="F21" s="10">
        <f t="shared" si="1"/>
        <v>473.7494410018686</v>
      </c>
      <c r="G21" s="10">
        <f t="shared" si="1"/>
        <v>1006.9038865841588</v>
      </c>
      <c r="H21" s="10">
        <f t="shared" si="1"/>
        <v>613.43487589769904</v>
      </c>
      <c r="I21" s="10">
        <f t="shared" si="1"/>
        <v>331.21366609420733</v>
      </c>
      <c r="J21" s="10">
        <f t="shared" si="1"/>
        <v>1435.5456730293236</v>
      </c>
      <c r="K21" s="10">
        <f t="shared" si="1"/>
        <v>7060.7985835324007</v>
      </c>
      <c r="L21" s="19"/>
    </row>
    <row r="22" spans="1:12" x14ac:dyDescent="0.2">
      <c r="A22" s="4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 t="s">
        <v>0</v>
      </c>
      <c r="C25" s="14" t="s">
        <v>1</v>
      </c>
      <c r="D25" s="14" t="s">
        <v>2</v>
      </c>
      <c r="E25" s="14" t="s">
        <v>3</v>
      </c>
      <c r="F25" s="14" t="s">
        <v>4</v>
      </c>
      <c r="G25" s="14" t="s">
        <v>5</v>
      </c>
      <c r="H25" s="14" t="s">
        <v>6</v>
      </c>
      <c r="I25" s="14" t="s">
        <v>7</v>
      </c>
      <c r="J25" s="14" t="s">
        <v>8</v>
      </c>
      <c r="K25" s="14" t="s">
        <v>9</v>
      </c>
    </row>
    <row r="26" spans="1:12" x14ac:dyDescent="0.2">
      <c r="A26" s="4" t="s">
        <v>14</v>
      </c>
      <c r="B26" s="16">
        <v>24.148671</v>
      </c>
      <c r="C26" s="16">
        <v>48.674771999999997</v>
      </c>
      <c r="D26" s="16">
        <v>134.49865499999999</v>
      </c>
      <c r="E26" s="16">
        <v>119.799769</v>
      </c>
      <c r="F26" s="16">
        <v>44.837544999999999</v>
      </c>
      <c r="G26" s="16">
        <v>102.96210000000001</v>
      </c>
      <c r="H26" s="16">
        <v>58.599839999999993</v>
      </c>
      <c r="I26" s="16">
        <v>30.551038000000002</v>
      </c>
      <c r="J26" s="16">
        <v>134.87608799999998</v>
      </c>
      <c r="K26" s="10">
        <v>698.94847799999991</v>
      </c>
    </row>
    <row r="27" spans="1:12" x14ac:dyDescent="0.2">
      <c r="A27" s="4"/>
      <c r="B27" s="19"/>
      <c r="C27" s="19"/>
      <c r="D27" s="19"/>
      <c r="E27" s="19"/>
      <c r="F27" s="19"/>
      <c r="G27" s="19"/>
      <c r="H27" s="19"/>
      <c r="I27" s="19"/>
      <c r="J27" s="19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 t="s">
        <v>0</v>
      </c>
      <c r="C34" s="6" t="s">
        <v>1</v>
      </c>
      <c r="D34" s="6" t="s">
        <v>2</v>
      </c>
      <c r="E34" s="6" t="s">
        <v>3</v>
      </c>
      <c r="F34" s="6" t="s">
        <v>4</v>
      </c>
      <c r="G34" s="6" t="s">
        <v>5</v>
      </c>
      <c r="H34" s="6" t="s">
        <v>6</v>
      </c>
      <c r="I34" s="6" t="s">
        <v>7</v>
      </c>
      <c r="J34" s="6" t="s">
        <v>8</v>
      </c>
      <c r="K34" s="6" t="s">
        <v>9</v>
      </c>
    </row>
    <row r="35" spans="1:11" x14ac:dyDescent="0.2">
      <c r="A35" s="5" t="s">
        <v>53</v>
      </c>
      <c r="B35" s="16">
        <v>7.0700660878647561</v>
      </c>
      <c r="C35" s="16">
        <v>23.978954683632324</v>
      </c>
      <c r="D35" s="16">
        <v>42.857865686317901</v>
      </c>
      <c r="E35" s="16">
        <v>41.170081446580113</v>
      </c>
      <c r="F35" s="16">
        <v>26.603769638408462</v>
      </c>
      <c r="G35" s="16">
        <v>36.933686557204879</v>
      </c>
      <c r="H35" s="16">
        <v>40.958402821194952</v>
      </c>
      <c r="I35" s="16">
        <v>13.578478223040856</v>
      </c>
      <c r="J35" s="16">
        <v>49.086862035985561</v>
      </c>
      <c r="K35" s="10">
        <v>282.23816718022982</v>
      </c>
    </row>
    <row r="36" spans="1:11" x14ac:dyDescent="0.2">
      <c r="A36" s="5" t="s">
        <v>10</v>
      </c>
      <c r="B36" s="16">
        <v>0.90831471615352166</v>
      </c>
      <c r="C36" s="16">
        <v>3.0806554205350549</v>
      </c>
      <c r="D36" s="16">
        <v>5.5060914031102657</v>
      </c>
      <c r="E36" s="16">
        <v>5.2892561934257172</v>
      </c>
      <c r="F36" s="16">
        <v>3.4178740576698985</v>
      </c>
      <c r="G36" s="16">
        <v>4.7449925651037779</v>
      </c>
      <c r="H36" s="16">
        <v>5.2620611420438728</v>
      </c>
      <c r="I36" s="16">
        <v>1.7444718959738874</v>
      </c>
      <c r="J36" s="16">
        <v>6.3063511151065974</v>
      </c>
      <c r="K36" s="10">
        <v>36.26006850912259</v>
      </c>
    </row>
    <row r="37" spans="1:11" x14ac:dyDescent="0.2">
      <c r="A37" s="17" t="s">
        <v>11</v>
      </c>
      <c r="B37" s="10">
        <v>7.9783808040182773</v>
      </c>
      <c r="C37" s="10">
        <v>27.05961010416738</v>
      </c>
      <c r="D37" s="10">
        <v>48.363957089428169</v>
      </c>
      <c r="E37" s="10">
        <v>46.459337640005828</v>
      </c>
      <c r="F37" s="10">
        <v>30.02164369607836</v>
      </c>
      <c r="G37" s="10">
        <v>41.678679122308658</v>
      </c>
      <c r="H37" s="10">
        <v>46.220463963238828</v>
      </c>
      <c r="I37" s="10">
        <v>15.322950119014743</v>
      </c>
      <c r="J37" s="10">
        <v>55.393213151092155</v>
      </c>
      <c r="K37" s="10">
        <v>318.49823568935244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53</v>
      </c>
      <c r="B42" s="16">
        <v>6.1581878581412161E-2</v>
      </c>
      <c r="C42" s="16">
        <v>0.53179605317338108</v>
      </c>
      <c r="D42" s="16">
        <v>7.5521302114543651</v>
      </c>
      <c r="E42" s="16">
        <v>3.7825886098141983</v>
      </c>
      <c r="F42" s="16">
        <v>2.5765231742070491</v>
      </c>
      <c r="G42" s="16">
        <v>1.2942632108635777</v>
      </c>
      <c r="H42" s="16">
        <v>0.56206511213712618</v>
      </c>
      <c r="I42" s="16">
        <v>0.41593862058801262</v>
      </c>
      <c r="J42" s="16">
        <v>35.411145825292863</v>
      </c>
      <c r="K42" s="16">
        <v>52.188032696111982</v>
      </c>
    </row>
    <row r="43" spans="1:11" x14ac:dyDescent="0.2">
      <c r="A43" s="5" t="s">
        <v>10</v>
      </c>
      <c r="B43" s="16">
        <v>5.8823888278064377E-4</v>
      </c>
      <c r="C43" s="16">
        <v>5.0797917080800514E-3</v>
      </c>
      <c r="D43" s="16">
        <v>7.2139024345073272E-2</v>
      </c>
      <c r="E43" s="16">
        <v>3.6131825613509139E-2</v>
      </c>
      <c r="F43" s="16">
        <v>2.4611316646508386E-2</v>
      </c>
      <c r="G43" s="16">
        <v>1.2362986688949149E-2</v>
      </c>
      <c r="H43" s="16">
        <v>5.3689260741927002E-3</v>
      </c>
      <c r="I43" s="16">
        <v>3.9731049964082102E-3</v>
      </c>
      <c r="J43" s="16">
        <v>0.33825231282470486</v>
      </c>
      <c r="K43" s="16">
        <v>0.49850752778020641</v>
      </c>
    </row>
    <row r="44" spans="1:11" x14ac:dyDescent="0.2">
      <c r="A44" s="17" t="s">
        <v>11</v>
      </c>
      <c r="B44" s="10">
        <v>6.2170117464192806E-2</v>
      </c>
      <c r="C44" s="10">
        <v>0.53687584488146112</v>
      </c>
      <c r="D44" s="10">
        <v>7.6242692357994386</v>
      </c>
      <c r="E44" s="10">
        <v>3.8187204354277076</v>
      </c>
      <c r="F44" s="10">
        <v>2.6011344908535574</v>
      </c>
      <c r="G44" s="10">
        <v>1.3066261975525268</v>
      </c>
      <c r="H44" s="10">
        <v>0.56743403821131888</v>
      </c>
      <c r="I44" s="10">
        <v>0.4199117255844208</v>
      </c>
      <c r="J44" s="10">
        <v>35.74939813811757</v>
      </c>
      <c r="K44" s="10">
        <v>52.686540223892194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53</v>
      </c>
      <c r="B49" s="16">
        <v>0.77284310211463836</v>
      </c>
      <c r="C49" s="16">
        <v>1.557564146916036</v>
      </c>
      <c r="D49" s="16">
        <v>4.3040251563438865</v>
      </c>
      <c r="E49" s="16">
        <v>3.8334542562826814</v>
      </c>
      <c r="F49" s="16">
        <v>1.4348393274588669</v>
      </c>
      <c r="G49" s="16">
        <v>3.2947035197070198</v>
      </c>
      <c r="H49" s="16">
        <v>1.8752559567048821</v>
      </c>
      <c r="I49" s="16">
        <v>0.97756359296945594</v>
      </c>
      <c r="J49" s="16">
        <v>4.3160506684076729</v>
      </c>
      <c r="K49" s="16">
        <v>22.366299726905144</v>
      </c>
    </row>
    <row r="50" spans="1:11" x14ac:dyDescent="0.2">
      <c r="A50" s="5" t="s">
        <v>10</v>
      </c>
      <c r="B50" s="16">
        <v>4.3063460306499903E-3</v>
      </c>
      <c r="C50" s="16">
        <v>8.6788769456594538E-3</v>
      </c>
      <c r="D50" s="16">
        <v>2.3982386071798374E-2</v>
      </c>
      <c r="E50" s="16">
        <v>2.1360325886395002E-2</v>
      </c>
      <c r="F50" s="16">
        <v>7.995044046477915E-3</v>
      </c>
      <c r="G50" s="16">
        <v>1.8358361982448515E-2</v>
      </c>
      <c r="H50" s="16">
        <v>1.0449082127423707E-2</v>
      </c>
      <c r="I50" s="16">
        <v>5.4470656291988459E-3</v>
      </c>
      <c r="J50" s="16">
        <v>2.4049393224997401E-2</v>
      </c>
      <c r="K50" s="16">
        <v>0.1246268819450492</v>
      </c>
    </row>
    <row r="51" spans="1:11" x14ac:dyDescent="0.2">
      <c r="A51" s="17" t="s">
        <v>11</v>
      </c>
      <c r="B51" s="10">
        <v>0.7771494481452883</v>
      </c>
      <c r="C51" s="10">
        <v>1.5662430238616953</v>
      </c>
      <c r="D51" s="10">
        <v>4.3280075424156852</v>
      </c>
      <c r="E51" s="10">
        <v>3.8548145821690762</v>
      </c>
      <c r="F51" s="10">
        <v>1.4428343715053449</v>
      </c>
      <c r="G51" s="10">
        <v>3.3130618816894684</v>
      </c>
      <c r="H51" s="10">
        <v>1.8857050388323058</v>
      </c>
      <c r="I51" s="10">
        <v>0.98301065859865477</v>
      </c>
      <c r="J51" s="10">
        <v>4.3401000616326701</v>
      </c>
      <c r="K51" s="10">
        <v>22.490926608850188</v>
      </c>
    </row>
  </sheetData>
  <phoneticPr fontId="0" type="noConversion"/>
  <pageMargins left="0.62" right="0.55000000000000004" top="0.984251969" bottom="0.984251969" header="0.4921259845" footer="0.4921259845"/>
  <pageSetup paperSize="9" scale="97" orientation="portrait" horizontalDpi="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55</v>
      </c>
    </row>
    <row r="2" spans="1:12" x14ac:dyDescent="0.2">
      <c r="A2" s="20"/>
    </row>
    <row r="5" spans="1:12" x14ac:dyDescent="0.2">
      <c r="A5" s="3" t="s">
        <v>21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19</v>
      </c>
      <c r="B8" s="7">
        <v>163.62303770121355</v>
      </c>
      <c r="C8" s="7">
        <v>398.54582939775423</v>
      </c>
      <c r="D8" s="7">
        <v>1016.468771400441</v>
      </c>
      <c r="E8" s="7">
        <v>973.09615691978024</v>
      </c>
      <c r="F8" s="7">
        <v>424.2612073595476</v>
      </c>
      <c r="G8" s="7">
        <v>787.30184235002571</v>
      </c>
      <c r="H8" s="7">
        <v>528.78683934892513</v>
      </c>
      <c r="I8" s="7">
        <v>286.83660629732498</v>
      </c>
      <c r="J8" s="7">
        <v>1596.5447086271568</v>
      </c>
      <c r="K8" s="8">
        <v>6175.4649994021702</v>
      </c>
    </row>
    <row r="9" spans="1:12" x14ac:dyDescent="0.2">
      <c r="A9" s="5" t="s">
        <v>10</v>
      </c>
      <c r="B9" s="7">
        <v>1.4963817391945049</v>
      </c>
      <c r="C9" s="7">
        <v>4.030243948870571</v>
      </c>
      <c r="D9" s="7">
        <v>8.8614596053175632</v>
      </c>
      <c r="E9" s="7">
        <v>8.3225375506408739</v>
      </c>
      <c r="F9" s="7">
        <v>4.6686190557592777</v>
      </c>
      <c r="G9" s="7">
        <v>7.1212437680413716</v>
      </c>
      <c r="H9" s="7">
        <v>5.7053913873221029</v>
      </c>
      <c r="I9" s="7">
        <v>3.1042190501880831</v>
      </c>
      <c r="J9" s="7">
        <v>17.987876679928508</v>
      </c>
      <c r="K9" s="8">
        <v>61.297972785262857</v>
      </c>
    </row>
    <row r="10" spans="1:12" x14ac:dyDescent="0.2">
      <c r="A10" s="9" t="s">
        <v>11</v>
      </c>
      <c r="B10" s="10">
        <v>165.11941944040805</v>
      </c>
      <c r="C10" s="10">
        <v>402.57607334662481</v>
      </c>
      <c r="D10" s="10">
        <v>1025.3302310057586</v>
      </c>
      <c r="E10" s="10">
        <v>981.41869447042109</v>
      </c>
      <c r="F10" s="10">
        <v>428.92982641530688</v>
      </c>
      <c r="G10" s="10">
        <v>794.42308611806709</v>
      </c>
      <c r="H10" s="10">
        <v>534.49223073624728</v>
      </c>
      <c r="I10" s="10">
        <v>289.94082534751306</v>
      </c>
      <c r="J10" s="10">
        <v>1614.5325853070854</v>
      </c>
      <c r="K10" s="10">
        <v>6236.7629721874328</v>
      </c>
    </row>
    <row r="11" spans="1:12" x14ac:dyDescent="0.2">
      <c r="A11" s="9" t="s">
        <v>12</v>
      </c>
      <c r="B11" s="7">
        <v>0</v>
      </c>
      <c r="C11" s="7">
        <v>1.343845</v>
      </c>
      <c r="D11" s="7">
        <v>1.8486279999999999</v>
      </c>
      <c r="E11" s="7">
        <v>1.417483</v>
      </c>
      <c r="F11" s="7">
        <v>1.2346300000000001</v>
      </c>
      <c r="G11" s="7">
        <v>1.3897709999999999</v>
      </c>
      <c r="H11" s="7">
        <v>3.2915070000000002</v>
      </c>
      <c r="I11" s="7">
        <v>2.245943</v>
      </c>
      <c r="J11" s="7">
        <v>3.893113</v>
      </c>
      <c r="K11" s="8">
        <v>16.664920000000002</v>
      </c>
      <c r="L11" s="11"/>
    </row>
    <row r="12" spans="1:12" x14ac:dyDescent="0.2">
      <c r="A12" s="3" t="s">
        <v>11</v>
      </c>
      <c r="B12" s="10">
        <f>B10+B11</f>
        <v>165.11941944040805</v>
      </c>
      <c r="C12" s="10">
        <f t="shared" ref="C12:K12" si="0">C10+C11</f>
        <v>403.9199183466248</v>
      </c>
      <c r="D12" s="10">
        <f t="shared" si="0"/>
        <v>1027.1788590057586</v>
      </c>
      <c r="E12" s="10">
        <f t="shared" si="0"/>
        <v>982.83617747042103</v>
      </c>
      <c r="F12" s="10">
        <f t="shared" si="0"/>
        <v>430.16445641530686</v>
      </c>
      <c r="G12" s="10">
        <f t="shared" si="0"/>
        <v>795.81285711806709</v>
      </c>
      <c r="H12" s="10">
        <f t="shared" si="0"/>
        <v>537.7837377362473</v>
      </c>
      <c r="I12" s="10">
        <f t="shared" si="0"/>
        <v>292.18676834751307</v>
      </c>
      <c r="J12" s="10">
        <f t="shared" si="0"/>
        <v>1618.4256983070854</v>
      </c>
      <c r="K12" s="10">
        <f t="shared" si="0"/>
        <v>6253.4278921874329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22"/>
    </row>
    <row r="14" spans="1:12" x14ac:dyDescent="0.2">
      <c r="A14" s="3" t="s">
        <v>20</v>
      </c>
      <c r="B14" s="12"/>
      <c r="C14" s="12"/>
      <c r="D14" s="12"/>
      <c r="E14" s="12"/>
      <c r="F14" s="12"/>
      <c r="G14" s="12"/>
      <c r="H14" s="12"/>
      <c r="I14" s="12"/>
      <c r="J14" s="12"/>
      <c r="K14" s="22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22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23" t="s">
        <v>9</v>
      </c>
    </row>
    <row r="17" spans="1:12" x14ac:dyDescent="0.2">
      <c r="A17" s="5" t="s">
        <v>19</v>
      </c>
      <c r="B17" s="7">
        <v>220.49911640846292</v>
      </c>
      <c r="C17" s="7">
        <v>469.31779046328251</v>
      </c>
      <c r="D17" s="7">
        <v>1279.7363419174305</v>
      </c>
      <c r="E17" s="7">
        <v>1159.4301898567785</v>
      </c>
      <c r="F17" s="7">
        <v>456.04774904935772</v>
      </c>
      <c r="G17" s="7">
        <v>982.78412179595625</v>
      </c>
      <c r="H17" s="7">
        <v>597.34310340967011</v>
      </c>
      <c r="I17" s="7">
        <v>321.51039866236187</v>
      </c>
      <c r="J17" s="7">
        <v>1398.1990863057492</v>
      </c>
      <c r="K17" s="8">
        <v>6884.8678978690505</v>
      </c>
    </row>
    <row r="18" spans="1:12" x14ac:dyDescent="0.2">
      <c r="A18" s="5" t="s">
        <v>10</v>
      </c>
      <c r="B18" s="7">
        <v>6.1591998853147381</v>
      </c>
      <c r="C18" s="7">
        <v>12.62927455323632</v>
      </c>
      <c r="D18" s="7">
        <v>28.754861685137033</v>
      </c>
      <c r="E18" s="7">
        <v>31.370939400303875</v>
      </c>
      <c r="F18" s="7">
        <v>7.9677032226147713</v>
      </c>
      <c r="G18" s="7">
        <v>22.980520487891162</v>
      </c>
      <c r="H18" s="7">
        <v>13.949134579592734</v>
      </c>
      <c r="I18" s="7">
        <v>8.1667440469755679</v>
      </c>
      <c r="J18" s="7">
        <v>27.927742736475544</v>
      </c>
      <c r="K18" s="8">
        <v>159.90612059754173</v>
      </c>
    </row>
    <row r="19" spans="1:12" x14ac:dyDescent="0.2">
      <c r="A19" s="9" t="s">
        <v>11</v>
      </c>
      <c r="B19" s="10">
        <v>226.65831629377766</v>
      </c>
      <c r="C19" s="10">
        <v>481.94706501651882</v>
      </c>
      <c r="D19" s="10">
        <v>1308.4912036025676</v>
      </c>
      <c r="E19" s="10">
        <v>1190.8011292570823</v>
      </c>
      <c r="F19" s="10">
        <v>464.01545227197249</v>
      </c>
      <c r="G19" s="10">
        <v>1005.7646422838474</v>
      </c>
      <c r="H19" s="10">
        <v>611.29223798926284</v>
      </c>
      <c r="I19" s="10">
        <v>329.67714270933743</v>
      </c>
      <c r="J19" s="10">
        <v>1426.1268290422247</v>
      </c>
      <c r="K19" s="10">
        <v>7044.7740184665918</v>
      </c>
    </row>
    <row r="20" spans="1:12" x14ac:dyDescent="0.2">
      <c r="A20" s="9" t="s">
        <v>12</v>
      </c>
      <c r="B20" s="7">
        <v>0</v>
      </c>
      <c r="C20" s="7">
        <v>1.1263449999999999</v>
      </c>
      <c r="D20" s="7">
        <v>1.6311279999999999</v>
      </c>
      <c r="E20" s="7">
        <v>1.199983</v>
      </c>
      <c r="F20" s="7">
        <v>0.93418400000000001</v>
      </c>
      <c r="G20" s="7">
        <v>1.1722710000000001</v>
      </c>
      <c r="H20" s="7">
        <v>2.639005</v>
      </c>
      <c r="I20" s="7">
        <v>1.810943</v>
      </c>
      <c r="J20" s="7">
        <v>3.6756129999999998</v>
      </c>
      <c r="K20" s="8">
        <v>14.189472</v>
      </c>
      <c r="L20" s="21"/>
    </row>
    <row r="21" spans="1:12" x14ac:dyDescent="0.2">
      <c r="A21" s="3" t="s">
        <v>11</v>
      </c>
      <c r="B21" s="10">
        <f>B19+B20</f>
        <v>226.65831629377766</v>
      </c>
      <c r="C21" s="10">
        <f t="shared" ref="C21:K21" si="1">C19+C20</f>
        <v>483.07341001651884</v>
      </c>
      <c r="D21" s="10">
        <f t="shared" si="1"/>
        <v>1310.1223316025676</v>
      </c>
      <c r="E21" s="10">
        <f t="shared" si="1"/>
        <v>1192.0011122570822</v>
      </c>
      <c r="F21" s="10">
        <f t="shared" si="1"/>
        <v>464.94963627197251</v>
      </c>
      <c r="G21" s="10">
        <f t="shared" si="1"/>
        <v>1006.9369132838474</v>
      </c>
      <c r="H21" s="10">
        <f t="shared" si="1"/>
        <v>613.93124298926284</v>
      </c>
      <c r="I21" s="10">
        <f t="shared" si="1"/>
        <v>331.48808570933744</v>
      </c>
      <c r="J21" s="10">
        <f t="shared" si="1"/>
        <v>1429.8024420422248</v>
      </c>
      <c r="K21" s="10">
        <f t="shared" si="1"/>
        <v>7058.9634904665918</v>
      </c>
      <c r="L21" s="19"/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13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2" x14ac:dyDescent="0.2">
      <c r="A26" s="4" t="s">
        <v>14</v>
      </c>
      <c r="B26" s="16">
        <v>25.466000000000001</v>
      </c>
      <c r="C26" s="16">
        <v>51.331000000000003</v>
      </c>
      <c r="D26" s="16">
        <v>141.83699999999999</v>
      </c>
      <c r="E26" s="16">
        <v>126.337</v>
      </c>
      <c r="F26" s="16">
        <v>47.283999999999999</v>
      </c>
      <c r="G26" s="16">
        <v>108.58</v>
      </c>
      <c r="H26" s="16">
        <v>61.796999999999997</v>
      </c>
      <c r="I26" s="16">
        <v>32.218000000000004</v>
      </c>
      <c r="J26" s="16">
        <v>142.23599999999999</v>
      </c>
      <c r="K26" s="10">
        <v>737.08600000000001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2">
      <c r="A35" s="5" t="s">
        <v>19</v>
      </c>
      <c r="B35" s="16">
        <v>7.799877733433731</v>
      </c>
      <c r="C35" s="16">
        <v>26.45419609710698</v>
      </c>
      <c r="D35" s="16">
        <v>47.281893565744987</v>
      </c>
      <c r="E35" s="16">
        <v>45.419886825388353</v>
      </c>
      <c r="F35" s="16">
        <v>29.349959087962613</v>
      </c>
      <c r="G35" s="16">
        <v>40.746187632620284</v>
      </c>
      <c r="H35" s="16">
        <v>45.186357551932254</v>
      </c>
      <c r="I35" s="16">
        <v>14.980124461297272</v>
      </c>
      <c r="J35" s="16">
        <v>54.153881652646483</v>
      </c>
      <c r="K35" s="10">
        <v>311.37236460813295</v>
      </c>
    </row>
    <row r="36" spans="1:11" x14ac:dyDescent="0.2">
      <c r="A36" s="5" t="s">
        <v>10</v>
      </c>
      <c r="B36" s="16">
        <v>8.6432744203136277E-2</v>
      </c>
      <c r="C36" s="16">
        <v>0.29314674441111493</v>
      </c>
      <c r="D36" s="16">
        <v>0.52394459909166469</v>
      </c>
      <c r="E36" s="16">
        <v>0.50331115356932421</v>
      </c>
      <c r="F36" s="16">
        <v>0.325235547648208</v>
      </c>
      <c r="G36" s="16">
        <v>0.45152051522644615</v>
      </c>
      <c r="H36" s="16">
        <v>0.50072334685665554</v>
      </c>
      <c r="I36" s="16">
        <v>0.16599917459532298</v>
      </c>
      <c r="J36" s="16">
        <v>0.6000951246231343</v>
      </c>
      <c r="K36" s="10">
        <v>3.4504089502250075</v>
      </c>
    </row>
    <row r="37" spans="1:11" x14ac:dyDescent="0.2">
      <c r="A37" s="17" t="s">
        <v>11</v>
      </c>
      <c r="B37" s="10">
        <v>7.8863104776368669</v>
      </c>
      <c r="C37" s="10">
        <v>26.747342841518094</v>
      </c>
      <c r="D37" s="10">
        <v>47.805838164836651</v>
      </c>
      <c r="E37" s="10">
        <v>45.923197978957674</v>
      </c>
      <c r="F37" s="10">
        <v>29.675194635610822</v>
      </c>
      <c r="G37" s="10">
        <v>41.197708147846733</v>
      </c>
      <c r="H37" s="10">
        <v>45.687080898788906</v>
      </c>
      <c r="I37" s="10">
        <v>15.146123635892595</v>
      </c>
      <c r="J37" s="10">
        <v>54.753976777269614</v>
      </c>
      <c r="K37" s="10">
        <v>314.82277355835794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19</v>
      </c>
      <c r="B42" s="16">
        <v>5.7489088404824286E-2</v>
      </c>
      <c r="C42" s="16">
        <v>0.49645238207216907</v>
      </c>
      <c r="D42" s="16">
        <v>7.0502084602221364</v>
      </c>
      <c r="E42" s="16">
        <v>3.5311941759166654</v>
      </c>
      <c r="F42" s="16">
        <v>2.4052849953781146</v>
      </c>
      <c r="G42" s="16">
        <v>1.2082452478302053</v>
      </c>
      <c r="H42" s="16">
        <v>0.5247097306101336</v>
      </c>
      <c r="I42" s="16">
        <v>0.3882949445647878</v>
      </c>
      <c r="J42" s="16">
        <v>33.057687419767319</v>
      </c>
      <c r="K42" s="16">
        <v>48.719566444766357</v>
      </c>
    </row>
    <row r="43" spans="1:11" x14ac:dyDescent="0.2">
      <c r="A43" s="5" t="s">
        <v>10</v>
      </c>
      <c r="B43" s="16">
        <v>1.273564188184622E-3</v>
      </c>
      <c r="C43" s="16">
        <v>1.0997982269153795E-2</v>
      </c>
      <c r="D43" s="16">
        <v>0.15618429972220294</v>
      </c>
      <c r="E43" s="16">
        <v>7.8227061321713337E-2</v>
      </c>
      <c r="F43" s="16">
        <v>5.328463048362346E-2</v>
      </c>
      <c r="G43" s="16">
        <v>2.6766433785575146E-2</v>
      </c>
      <c r="H43" s="16">
        <v>1.1623971446396921E-2</v>
      </c>
      <c r="I43" s="16">
        <v>8.6019547286707628E-3</v>
      </c>
      <c r="J43" s="16">
        <v>0.73233178695671808</v>
      </c>
      <c r="K43" s="16">
        <v>1.0792916849022389</v>
      </c>
    </row>
    <row r="44" spans="1:11" x14ac:dyDescent="0.2">
      <c r="A44" s="17" t="s">
        <v>11</v>
      </c>
      <c r="B44" s="10">
        <v>5.8762652593008904E-2</v>
      </c>
      <c r="C44" s="10">
        <v>0.50745036434132285</v>
      </c>
      <c r="D44" s="10">
        <v>7.2063927599443396</v>
      </c>
      <c r="E44" s="10">
        <v>3.6094212372383789</v>
      </c>
      <c r="F44" s="10">
        <v>2.4585696258617382</v>
      </c>
      <c r="G44" s="10">
        <v>1.2350116816157803</v>
      </c>
      <c r="H44" s="10">
        <v>0.53633370205653053</v>
      </c>
      <c r="I44" s="10">
        <v>0.39689689929345856</v>
      </c>
      <c r="J44" s="10">
        <v>33.79001920672404</v>
      </c>
      <c r="K44" s="10">
        <v>49.798858129668602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19</v>
      </c>
      <c r="B49" s="16">
        <v>1.1223010011966048</v>
      </c>
      <c r="C49" s="16">
        <v>2.2618508164578377</v>
      </c>
      <c r="D49" s="16">
        <v>6.250184195114425</v>
      </c>
      <c r="E49" s="16">
        <v>5.5668343782788492</v>
      </c>
      <c r="F49" s="16">
        <v>2.0836332877361756</v>
      </c>
      <c r="G49" s="16">
        <v>4.7844757217806952</v>
      </c>
      <c r="H49" s="16">
        <v>2.7231939211868688</v>
      </c>
      <c r="I49" s="16">
        <v>1.4195903361510895</v>
      </c>
      <c r="J49" s="16">
        <v>6.2676473052750268</v>
      </c>
      <c r="K49" s="16">
        <v>32.479710963177574</v>
      </c>
    </row>
    <row r="50" spans="1:11" x14ac:dyDescent="0.2">
      <c r="A50" s="5" t="s">
        <v>10</v>
      </c>
      <c r="B50" s="16">
        <v>1.5983034629862915E-2</v>
      </c>
      <c r="C50" s="16">
        <v>3.2211714939650395E-2</v>
      </c>
      <c r="D50" s="16">
        <v>8.9010800424328407E-2</v>
      </c>
      <c r="E50" s="16">
        <v>7.9279004965581407E-2</v>
      </c>
      <c r="F50" s="16">
        <v>2.9673664158113296E-2</v>
      </c>
      <c r="G50" s="16">
        <v>6.8137194090913455E-2</v>
      </c>
      <c r="H50" s="16">
        <v>3.8781844353480213E-2</v>
      </c>
      <c r="I50" s="16">
        <v>2.0216823720846717E-2</v>
      </c>
      <c r="J50" s="16">
        <v>8.9259497961036688E-2</v>
      </c>
      <c r="K50" s="16">
        <v>0.46255357924381346</v>
      </c>
    </row>
    <row r="51" spans="1:11" x14ac:dyDescent="0.2">
      <c r="A51" s="17" t="s">
        <v>11</v>
      </c>
      <c r="B51" s="10">
        <v>1.1382840358264676</v>
      </c>
      <c r="C51" s="10">
        <v>2.2940625313974881</v>
      </c>
      <c r="D51" s="10">
        <v>6.3391949955387537</v>
      </c>
      <c r="E51" s="10">
        <v>5.6461133832444306</v>
      </c>
      <c r="F51" s="10">
        <v>2.1133069518942889</v>
      </c>
      <c r="G51" s="10">
        <v>4.8526129158716085</v>
      </c>
      <c r="H51" s="10">
        <v>2.761975765540349</v>
      </c>
      <c r="I51" s="10">
        <v>1.4398071598719362</v>
      </c>
      <c r="J51" s="10">
        <v>6.3569068032360638</v>
      </c>
      <c r="K51" s="10">
        <v>32.942264542421384</v>
      </c>
    </row>
    <row r="53" spans="1:11" x14ac:dyDescent="0.2">
      <c r="A53" s="18"/>
    </row>
    <row r="54" spans="1:11" x14ac:dyDescent="0.2">
      <c r="A54" s="5"/>
      <c r="B54" s="12"/>
      <c r="C54" s="12"/>
      <c r="D54" s="12"/>
      <c r="E54" s="12"/>
      <c r="F54" s="12"/>
      <c r="G54" s="12"/>
      <c r="H54" s="12"/>
      <c r="I54" s="12"/>
      <c r="J54" s="12"/>
      <c r="K54" s="12"/>
    </row>
    <row r="55" spans="1:11" x14ac:dyDescent="0.2">
      <c r="A55" s="5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">
      <c r="A56" s="5"/>
      <c r="B56" s="16"/>
      <c r="C56" s="16"/>
      <c r="D56" s="16"/>
      <c r="E56" s="16"/>
      <c r="F56" s="16"/>
      <c r="G56" s="16"/>
      <c r="H56" s="16"/>
      <c r="I56" s="16"/>
      <c r="J56" s="16"/>
      <c r="K56" s="10"/>
    </row>
    <row r="57" spans="1:11" x14ac:dyDescent="0.2">
      <c r="A57" s="5"/>
      <c r="B57" s="16"/>
      <c r="C57" s="16"/>
      <c r="D57" s="16"/>
      <c r="E57" s="16"/>
      <c r="F57" s="16"/>
      <c r="G57" s="16"/>
      <c r="H57" s="16"/>
      <c r="I57" s="16"/>
      <c r="J57" s="16"/>
      <c r="K57" s="10"/>
    </row>
    <row r="58" spans="1:11" x14ac:dyDescent="0.2">
      <c r="A58" s="17"/>
      <c r="B58" s="10"/>
      <c r="C58" s="10"/>
      <c r="D58" s="10"/>
      <c r="E58" s="10"/>
      <c r="F58" s="10"/>
      <c r="G58" s="10"/>
      <c r="H58" s="10"/>
      <c r="I58" s="10"/>
      <c r="J58" s="10"/>
      <c r="K58" s="10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8"/>
  <sheetViews>
    <sheetView workbookViewId="0"/>
  </sheetViews>
  <sheetFormatPr baseColWidth="10" defaultRowHeight="12.75" x14ac:dyDescent="0.2"/>
  <cols>
    <col min="1" max="1" width="9.140625" customWidth="1"/>
    <col min="2" max="11" width="8.5703125" customWidth="1"/>
  </cols>
  <sheetData>
    <row r="1" spans="1:12" ht="15.75" x14ac:dyDescent="0.25">
      <c r="A1" s="1" t="s">
        <v>56</v>
      </c>
    </row>
    <row r="2" spans="1:12" x14ac:dyDescent="0.2">
      <c r="A2" s="2"/>
    </row>
    <row r="5" spans="1:12" x14ac:dyDescent="0.2">
      <c r="A5" s="3" t="s">
        <v>22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">
      <c r="A6" s="3"/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x14ac:dyDescent="0.2">
      <c r="A7" s="5"/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</row>
    <row r="8" spans="1:12" x14ac:dyDescent="0.2">
      <c r="A8" s="5" t="s">
        <v>23</v>
      </c>
      <c r="B8" s="7">
        <v>169.45596600000002</v>
      </c>
      <c r="C8" s="7">
        <v>413.96754799999997</v>
      </c>
      <c r="D8" s="7">
        <v>1047.752847</v>
      </c>
      <c r="E8" s="7">
        <v>1011.0229860000001</v>
      </c>
      <c r="F8" s="7">
        <v>442.65999800000003</v>
      </c>
      <c r="G8" s="7">
        <v>815.98393299999998</v>
      </c>
      <c r="H8" s="7">
        <v>549.78704000000005</v>
      </c>
      <c r="I8" s="7">
        <v>294.567521</v>
      </c>
      <c r="J8" s="7">
        <v>1634.4723349999999</v>
      </c>
      <c r="K8" s="8">
        <v>6379.6701740000008</v>
      </c>
    </row>
    <row r="9" spans="1:12" x14ac:dyDescent="0.2">
      <c r="A9" s="5" t="s">
        <v>10</v>
      </c>
      <c r="B9" s="7">
        <v>1.475274</v>
      </c>
      <c r="C9" s="7">
        <v>5.1588959999999995</v>
      </c>
      <c r="D9" s="7">
        <v>11.089283</v>
      </c>
      <c r="E9" s="7">
        <v>11.536642000000001</v>
      </c>
      <c r="F9" s="7">
        <v>4.0757840000000005</v>
      </c>
      <c r="G9" s="7">
        <v>9.0418389999999995</v>
      </c>
      <c r="H9" s="7">
        <v>4.8916229999999992</v>
      </c>
      <c r="I9" s="7">
        <v>2.889227</v>
      </c>
      <c r="J9" s="7">
        <v>12.888166000000002</v>
      </c>
      <c r="K9" s="8">
        <v>63.046734000000001</v>
      </c>
    </row>
    <row r="10" spans="1:12" x14ac:dyDescent="0.2">
      <c r="A10" s="9" t="s">
        <v>11</v>
      </c>
      <c r="B10" s="10">
        <f t="shared" ref="B10:K10" si="0">B8+B9</f>
        <v>170.93124000000003</v>
      </c>
      <c r="C10" s="10">
        <f t="shared" si="0"/>
        <v>419.12644399999999</v>
      </c>
      <c r="D10" s="10">
        <f t="shared" si="0"/>
        <v>1058.84213</v>
      </c>
      <c r="E10" s="10">
        <f t="shared" si="0"/>
        <v>1022.5596280000001</v>
      </c>
      <c r="F10" s="10">
        <f t="shared" si="0"/>
        <v>446.73578200000003</v>
      </c>
      <c r="G10" s="10">
        <f t="shared" si="0"/>
        <v>825.02577199999996</v>
      </c>
      <c r="H10" s="10">
        <f t="shared" si="0"/>
        <v>554.67866300000003</v>
      </c>
      <c r="I10" s="10">
        <f t="shared" si="0"/>
        <v>297.456748</v>
      </c>
      <c r="J10" s="10">
        <f t="shared" si="0"/>
        <v>1647.3605009999999</v>
      </c>
      <c r="K10" s="10">
        <f t="shared" si="0"/>
        <v>6442.7169080000003</v>
      </c>
    </row>
    <row r="11" spans="1:12" x14ac:dyDescent="0.2">
      <c r="A11" s="9" t="s">
        <v>12</v>
      </c>
      <c r="B11" s="7">
        <v>0</v>
      </c>
      <c r="C11" s="7">
        <v>-0.60505200000000003</v>
      </c>
      <c r="D11" s="7">
        <v>-1.3783610000000002</v>
      </c>
      <c r="E11" s="7">
        <v>-0.71932299999999993</v>
      </c>
      <c r="F11" s="7">
        <v>-0.10290000000000001</v>
      </c>
      <c r="G11" s="7">
        <v>-0.41022000000000003</v>
      </c>
      <c r="H11" s="7">
        <v>-0.25490600000000002</v>
      </c>
      <c r="I11" s="7">
        <v>-0.63630900000000001</v>
      </c>
      <c r="J11" s="7">
        <v>-1.471176</v>
      </c>
      <c r="K11" s="8">
        <v>-5.5782469999999993</v>
      </c>
      <c r="L11" s="11"/>
    </row>
    <row r="12" spans="1:12" x14ac:dyDescent="0.2">
      <c r="A12" s="3" t="s">
        <v>11</v>
      </c>
      <c r="B12" s="10">
        <f t="shared" ref="B12:K12" si="1">B10+B11</f>
        <v>170.93124000000003</v>
      </c>
      <c r="C12" s="10">
        <f t="shared" si="1"/>
        <v>418.52139199999999</v>
      </c>
      <c r="D12" s="10">
        <f t="shared" si="1"/>
        <v>1057.463769</v>
      </c>
      <c r="E12" s="10">
        <f t="shared" si="1"/>
        <v>1021.8403050000001</v>
      </c>
      <c r="F12" s="10">
        <f t="shared" si="1"/>
        <v>446.63288200000005</v>
      </c>
      <c r="G12" s="10">
        <f t="shared" si="1"/>
        <v>824.61555199999998</v>
      </c>
      <c r="H12" s="10">
        <f t="shared" si="1"/>
        <v>554.42375700000002</v>
      </c>
      <c r="I12" s="10">
        <f t="shared" si="1"/>
        <v>296.82043900000002</v>
      </c>
      <c r="J12" s="10">
        <f t="shared" si="1"/>
        <v>1645.8893249999999</v>
      </c>
      <c r="K12" s="10">
        <f t="shared" si="1"/>
        <v>6437.138661</v>
      </c>
      <c r="L12" s="12"/>
    </row>
    <row r="13" spans="1:12" x14ac:dyDescent="0.2">
      <c r="A13" s="5"/>
      <c r="B13" s="12"/>
      <c r="C13" s="12"/>
      <c r="D13" s="12"/>
      <c r="E13" s="12"/>
      <c r="F13" s="12"/>
      <c r="G13" s="12"/>
      <c r="H13" s="12"/>
      <c r="I13" s="12"/>
      <c r="J13" s="12"/>
      <c r="K13" s="13"/>
    </row>
    <row r="14" spans="1:12" x14ac:dyDescent="0.2">
      <c r="A14" s="3" t="s">
        <v>24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</row>
    <row r="15" spans="1:12" x14ac:dyDescent="0.2">
      <c r="A15" s="3"/>
      <c r="B15" s="12"/>
      <c r="C15" s="12"/>
      <c r="D15" s="12"/>
      <c r="E15" s="12"/>
      <c r="F15" s="12"/>
      <c r="G15" s="12"/>
      <c r="H15" s="12"/>
      <c r="I15" s="12"/>
      <c r="J15" s="12"/>
      <c r="K15" s="13"/>
    </row>
    <row r="16" spans="1:12" x14ac:dyDescent="0.2">
      <c r="A16" s="5"/>
      <c r="B16" s="14" t="s">
        <v>0</v>
      </c>
      <c r="C16" s="14" t="s">
        <v>1</v>
      </c>
      <c r="D16" s="14" t="s">
        <v>2</v>
      </c>
      <c r="E16" s="14" t="s">
        <v>3</v>
      </c>
      <c r="F16" s="14" t="s">
        <v>4</v>
      </c>
      <c r="G16" s="14" t="s">
        <v>5</v>
      </c>
      <c r="H16" s="14" t="s">
        <v>6</v>
      </c>
      <c r="I16" s="14" t="s">
        <v>7</v>
      </c>
      <c r="J16" s="14" t="s">
        <v>8</v>
      </c>
      <c r="K16" s="14" t="s">
        <v>9</v>
      </c>
    </row>
    <row r="17" spans="1:12" x14ac:dyDescent="0.2">
      <c r="A17" s="5" t="s">
        <v>23</v>
      </c>
      <c r="B17" s="7">
        <v>228.75940400000002</v>
      </c>
      <c r="C17" s="7">
        <v>485.981854</v>
      </c>
      <c r="D17" s="7">
        <v>1324.6306979999999</v>
      </c>
      <c r="E17" s="7">
        <v>1199.6231579999999</v>
      </c>
      <c r="F17" s="7">
        <v>470.27731999999997</v>
      </c>
      <c r="G17" s="7">
        <v>1018.750956</v>
      </c>
      <c r="H17" s="7">
        <v>614.37884600000007</v>
      </c>
      <c r="I17" s="7">
        <v>329.71782999999999</v>
      </c>
      <c r="J17" s="7">
        <v>1438.9347779999998</v>
      </c>
      <c r="K17" s="8">
        <v>7111.0548440000002</v>
      </c>
    </row>
    <row r="18" spans="1:12" x14ac:dyDescent="0.2">
      <c r="A18" s="5" t="s">
        <v>10</v>
      </c>
      <c r="B18" s="7">
        <v>5.4766680000000001</v>
      </c>
      <c r="C18" s="7">
        <v>12.211551999999999</v>
      </c>
      <c r="D18" s="7">
        <v>33.347202999999993</v>
      </c>
      <c r="E18" s="7">
        <v>30.574572</v>
      </c>
      <c r="F18" s="7">
        <v>12.534308000000001</v>
      </c>
      <c r="G18" s="7">
        <v>25.019480000000001</v>
      </c>
      <c r="H18" s="7">
        <v>15.884406999999999</v>
      </c>
      <c r="I18" s="7">
        <v>7.7706550000000005</v>
      </c>
      <c r="J18" s="7">
        <v>36.505513000000008</v>
      </c>
      <c r="K18" s="8">
        <v>179.32435800000002</v>
      </c>
    </row>
    <row r="19" spans="1:12" x14ac:dyDescent="0.2">
      <c r="A19" s="9" t="s">
        <v>11</v>
      </c>
      <c r="B19" s="10">
        <f>B17+B18</f>
        <v>234.23607200000001</v>
      </c>
      <c r="C19" s="10">
        <f t="shared" ref="C19:K19" si="2">C17+C18</f>
        <v>498.19340599999998</v>
      </c>
      <c r="D19" s="10">
        <f t="shared" si="2"/>
        <v>1357.977901</v>
      </c>
      <c r="E19" s="10">
        <f t="shared" si="2"/>
        <v>1230.1977299999999</v>
      </c>
      <c r="F19" s="10">
        <f t="shared" si="2"/>
        <v>482.81162799999998</v>
      </c>
      <c r="G19" s="10">
        <f t="shared" si="2"/>
        <v>1043.770436</v>
      </c>
      <c r="H19" s="10">
        <f t="shared" si="2"/>
        <v>630.26325300000008</v>
      </c>
      <c r="I19" s="10">
        <f t="shared" si="2"/>
        <v>337.48848499999997</v>
      </c>
      <c r="J19" s="10">
        <f t="shared" si="2"/>
        <v>1475.4402909999999</v>
      </c>
      <c r="K19" s="10">
        <f t="shared" si="2"/>
        <v>7290.3792020000001</v>
      </c>
    </row>
    <row r="20" spans="1:12" x14ac:dyDescent="0.2">
      <c r="A20" s="5" t="s">
        <v>12</v>
      </c>
      <c r="B20" s="7">
        <v>0</v>
      </c>
      <c r="C20" s="7">
        <v>-0.82255200000000006</v>
      </c>
      <c r="D20" s="7">
        <v>-1.5958610000000002</v>
      </c>
      <c r="E20" s="7">
        <v>-0.93682299999999996</v>
      </c>
      <c r="F20" s="7">
        <v>-0.29058300000000004</v>
      </c>
      <c r="G20" s="7">
        <v>-0.62772000000000006</v>
      </c>
      <c r="H20" s="7">
        <v>-0.90740900000000002</v>
      </c>
      <c r="I20" s="7">
        <v>-1.0713109999999999</v>
      </c>
      <c r="J20" s="7">
        <v>-1.6886759999999998</v>
      </c>
      <c r="K20" s="8">
        <v>-7.9409350000000005</v>
      </c>
    </row>
    <row r="21" spans="1:12" x14ac:dyDescent="0.2">
      <c r="A21" s="3" t="s">
        <v>11</v>
      </c>
      <c r="B21" s="10">
        <f>B19+B20</f>
        <v>234.23607200000001</v>
      </c>
      <c r="C21" s="10">
        <f t="shared" ref="C21:K21" si="3">C19+C20</f>
        <v>497.37085400000001</v>
      </c>
      <c r="D21" s="10">
        <f t="shared" si="3"/>
        <v>1356.38204</v>
      </c>
      <c r="E21" s="10">
        <f t="shared" si="3"/>
        <v>1229.2609069999999</v>
      </c>
      <c r="F21" s="10">
        <f t="shared" si="3"/>
        <v>482.52104499999996</v>
      </c>
      <c r="G21" s="10">
        <f t="shared" si="3"/>
        <v>1043.1427160000001</v>
      </c>
      <c r="H21" s="10">
        <f t="shared" si="3"/>
        <v>629.35584400000005</v>
      </c>
      <c r="I21" s="10">
        <f t="shared" si="3"/>
        <v>336.41717399999999</v>
      </c>
      <c r="J21" s="10">
        <f t="shared" si="3"/>
        <v>1473.7516149999999</v>
      </c>
      <c r="K21" s="10">
        <f t="shared" si="3"/>
        <v>7282.4382670000005</v>
      </c>
      <c r="L21" s="19"/>
    </row>
    <row r="22" spans="1:12" x14ac:dyDescent="0.2">
      <c r="A22" s="4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 x14ac:dyDescent="0.2">
      <c r="A23" s="15" t="s">
        <v>31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2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2" x14ac:dyDescent="0.2">
      <c r="A25" s="4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2" x14ac:dyDescent="0.2">
      <c r="A26" s="4" t="s">
        <v>14</v>
      </c>
      <c r="B26" s="16">
        <v>29.855187000000001</v>
      </c>
      <c r="C26" s="16">
        <v>60.146389999999997</v>
      </c>
      <c r="D26" s="16">
        <v>166.31233300000002</v>
      </c>
      <c r="E26" s="16">
        <v>148.017562</v>
      </c>
      <c r="F26" s="16">
        <v>55.494213999999999</v>
      </c>
      <c r="G26" s="16">
        <v>127.26223399999999</v>
      </c>
      <c r="H26" s="16">
        <v>72.478039999999993</v>
      </c>
      <c r="I26" s="16">
        <v>37.739877</v>
      </c>
      <c r="J26" s="16">
        <v>166.80955799999998</v>
      </c>
      <c r="K26" s="10">
        <v>864.11539500000003</v>
      </c>
    </row>
    <row r="27" spans="1:12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2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1:12" x14ac:dyDescent="0.2">
      <c r="A30" s="15" t="s">
        <v>15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2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2" x14ac:dyDescent="0.2">
      <c r="A32" s="15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">
      <c r="A33" s="5" t="s">
        <v>14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x14ac:dyDescent="0.2">
      <c r="A35" s="5" t="s">
        <v>23</v>
      </c>
      <c r="B35" s="16">
        <v>8.3733041441193254</v>
      </c>
      <c r="C35" s="16">
        <v>28.399038725923273</v>
      </c>
      <c r="D35" s="16">
        <v>50.757933504372048</v>
      </c>
      <c r="E35" s="16">
        <v>48.759036946215012</v>
      </c>
      <c r="F35" s="16">
        <v>31.507690563859789</v>
      </c>
      <c r="G35" s="16">
        <v>43.741739732513174</v>
      </c>
      <c r="H35" s="16">
        <v>48.508339217349167</v>
      </c>
      <c r="I35" s="16">
        <v>16.081423647647934</v>
      </c>
      <c r="J35" s="16">
        <v>58.135132005797729</v>
      </c>
      <c r="K35" s="10">
        <v>334.26363848779744</v>
      </c>
    </row>
    <row r="36" spans="1:11" x14ac:dyDescent="0.2">
      <c r="A36" s="5" t="s">
        <v>10</v>
      </c>
      <c r="B36" s="16">
        <v>0.11697175960853293</v>
      </c>
      <c r="C36" s="16">
        <v>0.3967233810914586</v>
      </c>
      <c r="D36" s="16">
        <v>0.70906833119983637</v>
      </c>
      <c r="E36" s="16">
        <v>0.68114453389607665</v>
      </c>
      <c r="F36" s="16">
        <v>0.44015002238324813</v>
      </c>
      <c r="G36" s="16">
        <v>0.61105486875739001</v>
      </c>
      <c r="H36" s="16">
        <v>0.67764238540480437</v>
      </c>
      <c r="I36" s="16">
        <v>0.22465115188689197</v>
      </c>
      <c r="J36" s="16">
        <v>0.81212488746970479</v>
      </c>
      <c r="K36" s="10">
        <v>4.6695313216979439</v>
      </c>
    </row>
    <row r="37" spans="1:11" x14ac:dyDescent="0.2">
      <c r="A37" s="17" t="s">
        <v>11</v>
      </c>
      <c r="B37" s="10">
        <v>8.4902759037278592</v>
      </c>
      <c r="C37" s="10">
        <v>28.795762107014731</v>
      </c>
      <c r="D37" s="10">
        <v>51.467001835571885</v>
      </c>
      <c r="E37" s="10">
        <v>49.440181480111086</v>
      </c>
      <c r="F37" s="10">
        <v>31.947840586243036</v>
      </c>
      <c r="G37" s="10">
        <v>44.352794601270567</v>
      </c>
      <c r="H37" s="10">
        <v>49.185981602753969</v>
      </c>
      <c r="I37" s="10">
        <v>16.306074799534827</v>
      </c>
      <c r="J37" s="10">
        <v>58.947256893267436</v>
      </c>
      <c r="K37" s="15">
        <v>338.93316980949538</v>
      </c>
    </row>
    <row r="38" spans="1:11" x14ac:dyDescent="0.2">
      <c r="A38" s="4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">
      <c r="A39" s="15" t="s">
        <v>17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x14ac:dyDescent="0.2">
      <c r="A40" s="5" t="s">
        <v>14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">
      <c r="A41" s="5"/>
      <c r="B41" s="14" t="s">
        <v>0</v>
      </c>
      <c r="C41" s="14" t="s">
        <v>1</v>
      </c>
      <c r="D41" s="14" t="s">
        <v>2</v>
      </c>
      <c r="E41" s="14" t="s">
        <v>3</v>
      </c>
      <c r="F41" s="14" t="s">
        <v>4</v>
      </c>
      <c r="G41" s="14" t="s">
        <v>5</v>
      </c>
      <c r="H41" s="14" t="s">
        <v>6</v>
      </c>
      <c r="I41" s="14" t="s">
        <v>7</v>
      </c>
      <c r="J41" s="14" t="s">
        <v>8</v>
      </c>
      <c r="K41" s="14" t="s">
        <v>9</v>
      </c>
    </row>
    <row r="42" spans="1:11" x14ac:dyDescent="0.2">
      <c r="A42" s="5" t="s">
        <v>23</v>
      </c>
      <c r="B42" s="16">
        <v>5.8556214143469704E-2</v>
      </c>
      <c r="C42" s="16">
        <v>0.50566764586606472</v>
      </c>
      <c r="D42" s="16">
        <v>7.1810760582216107</v>
      </c>
      <c r="E42" s="16">
        <v>3.5967410178971915</v>
      </c>
      <c r="F42" s="16">
        <v>2.4499324510704232</v>
      </c>
      <c r="G42" s="16">
        <v>1.2306729752186856</v>
      </c>
      <c r="H42" s="16">
        <v>0.53444951383488881</v>
      </c>
      <c r="I42" s="16">
        <v>0.39550256501987591</v>
      </c>
      <c r="J42" s="16">
        <v>33.671311849803814</v>
      </c>
      <c r="K42" s="16">
        <v>49.623910291076022</v>
      </c>
    </row>
    <row r="43" spans="1:11" x14ac:dyDescent="0.2">
      <c r="A43" s="5" t="s">
        <v>10</v>
      </c>
      <c r="B43" s="16">
        <v>-1.6753552123776672E-4</v>
      </c>
      <c r="C43" s="16">
        <v>-1.4467686113669061E-3</v>
      </c>
      <c r="D43" s="16">
        <v>-2.054581803247129E-2</v>
      </c>
      <c r="E43" s="16">
        <v>-1.0290656423146629E-2</v>
      </c>
      <c r="F43" s="16">
        <v>-7.0095158334816006E-3</v>
      </c>
      <c r="G43" s="16">
        <v>-3.5210855310986063E-3</v>
      </c>
      <c r="H43" s="16">
        <v>-1.5291165794328663E-3</v>
      </c>
      <c r="I43" s="16">
        <v>-1.1315746646312732E-3</v>
      </c>
      <c r="J43" s="16">
        <v>-9.6337184089388753E-2</v>
      </c>
      <c r="K43" s="16">
        <v>-0.14197925528625568</v>
      </c>
    </row>
    <row r="44" spans="1:11" x14ac:dyDescent="0.2">
      <c r="A44" s="17" t="s">
        <v>11</v>
      </c>
      <c r="B44" s="10">
        <v>5.8388678622231939E-2</v>
      </c>
      <c r="C44" s="10">
        <v>0.50422087725469777</v>
      </c>
      <c r="D44" s="10">
        <v>7.1605302401891393</v>
      </c>
      <c r="E44" s="10">
        <v>3.5864503614740451</v>
      </c>
      <c r="F44" s="10">
        <v>2.4429229352369415</v>
      </c>
      <c r="G44" s="10">
        <v>1.227151889687587</v>
      </c>
      <c r="H44" s="10">
        <v>0.53292039725545592</v>
      </c>
      <c r="I44" s="10">
        <v>0.39437099035524464</v>
      </c>
      <c r="J44" s="10">
        <v>33.574974665714429</v>
      </c>
      <c r="K44" s="10">
        <v>49.481931035789771</v>
      </c>
    </row>
    <row r="45" spans="1:11" x14ac:dyDescent="0.2">
      <c r="A45" s="4"/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1:11" x14ac:dyDescent="0.2">
      <c r="A46" s="15" t="s">
        <v>18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</row>
    <row r="47" spans="1:11" x14ac:dyDescent="0.2">
      <c r="A47" s="5" t="s">
        <v>14</v>
      </c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1:11" x14ac:dyDescent="0.2">
      <c r="A48" s="5"/>
      <c r="B48" s="14" t="s">
        <v>0</v>
      </c>
      <c r="C48" s="14" t="s">
        <v>1</v>
      </c>
      <c r="D48" s="14" t="s">
        <v>2</v>
      </c>
      <c r="E48" s="14" t="s">
        <v>3</v>
      </c>
      <c r="F48" s="14" t="s">
        <v>4</v>
      </c>
      <c r="G48" s="14" t="s">
        <v>5</v>
      </c>
      <c r="H48" s="14" t="s">
        <v>6</v>
      </c>
      <c r="I48" s="14" t="s">
        <v>7</v>
      </c>
      <c r="J48" s="14" t="s">
        <v>8</v>
      </c>
      <c r="K48" s="14" t="s">
        <v>9</v>
      </c>
    </row>
    <row r="49" spans="1:11" x14ac:dyDescent="0.2">
      <c r="A49" s="5" t="s">
        <v>23</v>
      </c>
      <c r="B49" s="16">
        <v>1.1430979283020957</v>
      </c>
      <c r="C49" s="16">
        <v>2.3036167352555648</v>
      </c>
      <c r="D49" s="16">
        <v>6.3662150576881578</v>
      </c>
      <c r="E49" s="16">
        <v>5.6694334509766007</v>
      </c>
      <c r="F49" s="16">
        <v>2.1228514383841515</v>
      </c>
      <c r="G49" s="16">
        <v>4.8730933760574064</v>
      </c>
      <c r="H49" s="16">
        <v>2.7739269194992708</v>
      </c>
      <c r="I49" s="16">
        <v>1.4457599548007771</v>
      </c>
      <c r="J49" s="16">
        <v>6.3846119997533304</v>
      </c>
      <c r="K49" s="16">
        <v>33.082606860717355</v>
      </c>
    </row>
    <row r="50" spans="1:11" x14ac:dyDescent="0.2">
      <c r="A50" s="5" t="s">
        <v>10</v>
      </c>
      <c r="B50" s="16">
        <v>-3.3454595090256587E-3</v>
      </c>
      <c r="C50" s="16">
        <v>-7.0534476848863508E-3</v>
      </c>
      <c r="D50" s="16">
        <v>-1.8186054303658238E-2</v>
      </c>
      <c r="E50" s="16">
        <v>-1.7770114651438233E-2</v>
      </c>
      <c r="F50" s="16">
        <v>-4.9310545971871988E-3</v>
      </c>
      <c r="G50" s="16">
        <v>-1.4349759197110871E-2</v>
      </c>
      <c r="H50" s="16">
        <v>-7.5471721990227249E-3</v>
      </c>
      <c r="I50" s="16">
        <v>-4.5189269719843423E-3</v>
      </c>
      <c r="J50" s="16">
        <v>-1.6951573909647324E-2</v>
      </c>
      <c r="K50" s="16">
        <v>-9.465356302396094E-2</v>
      </c>
    </row>
    <row r="51" spans="1:11" x14ac:dyDescent="0.2">
      <c r="A51" s="17" t="s">
        <v>11</v>
      </c>
      <c r="B51" s="10">
        <v>1.13975246879307</v>
      </c>
      <c r="C51" s="10">
        <v>2.2965632875706783</v>
      </c>
      <c r="D51" s="10">
        <v>6.3480290033844993</v>
      </c>
      <c r="E51" s="10">
        <v>5.6516633363251625</v>
      </c>
      <c r="F51" s="10">
        <v>2.1179203837869642</v>
      </c>
      <c r="G51" s="10">
        <v>4.8587436168602958</v>
      </c>
      <c r="H51" s="10">
        <v>2.766379747300248</v>
      </c>
      <c r="I51" s="10">
        <v>1.4412410278287928</v>
      </c>
      <c r="J51" s="10">
        <v>6.3676604258436829</v>
      </c>
      <c r="K51" s="10">
        <v>32.987953297693394</v>
      </c>
    </row>
    <row r="53" spans="1:11" x14ac:dyDescent="0.2">
      <c r="A53" s="18"/>
    </row>
    <row r="54" spans="1:11" x14ac:dyDescent="0.2">
      <c r="A54" s="5"/>
      <c r="B54" s="12"/>
      <c r="C54" s="12"/>
      <c r="D54" s="12"/>
      <c r="E54" s="12"/>
      <c r="F54" s="12"/>
      <c r="G54" s="12"/>
      <c r="H54" s="12"/>
      <c r="I54" s="12"/>
      <c r="J54" s="12"/>
      <c r="K54" s="12"/>
    </row>
    <row r="55" spans="1:11" x14ac:dyDescent="0.2">
      <c r="A55" s="5"/>
      <c r="B55" s="14"/>
      <c r="C55" s="14"/>
      <c r="D55" s="14"/>
      <c r="E55" s="14"/>
      <c r="F55" s="14"/>
      <c r="G55" s="14"/>
      <c r="H55" s="14"/>
      <c r="I55" s="14"/>
      <c r="J55" s="14"/>
      <c r="K55" s="14"/>
    </row>
    <row r="56" spans="1:11" x14ac:dyDescent="0.2">
      <c r="A56" s="5"/>
      <c r="B56" s="16"/>
      <c r="C56" s="16"/>
      <c r="D56" s="16"/>
      <c r="E56" s="16"/>
      <c r="F56" s="16"/>
      <c r="G56" s="16"/>
      <c r="H56" s="16"/>
      <c r="I56" s="16"/>
      <c r="J56" s="16"/>
      <c r="K56" s="10"/>
    </row>
    <row r="57" spans="1:11" x14ac:dyDescent="0.2">
      <c r="A57" s="5"/>
      <c r="B57" s="16"/>
      <c r="C57" s="16"/>
      <c r="D57" s="16"/>
      <c r="E57" s="16"/>
      <c r="F57" s="16"/>
      <c r="G57" s="16"/>
      <c r="H57" s="16"/>
      <c r="I57" s="16"/>
      <c r="J57" s="16"/>
      <c r="K57" s="10"/>
    </row>
    <row r="58" spans="1:11" x14ac:dyDescent="0.2">
      <c r="A58" s="17"/>
      <c r="B58" s="10"/>
      <c r="C58" s="10"/>
      <c r="D58" s="10"/>
      <c r="E58" s="10"/>
      <c r="F58" s="10"/>
      <c r="G58" s="10"/>
      <c r="H58" s="10"/>
      <c r="I58" s="10"/>
      <c r="J58" s="10"/>
      <c r="K58" s="10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1" width="8.5703125" style="30" customWidth="1"/>
    <col min="12" max="16384" width="11.42578125" style="30"/>
  </cols>
  <sheetData>
    <row r="1" spans="1:11" ht="15.75" x14ac:dyDescent="0.25">
      <c r="A1" s="29" t="s">
        <v>57</v>
      </c>
    </row>
    <row r="2" spans="1:11" x14ac:dyDescent="0.2">
      <c r="A2" s="31"/>
    </row>
    <row r="5" spans="1:11" x14ac:dyDescent="0.2">
      <c r="A5" s="32" t="s">
        <v>25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26</v>
      </c>
      <c r="B8" s="26">
        <v>176.79106099999998</v>
      </c>
      <c r="C8" s="26">
        <v>432.65039200000001</v>
      </c>
      <c r="D8" s="26">
        <v>1093.3754669999998</v>
      </c>
      <c r="E8" s="26">
        <v>1051.7337579999999</v>
      </c>
      <c r="F8" s="26">
        <v>462.33483400000006</v>
      </c>
      <c r="G8" s="26">
        <v>859.80928700000004</v>
      </c>
      <c r="H8" s="26">
        <v>578.76664500000004</v>
      </c>
      <c r="I8" s="26">
        <v>306.40123</v>
      </c>
      <c r="J8" s="26">
        <v>1724.0263670000002</v>
      </c>
      <c r="K8" s="27">
        <v>6685.8890409999995</v>
      </c>
    </row>
    <row r="9" spans="1:11" x14ac:dyDescent="0.2">
      <c r="A9" s="34" t="s">
        <v>10</v>
      </c>
      <c r="B9" s="26">
        <v>0.18238500000000113</v>
      </c>
      <c r="C9" s="26">
        <v>-0.52813099999999935</v>
      </c>
      <c r="D9" s="26">
        <v>-2.861739999999998</v>
      </c>
      <c r="E9" s="26">
        <v>-1.6280639999999984</v>
      </c>
      <c r="F9" s="26">
        <v>-6.3739999999997965E-3</v>
      </c>
      <c r="G9" s="26">
        <v>0.62052499999999777</v>
      </c>
      <c r="H9" s="26">
        <v>0.19365799999999944</v>
      </c>
      <c r="I9" s="26">
        <v>-1.2334639999999999</v>
      </c>
      <c r="J9" s="26">
        <v>3.8045939999999971</v>
      </c>
      <c r="K9" s="27">
        <v>-1.4566109999999752</v>
      </c>
    </row>
    <row r="10" spans="1:11" x14ac:dyDescent="0.2">
      <c r="A10" s="36" t="s">
        <v>11</v>
      </c>
      <c r="B10" s="37">
        <f>B8+B9</f>
        <v>176.973446</v>
      </c>
      <c r="C10" s="37">
        <f t="shared" ref="C10:K10" si="0">C8+C9</f>
        <v>432.12226100000004</v>
      </c>
      <c r="D10" s="37">
        <f t="shared" si="0"/>
        <v>1090.5137269999998</v>
      </c>
      <c r="E10" s="37">
        <f t="shared" si="0"/>
        <v>1050.1056939999999</v>
      </c>
      <c r="F10" s="37">
        <f t="shared" si="0"/>
        <v>462.32846000000006</v>
      </c>
      <c r="G10" s="37">
        <f t="shared" si="0"/>
        <v>860.42981200000008</v>
      </c>
      <c r="H10" s="37">
        <f t="shared" si="0"/>
        <v>578.96030300000007</v>
      </c>
      <c r="I10" s="37">
        <f t="shared" si="0"/>
        <v>305.16776599999997</v>
      </c>
      <c r="J10" s="37">
        <f t="shared" si="0"/>
        <v>1727.8309610000001</v>
      </c>
      <c r="K10" s="37">
        <f t="shared" si="0"/>
        <v>6684.4324299999998</v>
      </c>
    </row>
    <row r="11" spans="1:11" x14ac:dyDescent="0.2">
      <c r="A11" s="36" t="s">
        <v>12</v>
      </c>
      <c r="B11" s="26">
        <v>0</v>
      </c>
      <c r="C11" s="26">
        <v>1.0502400000000001</v>
      </c>
      <c r="D11" s="26">
        <v>1.110814</v>
      </c>
      <c r="E11" s="26">
        <v>1.0794490000000001</v>
      </c>
      <c r="F11" s="26">
        <v>0.88656199999999996</v>
      </c>
      <c r="G11" s="26">
        <v>0.94563799999999998</v>
      </c>
      <c r="H11" s="26">
        <v>2.4677880000000001</v>
      </c>
      <c r="I11" s="26">
        <v>1.8684159999999999</v>
      </c>
      <c r="J11" s="26">
        <v>2.5063610000000001</v>
      </c>
      <c r="K11" s="27">
        <v>11.915267999999999</v>
      </c>
    </row>
    <row r="12" spans="1:11" x14ac:dyDescent="0.2">
      <c r="A12" s="32" t="s">
        <v>11</v>
      </c>
      <c r="B12" s="37">
        <f>B10+B11</f>
        <v>176.973446</v>
      </c>
      <c r="C12" s="37">
        <f t="shared" ref="C12:K12" si="1">C10+C11</f>
        <v>433.17250100000001</v>
      </c>
      <c r="D12" s="37">
        <f t="shared" si="1"/>
        <v>1091.6245409999997</v>
      </c>
      <c r="E12" s="37">
        <f t="shared" si="1"/>
        <v>1051.1851429999999</v>
      </c>
      <c r="F12" s="37">
        <f t="shared" si="1"/>
        <v>463.21502200000009</v>
      </c>
      <c r="G12" s="37">
        <f t="shared" si="1"/>
        <v>861.37545000000011</v>
      </c>
      <c r="H12" s="37">
        <f t="shared" si="1"/>
        <v>581.42809100000011</v>
      </c>
      <c r="I12" s="37">
        <f t="shared" si="1"/>
        <v>307.036182</v>
      </c>
      <c r="J12" s="37">
        <f t="shared" si="1"/>
        <v>1730.3373220000001</v>
      </c>
      <c r="K12" s="37">
        <f t="shared" si="1"/>
        <v>6696.3476979999996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27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26</v>
      </c>
      <c r="B17" s="26">
        <v>238.21672100000001</v>
      </c>
      <c r="C17" s="26">
        <v>507.81694299999998</v>
      </c>
      <c r="D17" s="26">
        <v>1384.3400520000002</v>
      </c>
      <c r="E17" s="26">
        <v>1253.9257990000001</v>
      </c>
      <c r="F17" s="26">
        <v>493.07892799999996</v>
      </c>
      <c r="G17" s="26">
        <v>1063.1170910000001</v>
      </c>
      <c r="H17" s="26">
        <v>645.01293700000008</v>
      </c>
      <c r="I17" s="26">
        <v>346.96722400000004</v>
      </c>
      <c r="J17" s="26">
        <v>1510.692086</v>
      </c>
      <c r="K17" s="27">
        <v>7443.1677809999992</v>
      </c>
    </row>
    <row r="18" spans="1:11" x14ac:dyDescent="0.2">
      <c r="A18" s="34" t="s">
        <v>10</v>
      </c>
      <c r="B18" s="26">
        <v>0.58827299999999993</v>
      </c>
      <c r="C18" s="26">
        <v>3.002132</v>
      </c>
      <c r="D18" s="26">
        <v>8.6547909999999995</v>
      </c>
      <c r="E18" s="26">
        <v>8.8312780000000011</v>
      </c>
      <c r="F18" s="26">
        <v>5.1205570000000007</v>
      </c>
      <c r="G18" s="26">
        <v>5.585223</v>
      </c>
      <c r="H18" s="26">
        <v>7.2564949999999993</v>
      </c>
      <c r="I18" s="26">
        <v>4.9715490000000013</v>
      </c>
      <c r="J18" s="26">
        <v>15.758955000000006</v>
      </c>
      <c r="K18" s="27">
        <v>59.769252999999999</v>
      </c>
    </row>
    <row r="19" spans="1:11" x14ac:dyDescent="0.2">
      <c r="A19" s="36" t="s">
        <v>11</v>
      </c>
      <c r="B19" s="37">
        <f>B17+B18</f>
        <v>238.80499399999999</v>
      </c>
      <c r="C19" s="37">
        <f t="shared" ref="C19:K19" si="2">C17+C18</f>
        <v>510.819075</v>
      </c>
      <c r="D19" s="37">
        <f t="shared" si="2"/>
        <v>1392.9948430000002</v>
      </c>
      <c r="E19" s="37">
        <f t="shared" si="2"/>
        <v>1262.7570770000002</v>
      </c>
      <c r="F19" s="37">
        <f t="shared" si="2"/>
        <v>498.19948499999998</v>
      </c>
      <c r="G19" s="37">
        <f t="shared" si="2"/>
        <v>1068.7023140000001</v>
      </c>
      <c r="H19" s="37">
        <f t="shared" si="2"/>
        <v>652.26943200000005</v>
      </c>
      <c r="I19" s="37">
        <f t="shared" si="2"/>
        <v>351.93877300000003</v>
      </c>
      <c r="J19" s="37">
        <f t="shared" si="2"/>
        <v>1526.451041</v>
      </c>
      <c r="K19" s="37">
        <f t="shared" si="2"/>
        <v>7502.9370339999996</v>
      </c>
    </row>
    <row r="20" spans="1:11" x14ac:dyDescent="0.2">
      <c r="A20" s="36" t="s">
        <v>12</v>
      </c>
      <c r="B20" s="26">
        <v>0</v>
      </c>
      <c r="C20" s="26">
        <v>0.83274000000000004</v>
      </c>
      <c r="D20" s="26">
        <v>0.89331399999999994</v>
      </c>
      <c r="E20" s="26">
        <v>0.86194999999999999</v>
      </c>
      <c r="F20" s="26">
        <v>0.59762300000000002</v>
      </c>
      <c r="G20" s="26">
        <v>0.72813800000000006</v>
      </c>
      <c r="H20" s="26">
        <v>1.8152900000000001</v>
      </c>
      <c r="I20" s="26">
        <v>1.4633309999999999</v>
      </c>
      <c r="J20" s="26">
        <v>2.2888609999999998</v>
      </c>
      <c r="K20" s="27">
        <v>9.4812469999999998</v>
      </c>
    </row>
    <row r="21" spans="1:11" x14ac:dyDescent="0.2">
      <c r="A21" s="32" t="s">
        <v>11</v>
      </c>
      <c r="B21" s="37">
        <f>B19+B20</f>
        <v>238.80499399999999</v>
      </c>
      <c r="C21" s="37">
        <f t="shared" ref="C21:K21" si="3">C19+C20</f>
        <v>511.651815</v>
      </c>
      <c r="D21" s="37">
        <f t="shared" si="3"/>
        <v>1393.8881570000001</v>
      </c>
      <c r="E21" s="37">
        <f t="shared" si="3"/>
        <v>1263.6190270000002</v>
      </c>
      <c r="F21" s="37">
        <f t="shared" si="3"/>
        <v>498.79710799999998</v>
      </c>
      <c r="G21" s="37">
        <f t="shared" si="3"/>
        <v>1069.4304520000001</v>
      </c>
      <c r="H21" s="37">
        <f t="shared" si="3"/>
        <v>654.08472200000006</v>
      </c>
      <c r="I21" s="37">
        <f t="shared" si="3"/>
        <v>353.40210400000001</v>
      </c>
      <c r="J21" s="37">
        <f t="shared" si="3"/>
        <v>1528.739902</v>
      </c>
      <c r="K21" s="37">
        <f t="shared" si="3"/>
        <v>7512.4182809999993</v>
      </c>
    </row>
    <row r="22" spans="1:11" x14ac:dyDescent="0.2">
      <c r="A22" s="33"/>
      <c r="B22" s="38"/>
      <c r="C22" s="38"/>
      <c r="D22" s="38"/>
      <c r="E22" s="38"/>
      <c r="F22" s="38"/>
      <c r="G22" s="38"/>
      <c r="H22" s="38"/>
      <c r="I22" s="38"/>
      <c r="J22" s="38"/>
      <c r="K22" s="38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34.437078</v>
      </c>
      <c r="C26" s="42">
        <v>69.402423999999996</v>
      </c>
      <c r="D26" s="42">
        <v>191.811038</v>
      </c>
      <c r="E26" s="42">
        <v>170.80990299999999</v>
      </c>
      <c r="F26" s="42">
        <v>63.960269999999994</v>
      </c>
      <c r="G26" s="42">
        <v>146.81857199999999</v>
      </c>
      <c r="H26" s="42">
        <v>83.575948999999994</v>
      </c>
      <c r="I26" s="42">
        <v>43.557173000000006</v>
      </c>
      <c r="J26" s="42">
        <v>192.359241</v>
      </c>
      <c r="K26" s="37">
        <v>996.73164799999995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26</v>
      </c>
      <c r="B35" s="42">
        <v>8.8543561493636709</v>
      </c>
      <c r="C35" s="42">
        <v>30.030582772452604</v>
      </c>
      <c r="D35" s="42">
        <v>53.674011228777388</v>
      </c>
      <c r="E35" s="42">
        <v>51.560276706893369</v>
      </c>
      <c r="F35" s="42">
        <v>33.317828768024746</v>
      </c>
      <c r="G35" s="42">
        <v>46.254732363502207</v>
      </c>
      <c r="H35" s="42">
        <v>51.295176223379485</v>
      </c>
      <c r="I35" s="42">
        <v>17.005312349137178</v>
      </c>
      <c r="J35" s="42">
        <v>61.475034790312563</v>
      </c>
      <c r="K35" s="37">
        <v>353.46731135184319</v>
      </c>
    </row>
    <row r="36" spans="1:11" x14ac:dyDescent="0.2">
      <c r="A36" s="34" t="s">
        <v>10</v>
      </c>
      <c r="B36" s="42">
        <v>0.12149101788931875</v>
      </c>
      <c r="C36" s="42">
        <v>0.41205097324855888</v>
      </c>
      <c r="D36" s="42">
        <v>0.73646351562845669</v>
      </c>
      <c r="E36" s="42">
        <v>0.70746086944171116</v>
      </c>
      <c r="F36" s="42">
        <v>0.45715542300387463</v>
      </c>
      <c r="G36" s="42">
        <v>0.63466325752480046</v>
      </c>
      <c r="H36" s="42">
        <v>0.70382341381628066</v>
      </c>
      <c r="I36" s="42">
        <v>0.23333065351916593</v>
      </c>
      <c r="J36" s="42">
        <v>0.84350170983274442</v>
      </c>
      <c r="K36" s="37">
        <v>4.8499408339049115</v>
      </c>
    </row>
    <row r="37" spans="1:11" x14ac:dyDescent="0.2">
      <c r="A37" s="43" t="s">
        <v>11</v>
      </c>
      <c r="B37" s="37">
        <v>8.97584716725299</v>
      </c>
      <c r="C37" s="37">
        <v>30.442633745701162</v>
      </c>
      <c r="D37" s="37">
        <v>54.410474744405846</v>
      </c>
      <c r="E37" s="37">
        <v>52.26773757633508</v>
      </c>
      <c r="F37" s="37">
        <v>33.774984191028622</v>
      </c>
      <c r="G37" s="37">
        <v>46.889395621027006</v>
      </c>
      <c r="H37" s="37">
        <v>51.998999637195766</v>
      </c>
      <c r="I37" s="37">
        <v>17.238643002656342</v>
      </c>
      <c r="J37" s="37">
        <v>62.318536500145306</v>
      </c>
      <c r="K37" s="37">
        <v>358.31725218574809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26</v>
      </c>
      <c r="B42" s="42">
        <v>6.4799116567177573E-2</v>
      </c>
      <c r="C42" s="42">
        <v>0.55957881171147406</v>
      </c>
      <c r="D42" s="42">
        <v>7.9466781003697182</v>
      </c>
      <c r="E42" s="42">
        <v>3.9802033633805349</v>
      </c>
      <c r="F42" s="42">
        <v>2.7111291397640316</v>
      </c>
      <c r="G42" s="42">
        <v>1.3618797380220373</v>
      </c>
      <c r="H42" s="42">
        <v>0.59142922493940897</v>
      </c>
      <c r="I42" s="42">
        <v>0.43766860935627566</v>
      </c>
      <c r="J42" s="42">
        <v>37.261139461294064</v>
      </c>
      <c r="K42" s="42">
        <v>54.914505565404724</v>
      </c>
    </row>
    <row r="43" spans="1:11" x14ac:dyDescent="0.2">
      <c r="A43" s="34" t="s">
        <v>10</v>
      </c>
      <c r="B43" s="42">
        <v>6.3787566875286221E-4</v>
      </c>
      <c r="C43" s="42">
        <v>5.508434800501334E-3</v>
      </c>
      <c r="D43" s="42">
        <v>7.8226261038326805E-2</v>
      </c>
      <c r="E43" s="42">
        <v>3.9180702094242861E-2</v>
      </c>
      <c r="F43" s="42">
        <v>2.6688069293499213E-2</v>
      </c>
      <c r="G43" s="42">
        <v>1.3406200495822532E-2</v>
      </c>
      <c r="H43" s="42">
        <v>5.8219669088714456E-3</v>
      </c>
      <c r="I43" s="42">
        <v>4.3083636270849863E-3</v>
      </c>
      <c r="J43" s="42">
        <v>0.36679472671090479</v>
      </c>
      <c r="K43" s="42">
        <v>0.54057260063800683</v>
      </c>
    </row>
    <row r="44" spans="1:11" x14ac:dyDescent="0.2">
      <c r="A44" s="43" t="s">
        <v>11</v>
      </c>
      <c r="B44" s="37">
        <v>6.5436992235930441E-2</v>
      </c>
      <c r="C44" s="37">
        <v>0.56508724651197539</v>
      </c>
      <c r="D44" s="37">
        <v>8.0249043614080442</v>
      </c>
      <c r="E44" s="37">
        <v>4.0193840654747781</v>
      </c>
      <c r="F44" s="37">
        <v>2.737817209057531</v>
      </c>
      <c r="G44" s="37">
        <v>1.37528593851786</v>
      </c>
      <c r="H44" s="37">
        <v>0.59725119184828046</v>
      </c>
      <c r="I44" s="37">
        <v>0.44197697298336064</v>
      </c>
      <c r="J44" s="37">
        <v>37.627934188004971</v>
      </c>
      <c r="K44" s="37">
        <v>55.455078166042732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26</v>
      </c>
      <c r="B49" s="42">
        <v>1.2649679796966058</v>
      </c>
      <c r="C49" s="42">
        <v>2.5492141446882366</v>
      </c>
      <c r="D49" s="42">
        <v>7.0449416453755092</v>
      </c>
      <c r="E49" s="42">
        <v>6.273873480952469</v>
      </c>
      <c r="F49" s="42">
        <v>2.349176766681321</v>
      </c>
      <c r="G49" s="42">
        <v>5.3926325384391376</v>
      </c>
      <c r="H49" s="42">
        <v>3.0696659002759463</v>
      </c>
      <c r="I49" s="42">
        <v>1.5998979648813365</v>
      </c>
      <c r="J49" s="42">
        <v>7.0652999559459273</v>
      </c>
      <c r="K49" s="42">
        <v>36.609670376936485</v>
      </c>
    </row>
    <row r="50" spans="1:11" x14ac:dyDescent="0.2">
      <c r="A50" s="34" t="s">
        <v>10</v>
      </c>
      <c r="B50" s="42">
        <v>1.245221136870623E-2</v>
      </c>
      <c r="C50" s="42">
        <v>2.5094195160075741E-2</v>
      </c>
      <c r="D50" s="42">
        <v>6.9349662486680244E-2</v>
      </c>
      <c r="E50" s="42">
        <v>6.1759348805079751E-2</v>
      </c>
      <c r="F50" s="42">
        <v>2.3125048310065267E-2</v>
      </c>
      <c r="G50" s="42">
        <v>5.3084505916514903E-2</v>
      </c>
      <c r="H50" s="42">
        <v>3.0217467347049477E-2</v>
      </c>
      <c r="I50" s="42">
        <v>1.5749226815878273E-2</v>
      </c>
      <c r="J50" s="42">
        <v>6.9550067548627345E-2</v>
      </c>
      <c r="K50" s="42">
        <v>0.36038173375867721</v>
      </c>
    </row>
    <row r="51" spans="1:11" x14ac:dyDescent="0.2">
      <c r="A51" s="43" t="s">
        <v>11</v>
      </c>
      <c r="B51" s="37">
        <v>1.277420191065312</v>
      </c>
      <c r="C51" s="37">
        <v>2.5743083398483124</v>
      </c>
      <c r="D51" s="37">
        <v>7.1142913078621897</v>
      </c>
      <c r="E51" s="37">
        <v>6.3356328297575484</v>
      </c>
      <c r="F51" s="37">
        <v>2.3723018149913861</v>
      </c>
      <c r="G51" s="37">
        <v>5.4457170443556526</v>
      </c>
      <c r="H51" s="37">
        <v>3.0998833676229958</v>
      </c>
      <c r="I51" s="37">
        <v>1.6156471916972148</v>
      </c>
      <c r="J51" s="37">
        <v>7.1348500234945549</v>
      </c>
      <c r="K51" s="37">
        <v>36.970052110695171</v>
      </c>
    </row>
    <row r="53" spans="1:11" x14ac:dyDescent="0.2">
      <c r="A53" s="44"/>
    </row>
    <row r="54" spans="1:11" x14ac:dyDescent="0.2">
      <c r="A54" s="34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">
      <c r="A55" s="34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x14ac:dyDescent="0.2">
      <c r="A56" s="34"/>
      <c r="B56" s="42"/>
      <c r="C56" s="42"/>
      <c r="D56" s="42"/>
      <c r="E56" s="42"/>
      <c r="F56" s="42"/>
      <c r="G56" s="42"/>
      <c r="H56" s="42"/>
      <c r="I56" s="42"/>
      <c r="J56" s="42"/>
      <c r="K56" s="37"/>
    </row>
    <row r="57" spans="1:11" x14ac:dyDescent="0.2">
      <c r="A57" s="34"/>
      <c r="B57" s="42"/>
      <c r="C57" s="42"/>
      <c r="D57" s="42"/>
      <c r="E57" s="42"/>
      <c r="F57" s="42"/>
      <c r="G57" s="42"/>
      <c r="H57" s="42"/>
      <c r="I57" s="42"/>
      <c r="J57" s="42"/>
      <c r="K57" s="37"/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1" width="8.5703125" style="30" customWidth="1"/>
    <col min="12" max="16384" width="11.42578125" style="30"/>
  </cols>
  <sheetData>
    <row r="1" spans="1:11" ht="15.75" x14ac:dyDescent="0.25">
      <c r="A1" s="29" t="s">
        <v>58</v>
      </c>
    </row>
    <row r="2" spans="1:11" x14ac:dyDescent="0.2">
      <c r="A2" s="31"/>
    </row>
    <row r="5" spans="1:11" x14ac:dyDescent="0.2">
      <c r="A5" s="32" t="s">
        <v>28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29</v>
      </c>
      <c r="B8" s="26">
        <v>188.22920999999999</v>
      </c>
      <c r="C8" s="26">
        <v>460.08854700000001</v>
      </c>
      <c r="D8" s="26">
        <v>1171.972278</v>
      </c>
      <c r="E8" s="26">
        <v>1125.1005830000001</v>
      </c>
      <c r="F8" s="26">
        <v>493.50759700000003</v>
      </c>
      <c r="G8" s="26">
        <v>921.23175000000003</v>
      </c>
      <c r="H8" s="26">
        <v>610.56274800000006</v>
      </c>
      <c r="I8" s="26">
        <v>328.80492300000003</v>
      </c>
      <c r="J8" s="26">
        <v>1836.000096</v>
      </c>
      <c r="K8" s="27">
        <v>7135.4977319999998</v>
      </c>
    </row>
    <row r="9" spans="1:11" x14ac:dyDescent="0.2">
      <c r="A9" s="34" t="s">
        <v>10</v>
      </c>
      <c r="B9" s="26">
        <v>1.7899240000000001</v>
      </c>
      <c r="C9" s="26">
        <v>2.5294289999999999</v>
      </c>
      <c r="D9" s="26">
        <v>8.2828540000000004</v>
      </c>
      <c r="E9" s="26">
        <v>8.1515820000000012</v>
      </c>
      <c r="F9" s="26">
        <v>4.2314760000000007</v>
      </c>
      <c r="G9" s="26">
        <v>6.5348090000000001</v>
      </c>
      <c r="H9" s="26">
        <v>3.6261130000000001</v>
      </c>
      <c r="I9" s="26">
        <v>1.841256</v>
      </c>
      <c r="J9" s="26">
        <v>14.526371999999999</v>
      </c>
      <c r="K9" s="27">
        <v>51.513815000000001</v>
      </c>
    </row>
    <row r="10" spans="1:11" x14ac:dyDescent="0.2">
      <c r="A10" s="36" t="s">
        <v>11</v>
      </c>
      <c r="B10" s="37">
        <f t="shared" ref="B10:K10" si="0">B8+B9</f>
        <v>190.01913400000001</v>
      </c>
      <c r="C10" s="37">
        <f t="shared" si="0"/>
        <v>462.617976</v>
      </c>
      <c r="D10" s="37">
        <f t="shared" si="0"/>
        <v>1180.255132</v>
      </c>
      <c r="E10" s="37">
        <f t="shared" si="0"/>
        <v>1133.2521650000001</v>
      </c>
      <c r="F10" s="37">
        <f t="shared" si="0"/>
        <v>497.73907300000002</v>
      </c>
      <c r="G10" s="37">
        <f t="shared" si="0"/>
        <v>927.76655900000003</v>
      </c>
      <c r="H10" s="37">
        <f t="shared" si="0"/>
        <v>614.18886100000009</v>
      </c>
      <c r="I10" s="37">
        <f t="shared" si="0"/>
        <v>330.64617900000002</v>
      </c>
      <c r="J10" s="37">
        <f t="shared" si="0"/>
        <v>1850.526468</v>
      </c>
      <c r="K10" s="37">
        <f t="shared" si="0"/>
        <v>7187.0115470000001</v>
      </c>
    </row>
    <row r="11" spans="1:11" x14ac:dyDescent="0.2">
      <c r="A11" s="36" t="s">
        <v>12</v>
      </c>
      <c r="B11" s="26">
        <v>0</v>
      </c>
      <c r="C11" s="26">
        <v>1.124331</v>
      </c>
      <c r="D11" s="26">
        <v>1.089974</v>
      </c>
      <c r="E11" s="26">
        <v>1.0983849999999999</v>
      </c>
      <c r="F11" s="26">
        <v>0.901142</v>
      </c>
      <c r="G11" s="26">
        <v>0.93470500000000001</v>
      </c>
      <c r="H11" s="26">
        <v>2.745743</v>
      </c>
      <c r="I11" s="26">
        <v>1.955233</v>
      </c>
      <c r="J11" s="26">
        <v>2.4212899999999999</v>
      </c>
      <c r="K11" s="27">
        <v>12.270802999999999</v>
      </c>
    </row>
    <row r="12" spans="1:11" x14ac:dyDescent="0.2">
      <c r="A12" s="32" t="s">
        <v>11</v>
      </c>
      <c r="B12" s="37">
        <f t="shared" ref="B12:K12" si="1">B10+B11</f>
        <v>190.01913400000001</v>
      </c>
      <c r="C12" s="37">
        <f t="shared" si="1"/>
        <v>463.74230699999998</v>
      </c>
      <c r="D12" s="37">
        <f t="shared" si="1"/>
        <v>1181.345106</v>
      </c>
      <c r="E12" s="37">
        <f t="shared" si="1"/>
        <v>1134.3505500000001</v>
      </c>
      <c r="F12" s="37">
        <f t="shared" si="1"/>
        <v>498.64021500000001</v>
      </c>
      <c r="G12" s="37">
        <f t="shared" si="1"/>
        <v>928.70126400000004</v>
      </c>
      <c r="H12" s="37">
        <f t="shared" si="1"/>
        <v>616.93460400000004</v>
      </c>
      <c r="I12" s="37">
        <f t="shared" si="1"/>
        <v>332.60141200000004</v>
      </c>
      <c r="J12" s="37">
        <f t="shared" si="1"/>
        <v>1852.947758</v>
      </c>
      <c r="K12" s="37">
        <f t="shared" si="1"/>
        <v>7199.2823500000004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30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29</v>
      </c>
      <c r="B17" s="26">
        <v>255.782903</v>
      </c>
      <c r="C17" s="26">
        <v>545.47182999999995</v>
      </c>
      <c r="D17" s="26">
        <v>1487.2250779999999</v>
      </c>
      <c r="E17" s="26">
        <v>1346.7027599999997</v>
      </c>
      <c r="F17" s="26">
        <v>530.07410400000003</v>
      </c>
      <c r="G17" s="26">
        <v>1141.8202020000001</v>
      </c>
      <c r="H17" s="26">
        <v>694.52807000000007</v>
      </c>
      <c r="I17" s="26">
        <v>372.89313800000002</v>
      </c>
      <c r="J17" s="26">
        <v>1622.4073899999999</v>
      </c>
      <c r="K17" s="27">
        <v>7996.9054750000014</v>
      </c>
    </row>
    <row r="18" spans="1:11" x14ac:dyDescent="0.2">
      <c r="A18" s="34" t="s">
        <v>10</v>
      </c>
      <c r="B18" s="26">
        <v>3.1723439999999998</v>
      </c>
      <c r="C18" s="26">
        <v>6.6852610000000006</v>
      </c>
      <c r="D18" s="26">
        <v>18.582959000000002</v>
      </c>
      <c r="E18" s="26">
        <v>16.704650000000001</v>
      </c>
      <c r="F18" s="26">
        <v>6.9014930000000003</v>
      </c>
      <c r="G18" s="26">
        <v>14.142513999999998</v>
      </c>
      <c r="H18" s="26">
        <v>7.9413269999999994</v>
      </c>
      <c r="I18" s="26">
        <v>4.7734930000000002</v>
      </c>
      <c r="J18" s="26">
        <v>19.766171</v>
      </c>
      <c r="K18" s="27">
        <v>98.670212000000006</v>
      </c>
    </row>
    <row r="19" spans="1:11" x14ac:dyDescent="0.2">
      <c r="A19" s="36" t="s">
        <v>11</v>
      </c>
      <c r="B19" s="37">
        <f t="shared" ref="B19:K19" si="2">B17+B18</f>
        <v>258.95524699999999</v>
      </c>
      <c r="C19" s="37">
        <f t="shared" si="2"/>
        <v>552.15709099999992</v>
      </c>
      <c r="D19" s="37">
        <f t="shared" si="2"/>
        <v>1505.808037</v>
      </c>
      <c r="E19" s="37">
        <f t="shared" si="2"/>
        <v>1363.4074099999996</v>
      </c>
      <c r="F19" s="37">
        <f t="shared" si="2"/>
        <v>536.97559699999999</v>
      </c>
      <c r="G19" s="37">
        <f t="shared" si="2"/>
        <v>1155.962716</v>
      </c>
      <c r="H19" s="37">
        <f t="shared" si="2"/>
        <v>702.46939700000007</v>
      </c>
      <c r="I19" s="37">
        <f t="shared" si="2"/>
        <v>377.666631</v>
      </c>
      <c r="J19" s="37">
        <f t="shared" si="2"/>
        <v>1642.1735609999998</v>
      </c>
      <c r="K19" s="37">
        <f t="shared" si="2"/>
        <v>8095.5756870000014</v>
      </c>
    </row>
    <row r="20" spans="1:11" x14ac:dyDescent="0.2">
      <c r="A20" s="36" t="s">
        <v>12</v>
      </c>
      <c r="B20" s="26">
        <v>0</v>
      </c>
      <c r="C20" s="26">
        <v>0.90683000000000002</v>
      </c>
      <c r="D20" s="26">
        <v>0.87247400000000008</v>
      </c>
      <c r="E20" s="26">
        <v>0.88088500000000003</v>
      </c>
      <c r="F20" s="26">
        <v>0.62278200000000006</v>
      </c>
      <c r="G20" s="26">
        <v>0.71720500000000009</v>
      </c>
      <c r="H20" s="26">
        <v>2.093242</v>
      </c>
      <c r="I20" s="26">
        <v>1.543317</v>
      </c>
      <c r="J20" s="26">
        <v>2.2037900000000001</v>
      </c>
      <c r="K20" s="27">
        <v>9.8405250000000013</v>
      </c>
    </row>
    <row r="21" spans="1:11" x14ac:dyDescent="0.2">
      <c r="A21" s="32" t="s">
        <v>11</v>
      </c>
      <c r="B21" s="37">
        <f t="shared" ref="B21:K21" si="3">B19+B20</f>
        <v>258.95524699999999</v>
      </c>
      <c r="C21" s="37">
        <f t="shared" si="3"/>
        <v>553.06392099999994</v>
      </c>
      <c r="D21" s="37">
        <f t="shared" si="3"/>
        <v>1506.680511</v>
      </c>
      <c r="E21" s="37">
        <f t="shared" si="3"/>
        <v>1364.2882949999996</v>
      </c>
      <c r="F21" s="37">
        <f t="shared" si="3"/>
        <v>537.59837900000002</v>
      </c>
      <c r="G21" s="37">
        <f t="shared" si="3"/>
        <v>1156.6799209999999</v>
      </c>
      <c r="H21" s="37">
        <f t="shared" si="3"/>
        <v>704.5626390000001</v>
      </c>
      <c r="I21" s="37">
        <f t="shared" si="3"/>
        <v>379.209948</v>
      </c>
      <c r="J21" s="37">
        <f t="shared" si="3"/>
        <v>1644.3773509999999</v>
      </c>
      <c r="K21" s="37">
        <f t="shared" si="3"/>
        <v>8105.416212000001</v>
      </c>
    </row>
    <row r="22" spans="1:11" x14ac:dyDescent="0.2">
      <c r="A22" s="33"/>
      <c r="B22" s="38"/>
      <c r="C22" s="38"/>
      <c r="D22" s="38"/>
      <c r="E22" s="38"/>
      <c r="F22" s="38"/>
      <c r="G22" s="38"/>
      <c r="H22" s="38"/>
      <c r="I22" s="38"/>
      <c r="J22" s="38"/>
      <c r="K22" s="38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42.065375000000003</v>
      </c>
      <c r="C26" s="42">
        <v>84.776035999999991</v>
      </c>
      <c r="D26" s="42">
        <v>234.29987700000001</v>
      </c>
      <c r="E26" s="42">
        <v>208.64669499999999</v>
      </c>
      <c r="F26" s="42">
        <v>78.128369000000006</v>
      </c>
      <c r="G26" s="42">
        <v>179.340948</v>
      </c>
      <c r="H26" s="42">
        <v>102.089196</v>
      </c>
      <c r="I26" s="42">
        <v>53.205697999999998</v>
      </c>
      <c r="J26" s="42">
        <v>234.969514</v>
      </c>
      <c r="K26" s="37">
        <v>1217.5217079999998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29</v>
      </c>
      <c r="B35" s="42">
        <v>9.0248031934913264</v>
      </c>
      <c r="C35" s="42">
        <v>30.608673825110703</v>
      </c>
      <c r="D35" s="42">
        <v>54.707240117032256</v>
      </c>
      <c r="E35" s="42">
        <v>52.552816041300588</v>
      </c>
      <c r="F35" s="42">
        <v>33.959199561616472</v>
      </c>
      <c r="G35" s="42">
        <v>47.145139556897206</v>
      </c>
      <c r="H35" s="42">
        <v>52.282612352872711</v>
      </c>
      <c r="I35" s="42">
        <v>17.332665933687334</v>
      </c>
      <c r="J35" s="42">
        <v>62.65843398850344</v>
      </c>
      <c r="K35" s="37">
        <v>360.27158457051206</v>
      </c>
    </row>
    <row r="36" spans="1:11" x14ac:dyDescent="0.2">
      <c r="A36" s="34" t="s">
        <v>10</v>
      </c>
      <c r="B36" s="42">
        <v>-3.6527705881375369E-2</v>
      </c>
      <c r="C36" s="42">
        <v>-0.12388797970785527</v>
      </c>
      <c r="D36" s="42">
        <v>-0.2214264326581615</v>
      </c>
      <c r="E36" s="42">
        <v>-0.21270644538588385</v>
      </c>
      <c r="F36" s="42">
        <v>-0.1374491639272892</v>
      </c>
      <c r="G36" s="42">
        <v>-0.19081898569408076</v>
      </c>
      <c r="H36" s="42">
        <v>-0.21161280149722006</v>
      </c>
      <c r="I36" s="42">
        <v>-7.0153609978166054E-2</v>
      </c>
      <c r="J36" s="42">
        <v>-0.25360872682191254</v>
      </c>
      <c r="K36" s="37">
        <v>-1.4581918515519445</v>
      </c>
    </row>
    <row r="37" spans="1:11" x14ac:dyDescent="0.2">
      <c r="A37" s="43" t="s">
        <v>11</v>
      </c>
      <c r="B37" s="37">
        <v>8.9882754876099504</v>
      </c>
      <c r="C37" s="37">
        <v>30.484785845402847</v>
      </c>
      <c r="D37" s="37">
        <v>54.485813684374094</v>
      </c>
      <c r="E37" s="37">
        <v>52.340109595914704</v>
      </c>
      <c r="F37" s="37">
        <v>33.821750397689186</v>
      </c>
      <c r="G37" s="37">
        <v>46.954320571203127</v>
      </c>
      <c r="H37" s="37">
        <v>52.070999551375493</v>
      </c>
      <c r="I37" s="37">
        <v>17.262512323709167</v>
      </c>
      <c r="J37" s="37">
        <v>62.40482526168153</v>
      </c>
      <c r="K37" s="37">
        <v>358.81339271896013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29</v>
      </c>
      <c r="B42" s="42">
        <v>6.5490891089590067E-2</v>
      </c>
      <c r="C42" s="42">
        <v>0.56555269508722272</v>
      </c>
      <c r="D42" s="42">
        <v>8.0315142793004881</v>
      </c>
      <c r="E42" s="42">
        <v>4.022694734045329</v>
      </c>
      <c r="F42" s="42">
        <v>2.7400722822822554</v>
      </c>
      <c r="G42" s="42">
        <v>1.3764187279846052</v>
      </c>
      <c r="H42" s="42">
        <v>0.59774313308041105</v>
      </c>
      <c r="I42" s="42">
        <v>0.44234101863053638</v>
      </c>
      <c r="J42" s="42">
        <v>37.658927399169102</v>
      </c>
      <c r="K42" s="42">
        <v>55.500755160669542</v>
      </c>
    </row>
    <row r="43" spans="1:11" x14ac:dyDescent="0.2">
      <c r="A43" s="34" t="s">
        <v>10</v>
      </c>
      <c r="B43" s="42">
        <v>1.4451163839798084E-3</v>
      </c>
      <c r="C43" s="42">
        <v>1.2479437248096928E-2</v>
      </c>
      <c r="D43" s="42">
        <v>0.17722270502179435</v>
      </c>
      <c r="E43" s="42">
        <v>8.8764436873607341E-2</v>
      </c>
      <c r="F43" s="42">
        <v>6.0462199895833235E-2</v>
      </c>
      <c r="G43" s="42">
        <v>3.0371937561609455E-2</v>
      </c>
      <c r="H43" s="42">
        <v>1.3189748691069895E-2</v>
      </c>
      <c r="I43" s="42">
        <v>9.7606589663720919E-3</v>
      </c>
      <c r="J43" s="42">
        <v>0.83097866103544216</v>
      </c>
      <c r="K43" s="42">
        <v>1.2246749016778051</v>
      </c>
    </row>
    <row r="44" spans="1:11" x14ac:dyDescent="0.2">
      <c r="A44" s="43" t="s">
        <v>11</v>
      </c>
      <c r="B44" s="37">
        <v>6.693600747356987E-2</v>
      </c>
      <c r="C44" s="37">
        <v>0.57803213233531969</v>
      </c>
      <c r="D44" s="37">
        <v>8.2087369843222824</v>
      </c>
      <c r="E44" s="37">
        <v>4.1114591709189359</v>
      </c>
      <c r="F44" s="37">
        <v>2.8005344821780884</v>
      </c>
      <c r="G44" s="37">
        <v>1.4067906655462146</v>
      </c>
      <c r="H44" s="37">
        <v>0.61093288177148097</v>
      </c>
      <c r="I44" s="37">
        <v>0.45210167759690845</v>
      </c>
      <c r="J44" s="37">
        <v>38.489906060204547</v>
      </c>
      <c r="K44" s="37">
        <v>56.72543006234735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29</v>
      </c>
      <c r="B49" s="42">
        <v>1.2784723709040773</v>
      </c>
      <c r="C49" s="42">
        <v>2.5764287348075428</v>
      </c>
      <c r="D49" s="42">
        <v>7.1201511760039251</v>
      </c>
      <c r="E49" s="42">
        <v>6.3408513359123111</v>
      </c>
      <c r="F49" s="42">
        <v>2.3742558221056145</v>
      </c>
      <c r="G49" s="42">
        <v>5.4502025485944037</v>
      </c>
      <c r="H49" s="42">
        <v>3.1024366659071076</v>
      </c>
      <c r="I49" s="42">
        <v>1.6169779608627188</v>
      </c>
      <c r="J49" s="42">
        <v>7.1407268253486675</v>
      </c>
      <c r="K49" s="42">
        <v>37.000503440446366</v>
      </c>
    </row>
    <row r="50" spans="1:11" x14ac:dyDescent="0.2">
      <c r="A50" s="34" t="s">
        <v>10</v>
      </c>
      <c r="B50" s="42">
        <v>2.8210661649596205E-2</v>
      </c>
      <c r="C50" s="42">
        <v>5.685125541708521E-2</v>
      </c>
      <c r="D50" s="42">
        <v>0.15711264497501726</v>
      </c>
      <c r="E50" s="42">
        <v>0.13991668156373088</v>
      </c>
      <c r="F50" s="42">
        <v>5.2390125270866519E-2</v>
      </c>
      <c r="G50" s="42">
        <v>0.12026370183615108</v>
      </c>
      <c r="H50" s="42">
        <v>6.845810129578013E-2</v>
      </c>
      <c r="I50" s="42">
        <v>3.5680096955474708E-2</v>
      </c>
      <c r="J50" s="42">
        <v>0.15756666548816792</v>
      </c>
      <c r="K50" s="42">
        <v>0.81644993445186986</v>
      </c>
    </row>
    <row r="51" spans="1:11" x14ac:dyDescent="0.2">
      <c r="A51" s="43" t="s">
        <v>11</v>
      </c>
      <c r="B51" s="37">
        <v>1.3066830325536736</v>
      </c>
      <c r="C51" s="37">
        <v>2.633279990224628</v>
      </c>
      <c r="D51" s="37">
        <v>7.2772638209789422</v>
      </c>
      <c r="E51" s="37">
        <v>6.4807680174760423</v>
      </c>
      <c r="F51" s="37">
        <v>2.426645947376481</v>
      </c>
      <c r="G51" s="37">
        <v>5.5704662504305551</v>
      </c>
      <c r="H51" s="37">
        <v>3.170894767202888</v>
      </c>
      <c r="I51" s="37">
        <v>1.6526580578181935</v>
      </c>
      <c r="J51" s="37">
        <v>7.2982934908368353</v>
      </c>
      <c r="K51" s="37">
        <v>37.81695337489824</v>
      </c>
    </row>
    <row r="53" spans="1:11" x14ac:dyDescent="0.2">
      <c r="A53" s="44"/>
    </row>
    <row r="54" spans="1:11" x14ac:dyDescent="0.2">
      <c r="A54" s="34"/>
      <c r="B54" s="38"/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">
      <c r="A55" s="34"/>
      <c r="B55" s="40"/>
      <c r="C55" s="40"/>
      <c r="D55" s="40"/>
      <c r="E55" s="40"/>
      <c r="F55" s="40"/>
      <c r="G55" s="40"/>
      <c r="H55" s="40"/>
      <c r="I55" s="40"/>
      <c r="J55" s="40"/>
      <c r="K55" s="40"/>
    </row>
    <row r="56" spans="1:11" x14ac:dyDescent="0.2">
      <c r="A56" s="34"/>
      <c r="B56" s="42"/>
      <c r="C56" s="42"/>
      <c r="D56" s="42"/>
      <c r="E56" s="42"/>
      <c r="F56" s="42"/>
      <c r="G56" s="42"/>
      <c r="H56" s="42"/>
      <c r="I56" s="42"/>
      <c r="J56" s="42"/>
      <c r="K56" s="37"/>
    </row>
    <row r="57" spans="1:11" x14ac:dyDescent="0.2">
      <c r="A57" s="34"/>
      <c r="B57" s="42"/>
      <c r="C57" s="42"/>
      <c r="D57" s="42"/>
      <c r="E57" s="42"/>
      <c r="F57" s="42"/>
      <c r="G57" s="42"/>
      <c r="H57" s="42"/>
      <c r="I57" s="42"/>
      <c r="J57" s="42"/>
      <c r="K57" s="37"/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7" orientation="portrait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/>
  </sheetViews>
  <sheetFormatPr baseColWidth="10" defaultRowHeight="12.75" x14ac:dyDescent="0.2"/>
  <cols>
    <col min="1" max="1" width="9.140625" style="30" customWidth="1"/>
    <col min="2" max="10" width="8.5703125" style="30" customWidth="1"/>
    <col min="11" max="11" width="9.140625" style="30" customWidth="1"/>
    <col min="12" max="16384" width="11.42578125" style="30"/>
  </cols>
  <sheetData>
    <row r="1" spans="1:11" ht="15.75" x14ac:dyDescent="0.25">
      <c r="A1" s="29" t="s">
        <v>68</v>
      </c>
    </row>
    <row r="2" spans="1:11" x14ac:dyDescent="0.2">
      <c r="A2" s="45"/>
    </row>
    <row r="5" spans="1:11" x14ac:dyDescent="0.2">
      <c r="A5" s="32" t="s">
        <v>59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x14ac:dyDescent="0.2">
      <c r="A6" s="32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x14ac:dyDescent="0.2">
      <c r="A7" s="34"/>
      <c r="B7" s="35" t="s">
        <v>0</v>
      </c>
      <c r="C7" s="35" t="s">
        <v>1</v>
      </c>
      <c r="D7" s="35" t="s">
        <v>2</v>
      </c>
      <c r="E7" s="35" t="s">
        <v>3</v>
      </c>
      <c r="F7" s="35" t="s">
        <v>4</v>
      </c>
      <c r="G7" s="35" t="s">
        <v>5</v>
      </c>
      <c r="H7" s="35" t="s">
        <v>6</v>
      </c>
      <c r="I7" s="35" t="s">
        <v>7</v>
      </c>
      <c r="J7" s="35" t="s">
        <v>8</v>
      </c>
      <c r="K7" s="35" t="s">
        <v>9</v>
      </c>
    </row>
    <row r="8" spans="1:11" x14ac:dyDescent="0.2">
      <c r="A8" s="34" t="s">
        <v>60</v>
      </c>
      <c r="B8" s="26">
        <v>204.48161424068161</v>
      </c>
      <c r="C8" s="26">
        <v>509.80651720301455</v>
      </c>
      <c r="D8" s="26">
        <v>1286.0723970602239</v>
      </c>
      <c r="E8" s="26">
        <v>1238.4663067902995</v>
      </c>
      <c r="F8" s="26">
        <v>548.68573560912705</v>
      </c>
      <c r="G8" s="26">
        <v>1003.3444724873331</v>
      </c>
      <c r="H8" s="26">
        <v>670.10753700414921</v>
      </c>
      <c r="I8" s="26">
        <v>358.88123239255833</v>
      </c>
      <c r="J8" s="26">
        <v>1969.6997569663233</v>
      </c>
      <c r="K8" s="27">
        <v>7789.5455697537109</v>
      </c>
    </row>
    <row r="9" spans="1:11" x14ac:dyDescent="0.2">
      <c r="A9" s="34" t="s">
        <v>10</v>
      </c>
      <c r="B9" s="26">
        <v>2.5849588924208655</v>
      </c>
      <c r="C9" s="26">
        <v>7.8008620966544262</v>
      </c>
      <c r="D9" s="26">
        <v>18.102403686551146</v>
      </c>
      <c r="E9" s="26">
        <v>18.676955260609045</v>
      </c>
      <c r="F9" s="26">
        <v>8.0162791011584336</v>
      </c>
      <c r="G9" s="26">
        <v>14.585975168612437</v>
      </c>
      <c r="H9" s="26">
        <v>10.084046670369803</v>
      </c>
      <c r="I9" s="26">
        <v>4.2322406559828671</v>
      </c>
      <c r="J9" s="26">
        <v>25.461595815423642</v>
      </c>
      <c r="K9" s="27">
        <v>109.54531734778267</v>
      </c>
    </row>
    <row r="10" spans="1:11" x14ac:dyDescent="0.2">
      <c r="A10" s="36" t="s">
        <v>11</v>
      </c>
      <c r="B10" s="37">
        <v>207.06657313310248</v>
      </c>
      <c r="C10" s="37">
        <v>517.60737929966899</v>
      </c>
      <c r="D10" s="37">
        <v>1304.174800746775</v>
      </c>
      <c r="E10" s="37">
        <v>1257.1432620509086</v>
      </c>
      <c r="F10" s="37">
        <v>556.70201471028554</v>
      </c>
      <c r="G10" s="37">
        <v>1017.9304476559455</v>
      </c>
      <c r="H10" s="37">
        <v>680.19158367451905</v>
      </c>
      <c r="I10" s="37">
        <v>363.11347304854121</v>
      </c>
      <c r="J10" s="37">
        <v>1995.1613527817469</v>
      </c>
      <c r="K10" s="37">
        <v>7899.0908871014935</v>
      </c>
    </row>
    <row r="11" spans="1:11" x14ac:dyDescent="0.2">
      <c r="A11" s="36" t="s">
        <v>12</v>
      </c>
      <c r="B11" s="26">
        <v>0</v>
      </c>
      <c r="C11" s="26">
        <v>1.3805560000000001</v>
      </c>
      <c r="D11" s="26">
        <v>1.2773479999999999</v>
      </c>
      <c r="E11" s="26">
        <v>1.413116</v>
      </c>
      <c r="F11" s="26">
        <v>1.1142829999999999</v>
      </c>
      <c r="G11" s="26">
        <v>1.0051349999999999</v>
      </c>
      <c r="H11" s="26">
        <v>3.5876289999999997</v>
      </c>
      <c r="I11" s="26">
        <v>2.6083029999999998</v>
      </c>
      <c r="J11" s="26">
        <v>3.3648359999999999</v>
      </c>
      <c r="K11" s="27">
        <v>15.751205999999998</v>
      </c>
    </row>
    <row r="12" spans="1:11" x14ac:dyDescent="0.2">
      <c r="A12" s="32" t="s">
        <v>11</v>
      </c>
      <c r="B12" s="37">
        <v>207.06657313310248</v>
      </c>
      <c r="C12" s="37">
        <v>518.98793529966895</v>
      </c>
      <c r="D12" s="37">
        <v>1305.452148746775</v>
      </c>
      <c r="E12" s="37">
        <v>1258.5563780509085</v>
      </c>
      <c r="F12" s="37">
        <v>557.81629771028554</v>
      </c>
      <c r="G12" s="37">
        <v>1018.9355826559455</v>
      </c>
      <c r="H12" s="37">
        <v>683.77921267451904</v>
      </c>
      <c r="I12" s="37">
        <v>365.72177604854119</v>
      </c>
      <c r="J12" s="37">
        <v>1998.5261887817469</v>
      </c>
      <c r="K12" s="37">
        <v>7914.8420931014934</v>
      </c>
    </row>
    <row r="13" spans="1:11" x14ac:dyDescent="0.2">
      <c r="A13" s="34"/>
      <c r="B13" s="38"/>
      <c r="C13" s="38"/>
      <c r="D13" s="38"/>
      <c r="E13" s="38"/>
      <c r="F13" s="38"/>
      <c r="G13" s="38"/>
      <c r="H13" s="38"/>
      <c r="I13" s="38"/>
      <c r="J13" s="38"/>
      <c r="K13" s="39"/>
    </row>
    <row r="14" spans="1:11" x14ac:dyDescent="0.2">
      <c r="A14" s="32" t="s">
        <v>61</v>
      </c>
      <c r="B14" s="38"/>
      <c r="C14" s="38"/>
      <c r="D14" s="38"/>
      <c r="E14" s="38"/>
      <c r="F14" s="38"/>
      <c r="G14" s="38"/>
      <c r="H14" s="38"/>
      <c r="I14" s="38"/>
      <c r="J14" s="38"/>
      <c r="K14" s="39"/>
    </row>
    <row r="15" spans="1:11" x14ac:dyDescent="0.2">
      <c r="A15" s="32"/>
      <c r="B15" s="38"/>
      <c r="C15" s="38"/>
      <c r="D15" s="38"/>
      <c r="E15" s="38"/>
      <c r="F15" s="38"/>
      <c r="G15" s="38"/>
      <c r="H15" s="38"/>
      <c r="I15" s="38"/>
      <c r="J15" s="38"/>
      <c r="K15" s="39"/>
    </row>
    <row r="16" spans="1:11" x14ac:dyDescent="0.2">
      <c r="A16" s="34"/>
      <c r="B16" s="40" t="s">
        <v>0</v>
      </c>
      <c r="C16" s="40" t="s">
        <v>1</v>
      </c>
      <c r="D16" s="40" t="s">
        <v>2</v>
      </c>
      <c r="E16" s="40" t="s">
        <v>3</v>
      </c>
      <c r="F16" s="40" t="s">
        <v>4</v>
      </c>
      <c r="G16" s="40" t="s">
        <v>5</v>
      </c>
      <c r="H16" s="40" t="s">
        <v>6</v>
      </c>
      <c r="I16" s="40" t="s">
        <v>7</v>
      </c>
      <c r="J16" s="40" t="s">
        <v>8</v>
      </c>
      <c r="K16" s="40" t="s">
        <v>9</v>
      </c>
    </row>
    <row r="17" spans="1:11" x14ac:dyDescent="0.2">
      <c r="A17" s="34" t="s">
        <v>60</v>
      </c>
      <c r="B17" s="26">
        <v>335.73690860466331</v>
      </c>
      <c r="C17" s="26">
        <v>686.04134364824449</v>
      </c>
      <c r="D17" s="26">
        <v>1858.3165602811462</v>
      </c>
      <c r="E17" s="26">
        <v>1618.8362549675053</v>
      </c>
      <c r="F17" s="26">
        <v>651.09388367522524</v>
      </c>
      <c r="G17" s="26">
        <v>1413.2467568151917</v>
      </c>
      <c r="H17" s="26">
        <v>844.9212175219717</v>
      </c>
      <c r="I17" s="26">
        <v>451.81755680286358</v>
      </c>
      <c r="J17" s="26">
        <v>1899.3195486638633</v>
      </c>
      <c r="K17" s="27">
        <v>9759.3300309806746</v>
      </c>
    </row>
    <row r="18" spans="1:11" x14ac:dyDescent="0.2">
      <c r="A18" s="34" t="s">
        <v>10</v>
      </c>
      <c r="B18" s="26">
        <v>7.4614240514036503</v>
      </c>
      <c r="C18" s="26">
        <v>15.884890528149553</v>
      </c>
      <c r="D18" s="26">
        <v>43.634764749257826</v>
      </c>
      <c r="E18" s="26">
        <v>39.669658046300526</v>
      </c>
      <c r="F18" s="26">
        <v>15.21023229191918</v>
      </c>
      <c r="G18" s="26">
        <v>33.264516367090167</v>
      </c>
      <c r="H18" s="26">
        <v>20.508961352400831</v>
      </c>
      <c r="I18" s="26">
        <v>10.862072054554476</v>
      </c>
      <c r="J18" s="26">
        <v>47.240725304244087</v>
      </c>
      <c r="K18" s="27">
        <v>233.73724474532028</v>
      </c>
    </row>
    <row r="19" spans="1:11" x14ac:dyDescent="0.2">
      <c r="A19" s="36" t="s">
        <v>11</v>
      </c>
      <c r="B19" s="37">
        <v>343.19833265606695</v>
      </c>
      <c r="C19" s="37">
        <v>701.92623417639402</v>
      </c>
      <c r="D19" s="37">
        <v>1901.951325030404</v>
      </c>
      <c r="E19" s="37">
        <v>1658.5059130138059</v>
      </c>
      <c r="F19" s="37">
        <v>666.30411596714441</v>
      </c>
      <c r="G19" s="37">
        <v>1446.5112731822819</v>
      </c>
      <c r="H19" s="37">
        <v>865.43017887437259</v>
      </c>
      <c r="I19" s="37">
        <v>462.67962885741804</v>
      </c>
      <c r="J19" s="37">
        <v>1946.5602739681074</v>
      </c>
      <c r="K19" s="37">
        <v>9993.0672757259945</v>
      </c>
    </row>
    <row r="20" spans="1:11" x14ac:dyDescent="0.2">
      <c r="A20" s="36" t="s">
        <v>12</v>
      </c>
      <c r="B20" s="26">
        <v>0</v>
      </c>
      <c r="C20" s="26">
        <v>1.1644459999999999</v>
      </c>
      <c r="D20" s="26">
        <v>1.0535699999999999</v>
      </c>
      <c r="E20" s="26">
        <v>1.198081</v>
      </c>
      <c r="F20" s="26">
        <v>0.79811300000000007</v>
      </c>
      <c r="G20" s="26">
        <v>0.76725900000000002</v>
      </c>
      <c r="H20" s="26">
        <v>2.9106000000000001</v>
      </c>
      <c r="I20" s="26">
        <v>2.1593710000000002</v>
      </c>
      <c r="J20" s="26">
        <v>3.2454160000000001</v>
      </c>
      <c r="K20" s="27">
        <v>13.296856</v>
      </c>
    </row>
    <row r="21" spans="1:11" x14ac:dyDescent="0.2">
      <c r="A21" s="32" t="s">
        <v>11</v>
      </c>
      <c r="B21" s="37">
        <v>343.19833265606695</v>
      </c>
      <c r="C21" s="37">
        <v>703.09068017639402</v>
      </c>
      <c r="D21" s="37">
        <v>1903.004895030404</v>
      </c>
      <c r="E21" s="37">
        <v>1659.7039940138059</v>
      </c>
      <c r="F21" s="37">
        <v>667.10222896714436</v>
      </c>
      <c r="G21" s="37">
        <v>1447.2785321822819</v>
      </c>
      <c r="H21" s="37">
        <v>868.34077887437263</v>
      </c>
      <c r="I21" s="37">
        <v>464.83899985741806</v>
      </c>
      <c r="J21" s="37">
        <v>1949.8056899681073</v>
      </c>
      <c r="K21" s="37">
        <v>10006.364131725995</v>
      </c>
    </row>
    <row r="22" spans="1:11" x14ac:dyDescent="0.2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</row>
    <row r="23" spans="1:11" x14ac:dyDescent="0.2">
      <c r="A23" s="41" t="s">
        <v>31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/>
      <c r="B25" s="40"/>
      <c r="C25" s="40"/>
      <c r="D25" s="40"/>
      <c r="E25" s="40"/>
      <c r="F25" s="40"/>
      <c r="G25" s="40"/>
      <c r="H25" s="40"/>
      <c r="I25" s="40"/>
      <c r="J25" s="40"/>
      <c r="K25" s="40"/>
    </row>
    <row r="26" spans="1:11" x14ac:dyDescent="0.2">
      <c r="A26" s="33" t="s">
        <v>14</v>
      </c>
      <c r="B26" s="42">
        <v>50.710630209660124</v>
      </c>
      <c r="C26" s="42">
        <v>102.19409336157688</v>
      </c>
      <c r="D26" s="42">
        <v>282.42092792969891</v>
      </c>
      <c r="E26" s="42">
        <v>251.50998537613614</v>
      </c>
      <c r="F26" s="42">
        <v>94.174901044430882</v>
      </c>
      <c r="G26" s="42">
        <v>216.18238477384728</v>
      </c>
      <c r="H26" s="42">
        <v>123.05820766580358</v>
      </c>
      <c r="I26" s="42">
        <v>64.137460688723692</v>
      </c>
      <c r="J26" s="42">
        <v>283.23706144106063</v>
      </c>
      <c r="K26" s="37">
        <v>1467.6256524909379</v>
      </c>
    </row>
    <row r="27" spans="1:1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41" t="s">
        <v>15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41" t="s">
        <v>16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4" t="s">
        <v>14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  <c r="K34" s="35"/>
    </row>
    <row r="35" spans="1:11" x14ac:dyDescent="0.2">
      <c r="A35" s="34" t="s">
        <v>60</v>
      </c>
      <c r="B35" s="42">
        <v>9.4018190081851625</v>
      </c>
      <c r="C35" s="42">
        <v>31.887366983449557</v>
      </c>
      <c r="D35" s="42">
        <v>56.992663329058551</v>
      </c>
      <c r="E35" s="42">
        <v>54.748237074809154</v>
      </c>
      <c r="F35" s="42">
        <v>35.377862663135062</v>
      </c>
      <c r="G35" s="42">
        <v>49.114652112219979</v>
      </c>
      <c r="H35" s="42">
        <v>54.466745487737747</v>
      </c>
      <c r="I35" s="42">
        <v>18.056747005340842</v>
      </c>
      <c r="J35" s="42">
        <v>65.276022431279969</v>
      </c>
      <c r="K35" s="37">
        <v>375.32211609521602</v>
      </c>
    </row>
    <row r="36" spans="1:11" x14ac:dyDescent="0.2">
      <c r="A36" s="34" t="s">
        <v>10</v>
      </c>
      <c r="B36" s="42">
        <v>6.4605214836141386E-2</v>
      </c>
      <c r="C36" s="42">
        <v>0.21911612983947271</v>
      </c>
      <c r="D36" s="42">
        <v>0.39162881728017235</v>
      </c>
      <c r="E36" s="42">
        <v>0.37620609533525567</v>
      </c>
      <c r="F36" s="42">
        <v>0.24310129941935157</v>
      </c>
      <c r="G36" s="42">
        <v>0.33749454744342799</v>
      </c>
      <c r="H36" s="42">
        <v>0.37427180746590605</v>
      </c>
      <c r="I36" s="42">
        <v>0.12407811919228698</v>
      </c>
      <c r="J36" s="42">
        <v>0.44854846164878837</v>
      </c>
      <c r="K36" s="37">
        <v>2.5790504924608029</v>
      </c>
    </row>
    <row r="37" spans="1:11" x14ac:dyDescent="0.2">
      <c r="A37" s="43" t="s">
        <v>11</v>
      </c>
      <c r="B37" s="37">
        <v>9.4664242230213045</v>
      </c>
      <c r="C37" s="37">
        <v>32.10648311328903</v>
      </c>
      <c r="D37" s="37">
        <v>57.384292146338723</v>
      </c>
      <c r="E37" s="37">
        <v>55.12444317014441</v>
      </c>
      <c r="F37" s="37">
        <v>35.620963962554413</v>
      </c>
      <c r="G37" s="37">
        <v>49.452146659663406</v>
      </c>
      <c r="H37" s="37">
        <v>54.841017295203656</v>
      </c>
      <c r="I37" s="37">
        <v>18.180825124533129</v>
      </c>
      <c r="J37" s="37">
        <v>65.724570892928753</v>
      </c>
      <c r="K37" s="37">
        <v>377.90116658767687</v>
      </c>
    </row>
    <row r="38" spans="1:11" x14ac:dyDescent="0.2">
      <c r="A38" s="33"/>
      <c r="B38" s="38"/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">
      <c r="A39" s="41" t="s">
        <v>17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">
      <c r="A40" s="34" t="s">
        <v>14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">
      <c r="A41" s="34"/>
      <c r="B41" s="40" t="s">
        <v>0</v>
      </c>
      <c r="C41" s="40" t="s">
        <v>1</v>
      </c>
      <c r="D41" s="40" t="s">
        <v>2</v>
      </c>
      <c r="E41" s="40" t="s">
        <v>3</v>
      </c>
      <c r="F41" s="40" t="s">
        <v>4</v>
      </c>
      <c r="G41" s="40" t="s">
        <v>5</v>
      </c>
      <c r="H41" s="40" t="s">
        <v>6</v>
      </c>
      <c r="I41" s="40" t="s">
        <v>7</v>
      </c>
      <c r="J41" s="40" t="s">
        <v>8</v>
      </c>
      <c r="K41" s="40" t="s">
        <v>9</v>
      </c>
    </row>
    <row r="42" spans="1:11" x14ac:dyDescent="0.2">
      <c r="A42" s="34" t="s">
        <v>60</v>
      </c>
      <c r="B42" s="42">
        <v>6.9669185310542669E-2</v>
      </c>
      <c r="C42" s="42">
        <v>0.60163474433426256</v>
      </c>
      <c r="D42" s="42">
        <v>8.5439218697361259</v>
      </c>
      <c r="E42" s="42">
        <v>4.2793411451763861</v>
      </c>
      <c r="F42" s="42">
        <v>2.9148878633741471</v>
      </c>
      <c r="G42" s="42">
        <v>1.4642337251707271</v>
      </c>
      <c r="H42" s="42">
        <v>0.63587892016486847</v>
      </c>
      <c r="I42" s="42">
        <v>0.4705622092584959</v>
      </c>
      <c r="J42" s="42">
        <v>40.06155280403604</v>
      </c>
      <c r="K42" s="42">
        <v>59.041682466561596</v>
      </c>
    </row>
    <row r="43" spans="1:11" x14ac:dyDescent="0.2">
      <c r="A43" s="34" t="s">
        <v>10</v>
      </c>
      <c r="B43" s="42">
        <v>3.1942763982596034E-4</v>
      </c>
      <c r="C43" s="42">
        <v>2.7584471608699916E-3</v>
      </c>
      <c r="D43" s="42">
        <v>3.9173198101030718E-2</v>
      </c>
      <c r="E43" s="42">
        <v>1.9620436724225782E-2</v>
      </c>
      <c r="F43" s="42">
        <v>1.3364527608651314E-2</v>
      </c>
      <c r="G43" s="42">
        <v>6.7133944641386729E-3</v>
      </c>
      <c r="H43" s="42">
        <v>2.9154539668860479E-3</v>
      </c>
      <c r="I43" s="42">
        <v>2.1574900757736371E-3</v>
      </c>
      <c r="J43" s="42">
        <v>0.18367901394162617</v>
      </c>
      <c r="K43" s="42">
        <v>0.27070138968302826</v>
      </c>
    </row>
    <row r="44" spans="1:11" x14ac:dyDescent="0.2">
      <c r="A44" s="43" t="s">
        <v>11</v>
      </c>
      <c r="B44" s="37">
        <v>6.9988612950368637E-2</v>
      </c>
      <c r="C44" s="37">
        <v>0.6043931914951326</v>
      </c>
      <c r="D44" s="37">
        <v>8.5830950678371565</v>
      </c>
      <c r="E44" s="37">
        <v>4.2989615819006115</v>
      </c>
      <c r="F44" s="37">
        <v>2.9282523909827982</v>
      </c>
      <c r="G44" s="37">
        <v>1.4709471196348658</v>
      </c>
      <c r="H44" s="37">
        <v>0.63879437413175455</v>
      </c>
      <c r="I44" s="37">
        <v>0.47271969933426955</v>
      </c>
      <c r="J44" s="37">
        <v>40.245231817977668</v>
      </c>
      <c r="K44" s="37">
        <v>59.312383856244622</v>
      </c>
    </row>
    <row r="45" spans="1:11" x14ac:dyDescent="0.2">
      <c r="A45" s="33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x14ac:dyDescent="0.2">
      <c r="A46" s="41" t="s">
        <v>18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">
      <c r="A47" s="34" t="s">
        <v>14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">
      <c r="A48" s="34"/>
      <c r="B48" s="40" t="s">
        <v>0</v>
      </c>
      <c r="C48" s="40" t="s">
        <v>1</v>
      </c>
      <c r="D48" s="40" t="s">
        <v>2</v>
      </c>
      <c r="E48" s="40" t="s">
        <v>3</v>
      </c>
      <c r="F48" s="40" t="s">
        <v>4</v>
      </c>
      <c r="G48" s="40" t="s">
        <v>5</v>
      </c>
      <c r="H48" s="40" t="s">
        <v>6</v>
      </c>
      <c r="I48" s="40" t="s">
        <v>7</v>
      </c>
      <c r="J48" s="40" t="s">
        <v>8</v>
      </c>
      <c r="K48" s="40" t="s">
        <v>9</v>
      </c>
    </row>
    <row r="49" spans="1:11" x14ac:dyDescent="0.2">
      <c r="A49" s="34" t="s">
        <v>60</v>
      </c>
      <c r="B49" s="42">
        <v>1.3600384273452484</v>
      </c>
      <c r="C49" s="42">
        <v>2.7408039191154834</v>
      </c>
      <c r="D49" s="42">
        <v>7.5744141432050993</v>
      </c>
      <c r="E49" s="42">
        <v>6.7453952664036354</v>
      </c>
      <c r="F49" s="42">
        <v>2.5257324506186731</v>
      </c>
      <c r="G49" s="42">
        <v>5.7979234214202275</v>
      </c>
      <c r="H49" s="42">
        <v>3.3003709583921221</v>
      </c>
      <c r="I49" s="42">
        <v>1.7201405466341984</v>
      </c>
      <c r="J49" s="42">
        <v>7.5963025112397116</v>
      </c>
      <c r="K49" s="42">
        <v>39.3611216443744</v>
      </c>
    </row>
    <row r="50" spans="1:11" x14ac:dyDescent="0.2">
      <c r="A50" s="34" t="s">
        <v>10</v>
      </c>
      <c r="B50" s="42">
        <v>6.2356673611591307E-3</v>
      </c>
      <c r="C50" s="42">
        <v>1.2566366654159083E-2</v>
      </c>
      <c r="D50" s="42">
        <v>3.4728082753426863E-2</v>
      </c>
      <c r="E50" s="42">
        <v>3.0927097540129581E-2</v>
      </c>
      <c r="F50" s="42">
        <v>1.1580281180794372E-2</v>
      </c>
      <c r="G50" s="42">
        <v>2.658301494614625E-2</v>
      </c>
      <c r="H50" s="42">
        <v>1.513193675353341E-2</v>
      </c>
      <c r="I50" s="42">
        <v>7.8867067632720587E-3</v>
      </c>
      <c r="J50" s="42">
        <v>3.4828439169392371E-2</v>
      </c>
      <c r="K50" s="42">
        <v>0.1804675931220131</v>
      </c>
    </row>
    <row r="51" spans="1:11" x14ac:dyDescent="0.2">
      <c r="A51" s="43" t="s">
        <v>11</v>
      </c>
      <c r="B51" s="37">
        <v>1.3662740947064076</v>
      </c>
      <c r="C51" s="37">
        <v>2.7533702857696425</v>
      </c>
      <c r="D51" s="37">
        <v>7.609142225958526</v>
      </c>
      <c r="E51" s="37">
        <v>6.7763223639437653</v>
      </c>
      <c r="F51" s="37">
        <v>2.5373127317994677</v>
      </c>
      <c r="G51" s="37">
        <v>5.8245064363663737</v>
      </c>
      <c r="H51" s="37">
        <v>3.3155028951456553</v>
      </c>
      <c r="I51" s="37">
        <v>1.7280272533974703</v>
      </c>
      <c r="J51" s="37">
        <v>7.6311309504091041</v>
      </c>
      <c r="K51" s="37">
        <v>39.54158923749641</v>
      </c>
    </row>
    <row r="53" spans="1:11" x14ac:dyDescent="0.2">
      <c r="A53" s="15" t="s">
        <v>62</v>
      </c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1:11" x14ac:dyDescent="0.2">
      <c r="A54" s="4" t="s">
        <v>14</v>
      </c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">
      <c r="A55" s="4" t="s">
        <v>63</v>
      </c>
      <c r="B55" s="4"/>
      <c r="C55" s="4"/>
      <c r="D55" s="47">
        <v>8.0183018770405567E-2</v>
      </c>
      <c r="E55" s="4"/>
      <c r="F55" s="4"/>
      <c r="G55" s="4"/>
      <c r="H55" s="4"/>
      <c r="I55" s="4"/>
      <c r="J55" s="4"/>
      <c r="K55" s="4"/>
    </row>
    <row r="56" spans="1:11" x14ac:dyDescent="0.2">
      <c r="A56" s="4"/>
      <c r="B56" s="14" t="s">
        <v>0</v>
      </c>
      <c r="C56" s="14" t="s">
        <v>1</v>
      </c>
      <c r="D56" s="14" t="s">
        <v>2</v>
      </c>
      <c r="E56" s="14" t="s">
        <v>3</v>
      </c>
      <c r="F56" s="14" t="s">
        <v>4</v>
      </c>
      <c r="G56" s="14" t="s">
        <v>5</v>
      </c>
      <c r="H56" s="14" t="s">
        <v>6</v>
      </c>
      <c r="I56" s="14" t="s">
        <v>7</v>
      </c>
      <c r="J56" s="14" t="s">
        <v>8</v>
      </c>
      <c r="K56" s="14" t="s">
        <v>9</v>
      </c>
    </row>
    <row r="57" spans="1:11" s="45" customFormat="1" x14ac:dyDescent="0.2">
      <c r="A57" s="46" t="s">
        <v>64</v>
      </c>
      <c r="B57" s="16">
        <v>3.2260301999999998</v>
      </c>
      <c r="C57" s="16">
        <v>12.25946253</v>
      </c>
      <c r="D57" s="16">
        <v>27.35708069</v>
      </c>
      <c r="E57" s="16">
        <v>26.405468920000004</v>
      </c>
      <c r="F57" s="16">
        <v>11.24278818</v>
      </c>
      <c r="G57" s="16">
        <v>21.244845300000001</v>
      </c>
      <c r="H57" s="16">
        <v>12.180922330000001</v>
      </c>
      <c r="I57" s="16">
        <v>8.6497251100000021</v>
      </c>
      <c r="J57" s="16">
        <v>0</v>
      </c>
      <c r="K57" s="16">
        <v>122.56632326000002</v>
      </c>
    </row>
    <row r="58" spans="1:11" x14ac:dyDescent="0.2">
      <c r="A58" s="43"/>
      <c r="B58" s="37"/>
      <c r="C58" s="37"/>
      <c r="D58" s="37"/>
      <c r="E58" s="37"/>
      <c r="F58" s="37"/>
      <c r="G58" s="37"/>
      <c r="H58" s="37"/>
      <c r="I58" s="37"/>
      <c r="J58" s="37"/>
      <c r="K58" s="37"/>
    </row>
  </sheetData>
  <phoneticPr fontId="13" type="noConversion"/>
  <pageMargins left="0.62" right="0.55000000000000004" top="0.984251969" bottom="0.984251969" header="0.4921259845" footer="0.4921259845"/>
  <pageSetup paperSize="9" scale="96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27</vt:i4>
      </vt:variant>
    </vt:vector>
  </HeadingPairs>
  <TitlesOfParts>
    <vt:vector size="49" baseType="lpstr">
      <vt:lpstr>2000 Euro</vt:lpstr>
      <vt:lpstr>2001 Euro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'2000 Euro'!Druckbereich</vt:lpstr>
      <vt:lpstr>'2001 Euro'!Druckbereich</vt:lpstr>
      <vt:lpstr>'2008'!Druckbereich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  <vt:lpstr>'2021'!Druckbereich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  <vt:lpstr>'2019'!Drucktitel</vt:lpstr>
      <vt:lpstr>'2020'!Drucktitel</vt:lpstr>
      <vt:lpstr>'2021'!Drucktitel</vt:lpstr>
    </vt:vector>
  </TitlesOfParts>
  <Company>BRZ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STURMLECHNER</dc:creator>
  <cp:lastModifiedBy>Sturmlechner Christian</cp:lastModifiedBy>
  <cp:lastPrinted>2017-04-10T12:25:45Z</cp:lastPrinted>
  <dcterms:created xsi:type="dcterms:W3CDTF">2003-11-20T11:17:29Z</dcterms:created>
  <dcterms:modified xsi:type="dcterms:W3CDTF">2022-05-05T08:33:52Z</dcterms:modified>
</cp:coreProperties>
</file>