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Daten\WOHNBAU\"/>
    </mc:Choice>
  </mc:AlternateContent>
  <bookViews>
    <workbookView xWindow="0" yWindow="1905" windowWidth="11400" windowHeight="6090" tabRatio="803" firstSheet="5" activeTab="25"/>
  </bookViews>
  <sheets>
    <sheet name="1989-1997" sheetId="1" r:id="rId1"/>
    <sheet name="1995" sheetId="2" state="hidden" r:id="rId2"/>
    <sheet name="1996" sheetId="3" r:id="rId3"/>
    <sheet name="1997" sheetId="4" r:id="rId4"/>
    <sheet name="1998" sheetId="5" r:id="rId5"/>
    <sheet name="1999" sheetId="22" r:id="rId6"/>
    <sheet name="2000" sheetId="33" r:id="rId7"/>
    <sheet name="2001" sheetId="34" r:id="rId8"/>
    <sheet name="2002" sheetId="35" r:id="rId9"/>
    <sheet name="2003" sheetId="36" r:id="rId10"/>
    <sheet name="2004" sheetId="37" r:id="rId11"/>
    <sheet name="2005" sheetId="38" r:id="rId12"/>
    <sheet name="2006" sheetId="39" r:id="rId13"/>
    <sheet name="2007" sheetId="40" r:id="rId14"/>
    <sheet name="2008" sheetId="42" r:id="rId15"/>
    <sheet name="2009" sheetId="45" r:id="rId16"/>
    <sheet name="2010" sheetId="46" r:id="rId17"/>
    <sheet name="2011" sheetId="53" r:id="rId18"/>
    <sheet name="2012" sheetId="54" r:id="rId19"/>
    <sheet name="2013" sheetId="55" r:id="rId20"/>
    <sheet name="2014" sheetId="56" r:id="rId21"/>
    <sheet name="2015" sheetId="57" r:id="rId22"/>
    <sheet name="2016" sheetId="58" r:id="rId23"/>
    <sheet name="2017" sheetId="59" r:id="rId24"/>
    <sheet name="2018" sheetId="60" r:id="rId25"/>
    <sheet name="2019" sheetId="61" r:id="rId26"/>
  </sheets>
  <definedNames>
    <definedName name="_xlnm.Print_Area" localSheetId="0">'1989-1997'!$A$4:$K$34,'1989-1997'!$A$37:$K$67,'1989-1997'!$A$70:$K$106</definedName>
    <definedName name="_xlnm.Print_Area" localSheetId="2">'1996'!$1:$43</definedName>
    <definedName name="_xlnm.Print_Area" localSheetId="3">'1997'!$A$6:$K$30,'1997'!$A$33:$K$74</definedName>
    <definedName name="_xlnm.Print_Area" localSheetId="4">'1998'!$A$6:$K$30,'1998'!$A$33:$K$74</definedName>
    <definedName name="_xlnm.Print_Area" localSheetId="5">'1999'!$A$6:$K$30,'1999'!$A$33:$K$75</definedName>
    <definedName name="_xlnm.Print_Area" localSheetId="6">'2000'!$A$6:$K$30,'2000'!$A$33:$K$76</definedName>
    <definedName name="_xlnm.Print_Area" localSheetId="7">'2001'!$A$6:$K$31,'2001'!$A$34:$K$56,'2001'!$A$58:$K$97</definedName>
    <definedName name="_xlnm.Print_Area" localSheetId="8">'2002'!$A$6:$K$31,'2002'!$A$34:$K$56,'2002'!$A$58:$K$98</definedName>
    <definedName name="_xlnm.Print_Area" localSheetId="9">'2003'!$A$6:$K$31,'2003'!$A$34:$K$56,'2003'!$A$58:$K$98</definedName>
    <definedName name="_xlnm.Print_Area" localSheetId="10">'2004'!$A$6:$K$31,'2004'!$A$34:$K$56,'2004'!$A$58:$K$98</definedName>
    <definedName name="_xlnm.Print_Area" localSheetId="11">'2005'!$A$6:$K$31,'2005'!$A$34:$K$56,'2005'!$A$58:$K$100</definedName>
    <definedName name="_xlnm.Print_Area" localSheetId="12">'2006'!$A$6:$K$31,'2006'!$A$34:$K$56,'2006'!$A$58:$K$100</definedName>
    <definedName name="_xlnm.Print_Area" localSheetId="13">'2007'!$A$6:$K$31,'2007'!$A$34:$K$56,'2007'!$A$58:$K$100</definedName>
    <definedName name="_xlnm.Print_Area" localSheetId="14">'2008'!$A$6:$K$31,'2008'!$A$34:$K$56,'2008'!$A$58:$K$101</definedName>
    <definedName name="_xlnm.Print_Area" localSheetId="15">'2009'!$A$6:$K$39,'2009'!$A$41:$K$75</definedName>
    <definedName name="_xlnm.Print_Area" localSheetId="16">'2010'!$A$6:$K$39,'2010'!$A$41:$K$75</definedName>
    <definedName name="_xlnm.Print_Area" localSheetId="17">'2011'!$A$6:$K$39,'2011'!$A$41:$K$75</definedName>
    <definedName name="_xlnm.Print_Area" localSheetId="18">'2012'!$A$6:$K$39,'2012'!$A$41:$K$76</definedName>
    <definedName name="_xlnm.Print_Area" localSheetId="19">'2013'!$A$6:$K$39,'2013'!$A$41:$K$74</definedName>
    <definedName name="_xlnm.Print_Area" localSheetId="20">'2014'!$A$6:$K$39,'2014'!$A$41:$K$74</definedName>
    <definedName name="_xlnm.Print_Area" localSheetId="21">'2015'!$A$6:$K$39,'2015'!$A$41:$K$75</definedName>
    <definedName name="_xlnm.Print_Area" localSheetId="22">'2016'!$A$6:$K$39,'2016'!$A$41:$K$75</definedName>
    <definedName name="_xlnm.Print_Area" localSheetId="23">'2017'!$A$6:$K$39,'2017'!$A$41:$K$75</definedName>
    <definedName name="_xlnm.Print_Area" localSheetId="24">'2018'!$A$6:$K$39,'2018'!$A$41:$K$75</definedName>
    <definedName name="_xlnm.Print_Area" localSheetId="25">'2019'!$A$6:$K$39,'2019'!$A$41:$K$75</definedName>
    <definedName name="_xlnm.Print_Titles" localSheetId="0">'1989-1997'!$1:$3</definedName>
    <definedName name="_xlnm.Print_Titles" localSheetId="1">'1995'!$1:$5</definedName>
    <definedName name="_xlnm.Print_Titles" localSheetId="2">'1996'!$1:$5</definedName>
    <definedName name="_xlnm.Print_Titles" localSheetId="3">'1997'!$1:$5</definedName>
    <definedName name="_xlnm.Print_Titles" localSheetId="4">'1998'!$1:$5</definedName>
    <definedName name="_xlnm.Print_Titles" localSheetId="5">'1999'!$1:$5</definedName>
    <definedName name="_xlnm.Print_Titles" localSheetId="6">'2000'!$1:$5</definedName>
    <definedName name="_xlnm.Print_Titles" localSheetId="7">'2001'!$1:$5</definedName>
    <definedName name="_xlnm.Print_Titles" localSheetId="8">'2002'!$1:$5</definedName>
    <definedName name="_xlnm.Print_Titles" localSheetId="9">'2003'!$1:$5</definedName>
    <definedName name="_xlnm.Print_Titles" localSheetId="10">'2004'!$1:$5</definedName>
    <definedName name="_xlnm.Print_Titles" localSheetId="11">'2005'!$1:$5</definedName>
    <definedName name="_xlnm.Print_Titles" localSheetId="12">'2006'!$1:$5</definedName>
    <definedName name="_xlnm.Print_Titles" localSheetId="13">'2007'!$1:$5</definedName>
    <definedName name="_xlnm.Print_Titles" localSheetId="14">'2008'!$1:$5</definedName>
    <definedName name="_xlnm.Print_Titles" localSheetId="15">'2009'!$1:$5</definedName>
    <definedName name="_xlnm.Print_Titles" localSheetId="16">'2010'!$1:$5</definedName>
    <definedName name="_xlnm.Print_Titles" localSheetId="17">'2011'!$1:$5</definedName>
    <definedName name="_xlnm.Print_Titles" localSheetId="18">'2012'!$1:$5</definedName>
    <definedName name="_xlnm.Print_Titles" localSheetId="19">'2013'!$1:$5</definedName>
    <definedName name="_xlnm.Print_Titles" localSheetId="20">'2014'!$1:$5</definedName>
    <definedName name="_xlnm.Print_Titles" localSheetId="21">'2015'!$1:$5</definedName>
    <definedName name="_xlnm.Print_Titles" localSheetId="22">'2016'!$1:$5</definedName>
    <definedName name="_xlnm.Print_Titles" localSheetId="23">'2017'!$1:$5</definedName>
    <definedName name="_xlnm.Print_Titles" localSheetId="24">'2018'!$1:$5</definedName>
    <definedName name="_xlnm.Print_Titles" localSheetId="25">'2019'!$1:$5</definedName>
  </definedNames>
  <calcPr calcId="162913"/>
</workbook>
</file>

<file path=xl/calcChain.xml><?xml version="1.0" encoding="utf-8"?>
<calcChain xmlns="http://schemas.openxmlformats.org/spreadsheetml/2006/main">
  <c r="K66" i="61" l="1"/>
  <c r="K65" i="61"/>
  <c r="K63" i="61"/>
  <c r="J61" i="61"/>
  <c r="I61" i="61"/>
  <c r="H61" i="61"/>
  <c r="G61" i="61"/>
  <c r="E61" i="61"/>
  <c r="D61" i="61"/>
  <c r="C61" i="61"/>
  <c r="B61" i="61"/>
  <c r="K59" i="61"/>
  <c r="F58" i="61"/>
  <c r="F61" i="61" s="1"/>
  <c r="J54" i="61"/>
  <c r="I54" i="61"/>
  <c r="H54" i="61"/>
  <c r="G54" i="61"/>
  <c r="F54" i="61"/>
  <c r="E54" i="61"/>
  <c r="D54" i="61"/>
  <c r="C54" i="61"/>
  <c r="B54" i="61"/>
  <c r="K54" i="61" s="1"/>
  <c r="K52" i="61"/>
  <c r="K51" i="61"/>
  <c r="K50" i="61"/>
  <c r="K49" i="61"/>
  <c r="K48" i="61"/>
  <c r="K47" i="61"/>
  <c r="K46" i="61"/>
  <c r="K45" i="61"/>
  <c r="K39" i="61"/>
  <c r="K38" i="61"/>
  <c r="K37" i="61"/>
  <c r="K34" i="61"/>
  <c r="J32" i="61"/>
  <c r="G32" i="61"/>
  <c r="F32" i="61"/>
  <c r="C32" i="61"/>
  <c r="B32" i="61"/>
  <c r="J30" i="61"/>
  <c r="I30" i="61"/>
  <c r="H30" i="61"/>
  <c r="H32" i="61" s="1"/>
  <c r="G30" i="61"/>
  <c r="F30" i="61"/>
  <c r="E30" i="61"/>
  <c r="D30" i="61"/>
  <c r="C30" i="61"/>
  <c r="B30" i="61"/>
  <c r="K30" i="61" s="1"/>
  <c r="K28" i="61"/>
  <c r="K27" i="61"/>
  <c r="K26" i="61"/>
  <c r="K25" i="61"/>
  <c r="K24" i="61"/>
  <c r="K23" i="61"/>
  <c r="J18" i="61"/>
  <c r="I18" i="61"/>
  <c r="I32" i="61" s="1"/>
  <c r="H18" i="61"/>
  <c r="G18" i="61"/>
  <c r="F18" i="61"/>
  <c r="E18" i="61"/>
  <c r="E32" i="61" s="1"/>
  <c r="D18" i="61"/>
  <c r="D32" i="61" s="1"/>
  <c r="C18" i="61"/>
  <c r="B18" i="61"/>
  <c r="K18" i="61" s="1"/>
  <c r="K16" i="61"/>
  <c r="K15" i="61"/>
  <c r="K14" i="61"/>
  <c r="K13" i="61"/>
  <c r="K12" i="61"/>
  <c r="K11" i="61"/>
  <c r="K10" i="61"/>
  <c r="K66" i="60"/>
  <c r="K65" i="60"/>
  <c r="K63" i="60"/>
  <c r="J61" i="60"/>
  <c r="I61" i="60"/>
  <c r="H61" i="60"/>
  <c r="G61" i="60"/>
  <c r="E61" i="60"/>
  <c r="D61" i="60"/>
  <c r="C61" i="60"/>
  <c r="B61" i="60"/>
  <c r="K59" i="60"/>
  <c r="K58" i="60"/>
  <c r="F58" i="60"/>
  <c r="F61" i="60" s="1"/>
  <c r="J54" i="60"/>
  <c r="I54" i="60"/>
  <c r="H54" i="60"/>
  <c r="G54" i="60"/>
  <c r="F54" i="60"/>
  <c r="E54" i="60"/>
  <c r="D54" i="60"/>
  <c r="C54" i="60"/>
  <c r="B54" i="60"/>
  <c r="K54" i="60" s="1"/>
  <c r="K52" i="60"/>
  <c r="K51" i="60"/>
  <c r="K50" i="60"/>
  <c r="K49" i="60"/>
  <c r="K48" i="60"/>
  <c r="K47" i="60"/>
  <c r="K46" i="60"/>
  <c r="K45" i="60"/>
  <c r="K39" i="60"/>
  <c r="K38" i="60"/>
  <c r="K37" i="60"/>
  <c r="K34" i="60"/>
  <c r="H32" i="60"/>
  <c r="G32" i="60"/>
  <c r="D32" i="60"/>
  <c r="C32" i="60"/>
  <c r="J30" i="60"/>
  <c r="I30" i="60"/>
  <c r="H30" i="60"/>
  <c r="G30" i="60"/>
  <c r="F30" i="60"/>
  <c r="E30" i="60"/>
  <c r="D30" i="60"/>
  <c r="C30" i="60"/>
  <c r="B30" i="60"/>
  <c r="K30" i="60" s="1"/>
  <c r="K28" i="60"/>
  <c r="K27" i="60"/>
  <c r="K26" i="60"/>
  <c r="K25" i="60"/>
  <c r="K24" i="60"/>
  <c r="K23" i="60"/>
  <c r="J18" i="60"/>
  <c r="J32" i="60" s="1"/>
  <c r="I18" i="60"/>
  <c r="I32" i="60" s="1"/>
  <c r="H18" i="60"/>
  <c r="G18" i="60"/>
  <c r="F18" i="60"/>
  <c r="F32" i="60" s="1"/>
  <c r="E18" i="60"/>
  <c r="E32" i="60" s="1"/>
  <c r="D18" i="60"/>
  <c r="C18" i="60"/>
  <c r="B18" i="60"/>
  <c r="B32" i="60" s="1"/>
  <c r="K32" i="60" s="1"/>
  <c r="K16" i="60"/>
  <c r="K15" i="60"/>
  <c r="K14" i="60"/>
  <c r="K13" i="60"/>
  <c r="K12" i="60"/>
  <c r="K11" i="60"/>
  <c r="K10" i="60"/>
  <c r="K66" i="59"/>
  <c r="K65" i="59"/>
  <c r="K63" i="59"/>
  <c r="J61" i="59"/>
  <c r="I61" i="59"/>
  <c r="H61" i="59"/>
  <c r="G61" i="59"/>
  <c r="F61" i="59"/>
  <c r="E61" i="59"/>
  <c r="D61" i="59"/>
  <c r="C61" i="59"/>
  <c r="B61" i="59"/>
  <c r="K61" i="59" s="1"/>
  <c r="K59" i="59"/>
  <c r="K58" i="59"/>
  <c r="F58" i="59"/>
  <c r="J54" i="59"/>
  <c r="I54" i="59"/>
  <c r="H54" i="59"/>
  <c r="G54" i="59"/>
  <c r="F54" i="59"/>
  <c r="E54" i="59"/>
  <c r="D54" i="59"/>
  <c r="C54" i="59"/>
  <c r="B54" i="59"/>
  <c r="K54" i="59" s="1"/>
  <c r="K52" i="59"/>
  <c r="K51" i="59"/>
  <c r="K50" i="59"/>
  <c r="K49" i="59"/>
  <c r="K48" i="59"/>
  <c r="K47" i="59"/>
  <c r="K46" i="59"/>
  <c r="K45" i="59"/>
  <c r="K39" i="59"/>
  <c r="K38" i="59"/>
  <c r="K37" i="59"/>
  <c r="K34" i="59"/>
  <c r="I32" i="59"/>
  <c r="H32" i="59"/>
  <c r="E32" i="59"/>
  <c r="D32" i="59"/>
  <c r="J30" i="59"/>
  <c r="I30" i="59"/>
  <c r="H30" i="59"/>
  <c r="G30" i="59"/>
  <c r="F30" i="59"/>
  <c r="E30" i="59"/>
  <c r="D30" i="59"/>
  <c r="C30" i="59"/>
  <c r="B30" i="59"/>
  <c r="K30" i="59" s="1"/>
  <c r="K28" i="59"/>
  <c r="K27" i="59"/>
  <c r="K26" i="59"/>
  <c r="K25" i="59"/>
  <c r="K24" i="59"/>
  <c r="K23" i="59"/>
  <c r="J18" i="59"/>
  <c r="J32" i="59" s="1"/>
  <c r="I18" i="59"/>
  <c r="H18" i="59"/>
  <c r="G18" i="59"/>
  <c r="G32" i="59" s="1"/>
  <c r="F18" i="59"/>
  <c r="F32" i="59" s="1"/>
  <c r="E18" i="59"/>
  <c r="D18" i="59"/>
  <c r="C18" i="59"/>
  <c r="C32" i="59" s="1"/>
  <c r="B18" i="59"/>
  <c r="B32" i="59" s="1"/>
  <c r="K32" i="59" s="1"/>
  <c r="K16" i="59"/>
  <c r="K15" i="59"/>
  <c r="K14" i="59"/>
  <c r="K13" i="59"/>
  <c r="K12" i="59"/>
  <c r="K11" i="59"/>
  <c r="K10" i="59"/>
  <c r="K66" i="58"/>
  <c r="K65" i="58"/>
  <c r="K63" i="58"/>
  <c r="J61" i="58"/>
  <c r="I61" i="58"/>
  <c r="H61" i="58"/>
  <c r="G61" i="58"/>
  <c r="F61" i="58"/>
  <c r="E61" i="58"/>
  <c r="D61" i="58"/>
  <c r="C61" i="58"/>
  <c r="B61" i="58"/>
  <c r="K61" i="58" s="1"/>
  <c r="K59" i="58"/>
  <c r="F58" i="58"/>
  <c r="K58" i="58" s="1"/>
  <c r="J54" i="58"/>
  <c r="I54" i="58"/>
  <c r="H54" i="58"/>
  <c r="G54" i="58"/>
  <c r="F54" i="58"/>
  <c r="E54" i="58"/>
  <c r="D54" i="58"/>
  <c r="C54" i="58"/>
  <c r="K54" i="58" s="1"/>
  <c r="B54" i="58"/>
  <c r="K52" i="58"/>
  <c r="K51" i="58"/>
  <c r="K50" i="58"/>
  <c r="K49" i="58"/>
  <c r="K48" i="58"/>
  <c r="K47" i="58"/>
  <c r="K46" i="58"/>
  <c r="K45" i="58"/>
  <c r="K39" i="58"/>
  <c r="K38" i="58"/>
  <c r="K37" i="58"/>
  <c r="K34" i="58"/>
  <c r="J32" i="58"/>
  <c r="I32" i="58"/>
  <c r="F32" i="58"/>
  <c r="E32" i="58"/>
  <c r="B32" i="58"/>
  <c r="K32" i="58" s="1"/>
  <c r="J30" i="58"/>
  <c r="I30" i="58"/>
  <c r="H30" i="58"/>
  <c r="H32" i="58" s="1"/>
  <c r="G30" i="58"/>
  <c r="F30" i="58"/>
  <c r="E30" i="58"/>
  <c r="D30" i="58"/>
  <c r="C30" i="58"/>
  <c r="K30" i="58" s="1"/>
  <c r="B30" i="58"/>
  <c r="K28" i="58"/>
  <c r="K27" i="58"/>
  <c r="K26" i="58"/>
  <c r="K25" i="58"/>
  <c r="K24" i="58"/>
  <c r="K23" i="58"/>
  <c r="J18" i="58"/>
  <c r="I18" i="58"/>
  <c r="H18" i="58"/>
  <c r="G18" i="58"/>
  <c r="G32" i="58" s="1"/>
  <c r="F18" i="58"/>
  <c r="E18" i="58"/>
  <c r="D18" i="58"/>
  <c r="D32" i="58" s="1"/>
  <c r="C18" i="58"/>
  <c r="C32" i="58" s="1"/>
  <c r="B18" i="58"/>
  <c r="K16" i="58"/>
  <c r="K15" i="58"/>
  <c r="K14" i="58"/>
  <c r="K13" i="58"/>
  <c r="K12" i="58"/>
  <c r="K11" i="58"/>
  <c r="K10" i="58"/>
  <c r="K66" i="57"/>
  <c r="K65" i="57"/>
  <c r="K63" i="57"/>
  <c r="J61" i="57"/>
  <c r="I61" i="57"/>
  <c r="H61" i="57"/>
  <c r="G61" i="57"/>
  <c r="E61" i="57"/>
  <c r="D61" i="57"/>
  <c r="C61" i="57"/>
  <c r="K61" i="57" s="1"/>
  <c r="B61" i="57"/>
  <c r="K59" i="57"/>
  <c r="F58" i="57"/>
  <c r="F61" i="57" s="1"/>
  <c r="J54" i="57"/>
  <c r="I54" i="57"/>
  <c r="H54" i="57"/>
  <c r="G54" i="57"/>
  <c r="F54" i="57"/>
  <c r="E54" i="57"/>
  <c r="D54" i="57"/>
  <c r="C54" i="57"/>
  <c r="K54" i="57" s="1"/>
  <c r="B54" i="57"/>
  <c r="K52" i="57"/>
  <c r="K51" i="57"/>
  <c r="K50" i="57"/>
  <c r="K49" i="57"/>
  <c r="K48" i="57"/>
  <c r="K47" i="57"/>
  <c r="K46" i="57"/>
  <c r="K45" i="57"/>
  <c r="K39" i="57"/>
  <c r="K38" i="57"/>
  <c r="K37" i="57"/>
  <c r="K34" i="57"/>
  <c r="J32" i="57"/>
  <c r="G32" i="57"/>
  <c r="F32" i="57"/>
  <c r="C32" i="57"/>
  <c r="B32" i="57"/>
  <c r="J30" i="57"/>
  <c r="I30" i="57"/>
  <c r="H30" i="57"/>
  <c r="H32" i="57" s="1"/>
  <c r="G30" i="57"/>
  <c r="F30" i="57"/>
  <c r="E30" i="57"/>
  <c r="D30" i="57"/>
  <c r="C30" i="57"/>
  <c r="K30" i="57" s="1"/>
  <c r="B30" i="57"/>
  <c r="K28" i="57"/>
  <c r="K27" i="57"/>
  <c r="K26" i="57"/>
  <c r="K25" i="57"/>
  <c r="K24" i="57"/>
  <c r="K23" i="57"/>
  <c r="J18" i="57"/>
  <c r="I18" i="57"/>
  <c r="I32" i="57" s="1"/>
  <c r="H18" i="57"/>
  <c r="G18" i="57"/>
  <c r="F18" i="57"/>
  <c r="E18" i="57"/>
  <c r="E32" i="57" s="1"/>
  <c r="D18" i="57"/>
  <c r="D32" i="57" s="1"/>
  <c r="C18" i="57"/>
  <c r="K18" i="57" s="1"/>
  <c r="B18" i="57"/>
  <c r="K16" i="57"/>
  <c r="K15" i="57"/>
  <c r="K14" i="57"/>
  <c r="K13" i="57"/>
  <c r="K12" i="57"/>
  <c r="K11" i="57"/>
  <c r="K10" i="57"/>
  <c r="K66" i="56"/>
  <c r="K65" i="56"/>
  <c r="K63" i="56"/>
  <c r="J61" i="56"/>
  <c r="I61" i="56"/>
  <c r="H61" i="56"/>
  <c r="G61" i="56"/>
  <c r="E61" i="56"/>
  <c r="D61" i="56"/>
  <c r="C61" i="56"/>
  <c r="B61" i="56"/>
  <c r="K59" i="56"/>
  <c r="K58" i="56"/>
  <c r="F58" i="56"/>
  <c r="F61" i="56" s="1"/>
  <c r="J54" i="56"/>
  <c r="I54" i="56"/>
  <c r="H54" i="56"/>
  <c r="G54" i="56"/>
  <c r="F54" i="56"/>
  <c r="E54" i="56"/>
  <c r="D54" i="56"/>
  <c r="C54" i="56"/>
  <c r="B54" i="56"/>
  <c r="K54" i="56" s="1"/>
  <c r="K52" i="56"/>
  <c r="K51" i="56"/>
  <c r="K50" i="56"/>
  <c r="K49" i="56"/>
  <c r="K48" i="56"/>
  <c r="K47" i="56"/>
  <c r="K46" i="56"/>
  <c r="K45" i="56"/>
  <c r="K39" i="56"/>
  <c r="K38" i="56"/>
  <c r="K37" i="56"/>
  <c r="K34" i="56"/>
  <c r="H32" i="56"/>
  <c r="G32" i="56"/>
  <c r="C32" i="56"/>
  <c r="J30" i="56"/>
  <c r="I30" i="56"/>
  <c r="H30" i="56"/>
  <c r="G30" i="56"/>
  <c r="F30" i="56"/>
  <c r="E30" i="56"/>
  <c r="C30" i="56"/>
  <c r="B30" i="56"/>
  <c r="K28" i="56"/>
  <c r="D28" i="56"/>
  <c r="D30" i="56" s="1"/>
  <c r="K27" i="56"/>
  <c r="K26" i="56"/>
  <c r="K25" i="56"/>
  <c r="K24" i="56"/>
  <c r="K23" i="56"/>
  <c r="J18" i="56"/>
  <c r="J32" i="56" s="1"/>
  <c r="I18" i="56"/>
  <c r="I32" i="56" s="1"/>
  <c r="H18" i="56"/>
  <c r="G18" i="56"/>
  <c r="F18" i="56"/>
  <c r="F32" i="56" s="1"/>
  <c r="E18" i="56"/>
  <c r="E32" i="56" s="1"/>
  <c r="C18" i="56"/>
  <c r="B18" i="56"/>
  <c r="B32" i="56" s="1"/>
  <c r="K16" i="56"/>
  <c r="D16" i="56"/>
  <c r="D18" i="56" s="1"/>
  <c r="K15" i="56"/>
  <c r="K14" i="56"/>
  <c r="K13" i="56"/>
  <c r="K12" i="56"/>
  <c r="K11" i="56"/>
  <c r="K10" i="56"/>
  <c r="K66" i="55"/>
  <c r="K65" i="55"/>
  <c r="K63" i="55"/>
  <c r="J61" i="55"/>
  <c r="I61" i="55"/>
  <c r="H61" i="55"/>
  <c r="G61" i="55"/>
  <c r="E61" i="55"/>
  <c r="D61" i="55"/>
  <c r="C61" i="55"/>
  <c r="K61" i="55" s="1"/>
  <c r="B61" i="55"/>
  <c r="K59" i="55"/>
  <c r="F58" i="55"/>
  <c r="F61" i="55" s="1"/>
  <c r="J54" i="55"/>
  <c r="I54" i="55"/>
  <c r="H54" i="55"/>
  <c r="G54" i="55"/>
  <c r="F54" i="55"/>
  <c r="E54" i="55"/>
  <c r="D54" i="55"/>
  <c r="C54" i="55"/>
  <c r="B54" i="55"/>
  <c r="K54" i="55" s="1"/>
  <c r="K52" i="55"/>
  <c r="K51" i="55"/>
  <c r="K50" i="55"/>
  <c r="K49" i="55"/>
  <c r="K48" i="55"/>
  <c r="K47" i="55"/>
  <c r="K46" i="55"/>
  <c r="K45" i="55"/>
  <c r="K39" i="55"/>
  <c r="K38" i="55"/>
  <c r="K37" i="55"/>
  <c r="K34" i="55"/>
  <c r="J32" i="55"/>
  <c r="G32" i="55"/>
  <c r="F32" i="55"/>
  <c r="C32" i="55"/>
  <c r="B32" i="55"/>
  <c r="K32" i="55" s="1"/>
  <c r="J30" i="55"/>
  <c r="I30" i="55"/>
  <c r="H30" i="55"/>
  <c r="G30" i="55"/>
  <c r="F30" i="55"/>
  <c r="E30" i="55"/>
  <c r="D30" i="55"/>
  <c r="C30" i="55"/>
  <c r="B30" i="55"/>
  <c r="K30" i="55" s="1"/>
  <c r="K28" i="55"/>
  <c r="K27" i="55"/>
  <c r="K26" i="55"/>
  <c r="K25" i="55"/>
  <c r="K24" i="55"/>
  <c r="K23" i="55"/>
  <c r="J18" i="55"/>
  <c r="I18" i="55"/>
  <c r="I32" i="55" s="1"/>
  <c r="H18" i="55"/>
  <c r="H32" i="55" s="1"/>
  <c r="G18" i="55"/>
  <c r="F18" i="55"/>
  <c r="E18" i="55"/>
  <c r="E32" i="55" s="1"/>
  <c r="D18" i="55"/>
  <c r="D32" i="55" s="1"/>
  <c r="C18" i="55"/>
  <c r="B18" i="55"/>
  <c r="K18" i="55" s="1"/>
  <c r="K16" i="55"/>
  <c r="K15" i="55"/>
  <c r="K14" i="55"/>
  <c r="K13" i="55"/>
  <c r="K12" i="55"/>
  <c r="K11" i="55"/>
  <c r="K10" i="55"/>
  <c r="D32" i="56" l="1"/>
  <c r="K32" i="61"/>
  <c r="K30" i="56"/>
  <c r="K61" i="56"/>
  <c r="K61" i="61"/>
  <c r="K32" i="56"/>
  <c r="K32" i="57"/>
  <c r="K61" i="60"/>
  <c r="K18" i="58"/>
  <c r="K58" i="57"/>
  <c r="K18" i="59"/>
  <c r="K58" i="61"/>
  <c r="K18" i="60"/>
  <c r="K58" i="55"/>
  <c r="K18" i="56"/>
  <c r="L63" i="4" l="1"/>
  <c r="K66" i="54"/>
  <c r="K65" i="54"/>
  <c r="K63" i="54"/>
  <c r="J61" i="54"/>
  <c r="I61" i="54"/>
  <c r="H61" i="54"/>
  <c r="G61" i="54"/>
  <c r="E61" i="54"/>
  <c r="D61" i="54"/>
  <c r="C61" i="54"/>
  <c r="B61" i="54"/>
  <c r="K59" i="54"/>
  <c r="F58" i="54"/>
  <c r="F61" i="54" s="1"/>
  <c r="J54" i="54"/>
  <c r="I54" i="54"/>
  <c r="H54" i="54"/>
  <c r="G54" i="54"/>
  <c r="F54" i="54"/>
  <c r="E54" i="54"/>
  <c r="D54" i="54"/>
  <c r="C54" i="54"/>
  <c r="B54" i="54"/>
  <c r="K52" i="54"/>
  <c r="K51" i="54"/>
  <c r="K50" i="54"/>
  <c r="K49" i="54"/>
  <c r="K48" i="54"/>
  <c r="K47" i="54"/>
  <c r="K46" i="54"/>
  <c r="K45" i="54"/>
  <c r="K39" i="54"/>
  <c r="K38" i="54"/>
  <c r="K37" i="54"/>
  <c r="K34" i="54"/>
  <c r="J32" i="54"/>
  <c r="J30" i="54"/>
  <c r="I30" i="54"/>
  <c r="H30" i="54"/>
  <c r="G30" i="54"/>
  <c r="F30" i="54"/>
  <c r="E30" i="54"/>
  <c r="D30" i="54"/>
  <c r="C30" i="54"/>
  <c r="B30" i="54"/>
  <c r="K28" i="54"/>
  <c r="K27" i="54"/>
  <c r="K26" i="54"/>
  <c r="K25" i="54"/>
  <c r="K24" i="54"/>
  <c r="K23" i="54"/>
  <c r="J18" i="54"/>
  <c r="I18" i="54"/>
  <c r="I32" i="54" s="1"/>
  <c r="H18" i="54"/>
  <c r="G18" i="54"/>
  <c r="G32" i="54" s="1"/>
  <c r="F18" i="54"/>
  <c r="F32" i="54" s="1"/>
  <c r="E18" i="54"/>
  <c r="E32" i="54" s="1"/>
  <c r="D18" i="54"/>
  <c r="C18" i="54"/>
  <c r="C32" i="54" s="1"/>
  <c r="B18" i="54"/>
  <c r="B32" i="54" s="1"/>
  <c r="K16" i="54"/>
  <c r="K15" i="54"/>
  <c r="K14" i="54"/>
  <c r="K13" i="54"/>
  <c r="K12" i="54"/>
  <c r="K11" i="54"/>
  <c r="K10" i="54"/>
  <c r="K66" i="53"/>
  <c r="K65" i="53"/>
  <c r="K63" i="53"/>
  <c r="J61" i="53"/>
  <c r="I61" i="53"/>
  <c r="H61" i="53"/>
  <c r="G61" i="53"/>
  <c r="F61" i="53"/>
  <c r="E61" i="53"/>
  <c r="D61" i="53"/>
  <c r="C61" i="53"/>
  <c r="B61" i="53"/>
  <c r="K61" i="53" s="1"/>
  <c r="K59" i="53"/>
  <c r="K58" i="53"/>
  <c r="J54" i="53"/>
  <c r="I54" i="53"/>
  <c r="H54" i="53"/>
  <c r="G54" i="53"/>
  <c r="F54" i="53"/>
  <c r="E54" i="53"/>
  <c r="D54" i="53"/>
  <c r="C54" i="53"/>
  <c r="B54" i="53"/>
  <c r="K52" i="53"/>
  <c r="K51" i="53"/>
  <c r="K50" i="53"/>
  <c r="K49" i="53"/>
  <c r="K48" i="53"/>
  <c r="K47" i="53"/>
  <c r="K46" i="53"/>
  <c r="K45" i="53"/>
  <c r="K39" i="53"/>
  <c r="K38" i="53"/>
  <c r="K37" i="53"/>
  <c r="K34" i="53"/>
  <c r="J30" i="53"/>
  <c r="I30" i="53"/>
  <c r="H30" i="53"/>
  <c r="G30" i="53"/>
  <c r="G32" i="53" s="1"/>
  <c r="F30" i="53"/>
  <c r="E30" i="53"/>
  <c r="D30" i="53"/>
  <c r="C30" i="53"/>
  <c r="K30" i="53" s="1"/>
  <c r="B30" i="53"/>
  <c r="K28" i="53"/>
  <c r="K27" i="53"/>
  <c r="K26" i="53"/>
  <c r="K25" i="53"/>
  <c r="K24" i="53"/>
  <c r="K23" i="53"/>
  <c r="J18" i="53"/>
  <c r="J32" i="53" s="1"/>
  <c r="I18" i="53"/>
  <c r="I32" i="53" s="1"/>
  <c r="H18" i="53"/>
  <c r="H32" i="53"/>
  <c r="G18" i="53"/>
  <c r="F18" i="53"/>
  <c r="E18" i="53"/>
  <c r="E32" i="53"/>
  <c r="D18" i="53"/>
  <c r="D32" i="53" s="1"/>
  <c r="C18" i="53"/>
  <c r="B18" i="53"/>
  <c r="B32" i="53" s="1"/>
  <c r="K16" i="53"/>
  <c r="K15" i="53"/>
  <c r="K14" i="53"/>
  <c r="K13" i="53"/>
  <c r="K12" i="53"/>
  <c r="K11" i="53"/>
  <c r="K10" i="53"/>
  <c r="K66" i="46"/>
  <c r="K65" i="46"/>
  <c r="K63" i="46"/>
  <c r="J61" i="46"/>
  <c r="I61" i="46"/>
  <c r="H61" i="46"/>
  <c r="G61" i="46"/>
  <c r="F61" i="46"/>
  <c r="E61" i="46"/>
  <c r="D61" i="46"/>
  <c r="C61" i="46"/>
  <c r="B61" i="46"/>
  <c r="K59" i="46"/>
  <c r="K58" i="46"/>
  <c r="J54" i="46"/>
  <c r="I54" i="46"/>
  <c r="H54" i="46"/>
  <c r="G54" i="46"/>
  <c r="F54" i="46"/>
  <c r="E54" i="46"/>
  <c r="D54" i="46"/>
  <c r="C54" i="46"/>
  <c r="B54" i="46"/>
  <c r="K52" i="46"/>
  <c r="K51" i="46"/>
  <c r="K50" i="46"/>
  <c r="K49" i="46"/>
  <c r="K48" i="46"/>
  <c r="K47" i="46"/>
  <c r="K46" i="46"/>
  <c r="K45" i="46"/>
  <c r="K39" i="46"/>
  <c r="K38" i="46"/>
  <c r="K37" i="46"/>
  <c r="K34" i="46"/>
  <c r="J30" i="46"/>
  <c r="I30" i="46"/>
  <c r="H30" i="46"/>
  <c r="G30" i="46"/>
  <c r="F30" i="46"/>
  <c r="E30" i="46"/>
  <c r="C30" i="46"/>
  <c r="B30" i="46"/>
  <c r="D28" i="46"/>
  <c r="K27" i="46"/>
  <c r="K26" i="46"/>
  <c r="K25" i="46"/>
  <c r="K24" i="46"/>
  <c r="K23" i="46"/>
  <c r="J18" i="46"/>
  <c r="J32" i="46" s="1"/>
  <c r="I18" i="46"/>
  <c r="I32" i="46" s="1"/>
  <c r="H18" i="46"/>
  <c r="H32" i="46" s="1"/>
  <c r="G18" i="46"/>
  <c r="G32" i="46" s="1"/>
  <c r="F18" i="46"/>
  <c r="E18" i="46"/>
  <c r="D18" i="46"/>
  <c r="C18" i="46"/>
  <c r="C32" i="46" s="1"/>
  <c r="B18" i="46"/>
  <c r="K16" i="46"/>
  <c r="K15" i="46"/>
  <c r="K14" i="46"/>
  <c r="K13" i="46"/>
  <c r="K12" i="46"/>
  <c r="K11" i="46"/>
  <c r="K10" i="46"/>
  <c r="K66" i="45"/>
  <c r="K65" i="45"/>
  <c r="K63" i="45"/>
  <c r="J61" i="45"/>
  <c r="I61" i="45"/>
  <c r="H61" i="45"/>
  <c r="G61" i="45"/>
  <c r="F61" i="45"/>
  <c r="E61" i="45"/>
  <c r="D61" i="45"/>
  <c r="C61" i="45"/>
  <c r="B61" i="45"/>
  <c r="K59" i="45"/>
  <c r="K58" i="45"/>
  <c r="J54" i="45"/>
  <c r="I54" i="45"/>
  <c r="H54" i="45"/>
  <c r="G54" i="45"/>
  <c r="F54" i="45"/>
  <c r="E54" i="45"/>
  <c r="D54" i="45"/>
  <c r="C54" i="45"/>
  <c r="B54" i="45"/>
  <c r="K52" i="45"/>
  <c r="K51" i="45"/>
  <c r="K50" i="45"/>
  <c r="K49" i="45"/>
  <c r="K48" i="45"/>
  <c r="K47" i="45"/>
  <c r="K46" i="45"/>
  <c r="K45" i="45"/>
  <c r="K39" i="45"/>
  <c r="K38" i="45"/>
  <c r="K37" i="45"/>
  <c r="K34" i="45"/>
  <c r="J30" i="45"/>
  <c r="I30" i="45"/>
  <c r="H30" i="45"/>
  <c r="G30" i="45"/>
  <c r="F30" i="45"/>
  <c r="E30" i="45"/>
  <c r="D30" i="45"/>
  <c r="C30" i="45"/>
  <c r="C32" i="45" s="1"/>
  <c r="B30" i="45"/>
  <c r="K30" i="45" s="1"/>
  <c r="K28" i="45"/>
  <c r="K27" i="45"/>
  <c r="K26" i="45"/>
  <c r="K25" i="45"/>
  <c r="K24" i="45"/>
  <c r="K23" i="45"/>
  <c r="J18" i="45"/>
  <c r="I18" i="45"/>
  <c r="I32" i="45" s="1"/>
  <c r="H18" i="45"/>
  <c r="H32" i="45" s="1"/>
  <c r="G18" i="45"/>
  <c r="G32" i="45"/>
  <c r="F18" i="45"/>
  <c r="E18" i="45"/>
  <c r="E32" i="45"/>
  <c r="D18" i="45"/>
  <c r="D32" i="45" s="1"/>
  <c r="C18" i="45"/>
  <c r="B18" i="45"/>
  <c r="K16" i="45"/>
  <c r="K15" i="45"/>
  <c r="K14" i="45"/>
  <c r="K13" i="45"/>
  <c r="K12" i="45"/>
  <c r="K11" i="45"/>
  <c r="K10" i="45"/>
  <c r="K10" i="42"/>
  <c r="K11" i="42"/>
  <c r="K12" i="42"/>
  <c r="K13" i="42"/>
  <c r="K14" i="42"/>
  <c r="D15" i="42"/>
  <c r="I15" i="42"/>
  <c r="I17" i="42"/>
  <c r="B17" i="42"/>
  <c r="B76" i="42" s="1"/>
  <c r="C17" i="42"/>
  <c r="E17" i="42"/>
  <c r="F17" i="42"/>
  <c r="G17" i="42"/>
  <c r="H17" i="42"/>
  <c r="J17" i="42"/>
  <c r="J76" i="42" s="1"/>
  <c r="K22" i="42"/>
  <c r="K23" i="42"/>
  <c r="K24" i="42"/>
  <c r="K25" i="42"/>
  <c r="K26" i="42"/>
  <c r="D27" i="42"/>
  <c r="K27" i="42" s="1"/>
  <c r="B29" i="42"/>
  <c r="C29" i="42"/>
  <c r="E29" i="42"/>
  <c r="E77" i="42" s="1"/>
  <c r="F29" i="42"/>
  <c r="F77" i="42"/>
  <c r="G29" i="42"/>
  <c r="H29" i="42"/>
  <c r="I29" i="42"/>
  <c r="J29" i="42"/>
  <c r="J77" i="42"/>
  <c r="J81" i="42" s="1"/>
  <c r="H31" i="42"/>
  <c r="K38" i="42"/>
  <c r="K39" i="42"/>
  <c r="K40" i="42"/>
  <c r="K41" i="42"/>
  <c r="K42" i="42"/>
  <c r="K43" i="42"/>
  <c r="K44" i="42"/>
  <c r="K45" i="42"/>
  <c r="B47" i="42"/>
  <c r="C47" i="42"/>
  <c r="D47" i="42"/>
  <c r="E47" i="42"/>
  <c r="F47" i="42"/>
  <c r="G47" i="42"/>
  <c r="H47" i="42"/>
  <c r="I47" i="42"/>
  <c r="J47" i="42"/>
  <c r="K51" i="42"/>
  <c r="K52" i="42"/>
  <c r="B54" i="42"/>
  <c r="C54" i="42"/>
  <c r="D54" i="42"/>
  <c r="E54" i="42"/>
  <c r="F54" i="42"/>
  <c r="G54" i="42"/>
  <c r="H54" i="42"/>
  <c r="I54" i="42"/>
  <c r="J54" i="42"/>
  <c r="K56" i="42"/>
  <c r="K61" i="42"/>
  <c r="C62" i="42"/>
  <c r="K64" i="42"/>
  <c r="K65" i="42"/>
  <c r="K66" i="42"/>
  <c r="K67" i="42"/>
  <c r="K68" i="42"/>
  <c r="K69" i="42"/>
  <c r="C70" i="42"/>
  <c r="K70" i="42"/>
  <c r="F70" i="42"/>
  <c r="C71" i="42"/>
  <c r="E71" i="42"/>
  <c r="K71" i="42"/>
  <c r="F71" i="42"/>
  <c r="H71" i="42"/>
  <c r="H73" i="42" s="1"/>
  <c r="K72" i="42"/>
  <c r="B73" i="42"/>
  <c r="D73" i="42"/>
  <c r="G73" i="42"/>
  <c r="I73" i="42"/>
  <c r="J73" i="42"/>
  <c r="F76" i="42"/>
  <c r="F81" i="42" s="1"/>
  <c r="C77" i="42"/>
  <c r="K78" i="42"/>
  <c r="K79" i="42"/>
  <c r="C80" i="42"/>
  <c r="K80" i="42"/>
  <c r="H81" i="42"/>
  <c r="H83" i="42" s="1"/>
  <c r="I81" i="42"/>
  <c r="K86" i="42"/>
  <c r="K87" i="42"/>
  <c r="D71" i="40"/>
  <c r="C68" i="40"/>
  <c r="C80" i="40"/>
  <c r="C70" i="40"/>
  <c r="K70" i="40" s="1"/>
  <c r="C71" i="39"/>
  <c r="K71" i="39" s="1"/>
  <c r="C62" i="40"/>
  <c r="I73" i="40"/>
  <c r="I15" i="40"/>
  <c r="H71" i="40"/>
  <c r="H73" i="40" s="1"/>
  <c r="F71" i="40"/>
  <c r="F70" i="40"/>
  <c r="F62" i="40"/>
  <c r="E71" i="40"/>
  <c r="E73" i="40" s="1"/>
  <c r="E15" i="40"/>
  <c r="D27" i="40"/>
  <c r="D15" i="40"/>
  <c r="B71" i="40"/>
  <c r="B73" i="40" s="1"/>
  <c r="K10" i="40"/>
  <c r="K11" i="40"/>
  <c r="K12" i="40"/>
  <c r="K13" i="40"/>
  <c r="K14" i="40"/>
  <c r="B17" i="40"/>
  <c r="C17" i="40"/>
  <c r="E17" i="40"/>
  <c r="E31" i="40" s="1"/>
  <c r="F17" i="40"/>
  <c r="G17" i="40"/>
  <c r="H17" i="40"/>
  <c r="I17" i="40"/>
  <c r="I76" i="40" s="1"/>
  <c r="I81" i="40" s="1"/>
  <c r="I83" i="40" s="1"/>
  <c r="J17" i="40"/>
  <c r="K22" i="40"/>
  <c r="K23" i="40"/>
  <c r="K24" i="40"/>
  <c r="K25" i="40"/>
  <c r="K26" i="40"/>
  <c r="B29" i="40"/>
  <c r="C29" i="40"/>
  <c r="E29" i="40"/>
  <c r="E77" i="40" s="1"/>
  <c r="F29" i="40"/>
  <c r="G29" i="40"/>
  <c r="G77" i="40"/>
  <c r="H29" i="40"/>
  <c r="H77" i="40" s="1"/>
  <c r="I29" i="40"/>
  <c r="I77" i="40" s="1"/>
  <c r="J29" i="40"/>
  <c r="J77" i="40" s="1"/>
  <c r="F31" i="40"/>
  <c r="K38" i="40"/>
  <c r="K39" i="40"/>
  <c r="K40" i="40"/>
  <c r="K41" i="40"/>
  <c r="K42" i="40"/>
  <c r="K43" i="40"/>
  <c r="K44" i="40"/>
  <c r="K45" i="40"/>
  <c r="B47" i="40"/>
  <c r="C47" i="40"/>
  <c r="D47" i="40"/>
  <c r="E47" i="40"/>
  <c r="F47" i="40"/>
  <c r="G47" i="40"/>
  <c r="H47" i="40"/>
  <c r="I47" i="40"/>
  <c r="J47" i="40"/>
  <c r="K51" i="40"/>
  <c r="K52" i="40"/>
  <c r="B54" i="40"/>
  <c r="C54" i="40"/>
  <c r="D54" i="40"/>
  <c r="E54" i="40"/>
  <c r="F54" i="40"/>
  <c r="G54" i="40"/>
  <c r="H54" i="40"/>
  <c r="I54" i="40"/>
  <c r="J54" i="40"/>
  <c r="K56" i="40"/>
  <c r="K61" i="40"/>
  <c r="K62" i="40"/>
  <c r="K64" i="40"/>
  <c r="K65" i="40"/>
  <c r="K66" i="40"/>
  <c r="K67" i="40"/>
  <c r="K69" i="40"/>
  <c r="K72" i="40"/>
  <c r="G73" i="40"/>
  <c r="J73" i="40"/>
  <c r="B76" i="40"/>
  <c r="F76" i="40"/>
  <c r="C77" i="40"/>
  <c r="F77" i="40"/>
  <c r="K78" i="40"/>
  <c r="K79" i="40"/>
  <c r="K80" i="40"/>
  <c r="K86" i="40"/>
  <c r="K87" i="40"/>
  <c r="K10" i="33"/>
  <c r="K11" i="33"/>
  <c r="E12" i="33"/>
  <c r="F12" i="33"/>
  <c r="K13" i="33"/>
  <c r="K14" i="33"/>
  <c r="D15" i="33"/>
  <c r="D17" i="33" s="1"/>
  <c r="E15" i="33"/>
  <c r="G15" i="33"/>
  <c r="I15" i="33"/>
  <c r="I17" i="33" s="1"/>
  <c r="I30" i="33" s="1"/>
  <c r="I65" i="33" s="1"/>
  <c r="B17" i="33"/>
  <c r="C17" i="33"/>
  <c r="F17" i="33"/>
  <c r="G17" i="33"/>
  <c r="G30" i="33" s="1"/>
  <c r="G65" i="33" s="1"/>
  <c r="G67" i="33" s="1"/>
  <c r="H17" i="33"/>
  <c r="J17" i="33"/>
  <c r="K22" i="33"/>
  <c r="F23" i="33"/>
  <c r="K23" i="33" s="1"/>
  <c r="K24" i="33"/>
  <c r="K25" i="33"/>
  <c r="D26" i="33"/>
  <c r="D28" i="33" s="1"/>
  <c r="E26" i="33"/>
  <c r="E28" i="33" s="1"/>
  <c r="E30" i="33" s="1"/>
  <c r="E65" i="33" s="1"/>
  <c r="E67" i="33" s="1"/>
  <c r="G26" i="33"/>
  <c r="B28" i="33"/>
  <c r="C28" i="33"/>
  <c r="C30" i="33" s="1"/>
  <c r="C65" i="33" s="1"/>
  <c r="G28" i="33"/>
  <c r="H28" i="33"/>
  <c r="I28" i="33"/>
  <c r="J28" i="33"/>
  <c r="K37" i="33"/>
  <c r="K38" i="33"/>
  <c r="E39" i="33"/>
  <c r="K40" i="33"/>
  <c r="K41" i="33"/>
  <c r="K42" i="33"/>
  <c r="B44" i="33"/>
  <c r="C44" i="33"/>
  <c r="D44" i="33"/>
  <c r="F44" i="33"/>
  <c r="G44" i="33"/>
  <c r="H44" i="33"/>
  <c r="I44" i="33"/>
  <c r="J44" i="33"/>
  <c r="J48" i="33"/>
  <c r="K49" i="33"/>
  <c r="B51" i="33"/>
  <c r="C51" i="33"/>
  <c r="D51" i="33"/>
  <c r="E51" i="33"/>
  <c r="E52" i="33" s="1"/>
  <c r="F51" i="33"/>
  <c r="G51" i="33"/>
  <c r="H51" i="33"/>
  <c r="I51" i="33"/>
  <c r="B53" i="33"/>
  <c r="K53" i="33" s="1"/>
  <c r="B57" i="33"/>
  <c r="C57" i="33"/>
  <c r="D57" i="33"/>
  <c r="D63" i="33" s="1"/>
  <c r="F57" i="33"/>
  <c r="F63" i="33" s="1"/>
  <c r="G57" i="33"/>
  <c r="G63" i="33"/>
  <c r="I57" i="33"/>
  <c r="I63" i="33" s="1"/>
  <c r="J57" i="33"/>
  <c r="J63" i="33" s="1"/>
  <c r="K58" i="33"/>
  <c r="C59" i="33"/>
  <c r="K59" i="33" s="1"/>
  <c r="K60" i="33"/>
  <c r="C61" i="33"/>
  <c r="E61" i="33"/>
  <c r="F61" i="33"/>
  <c r="E62" i="33"/>
  <c r="K62" i="33" s="1"/>
  <c r="H63" i="33"/>
  <c r="K10" i="34"/>
  <c r="K11" i="34"/>
  <c r="K12" i="34"/>
  <c r="K13" i="34"/>
  <c r="K14" i="34"/>
  <c r="D15" i="34"/>
  <c r="E15" i="34"/>
  <c r="E17" i="34"/>
  <c r="I15" i="34"/>
  <c r="I17" i="34" s="1"/>
  <c r="B17" i="34"/>
  <c r="C17" i="34"/>
  <c r="C76" i="34" s="1"/>
  <c r="E76" i="34"/>
  <c r="F17" i="34"/>
  <c r="F76" i="34" s="1"/>
  <c r="G17" i="34"/>
  <c r="G76" i="34"/>
  <c r="H17" i="34"/>
  <c r="J17" i="34"/>
  <c r="J76" i="34"/>
  <c r="K22" i="34"/>
  <c r="K23" i="34"/>
  <c r="K24" i="34"/>
  <c r="K25" i="34"/>
  <c r="K26" i="34"/>
  <c r="D27" i="34"/>
  <c r="K27" i="34" s="1"/>
  <c r="E27" i="34"/>
  <c r="E29" i="34"/>
  <c r="E77" i="34" s="1"/>
  <c r="B29" i="34"/>
  <c r="C29" i="34"/>
  <c r="F29" i="34"/>
  <c r="G29" i="34"/>
  <c r="H29" i="34"/>
  <c r="H77" i="34" s="1"/>
  <c r="I29" i="34"/>
  <c r="I77" i="34" s="1"/>
  <c r="J29" i="34"/>
  <c r="J31" i="34" s="1"/>
  <c r="K38" i="34"/>
  <c r="K39" i="34"/>
  <c r="K40" i="34"/>
  <c r="K41" i="34"/>
  <c r="K42" i="34"/>
  <c r="K43" i="34"/>
  <c r="K44" i="34"/>
  <c r="K45" i="34"/>
  <c r="B47" i="34"/>
  <c r="K47" i="34" s="1"/>
  <c r="C47" i="34"/>
  <c r="D47" i="34"/>
  <c r="E47" i="34"/>
  <c r="F47" i="34"/>
  <c r="G47" i="34"/>
  <c r="H47" i="34"/>
  <c r="I47" i="34"/>
  <c r="J47" i="34"/>
  <c r="K51" i="34"/>
  <c r="K52" i="34"/>
  <c r="B54" i="34"/>
  <c r="C54" i="34"/>
  <c r="K54" i="34" s="1"/>
  <c r="D54" i="34"/>
  <c r="E54" i="34"/>
  <c r="F54" i="34"/>
  <c r="G54" i="34"/>
  <c r="H54" i="34"/>
  <c r="I54" i="34"/>
  <c r="J54" i="34"/>
  <c r="K56" i="34"/>
  <c r="K61" i="34"/>
  <c r="F62" i="34"/>
  <c r="K62" i="34" s="1"/>
  <c r="K64" i="34"/>
  <c r="K65" i="34"/>
  <c r="K66" i="34"/>
  <c r="C67" i="34"/>
  <c r="C68" i="34"/>
  <c r="E68" i="34"/>
  <c r="E73" i="34" s="1"/>
  <c r="B69" i="34"/>
  <c r="B70" i="34"/>
  <c r="K70" i="34"/>
  <c r="B71" i="34"/>
  <c r="C71" i="34"/>
  <c r="D71" i="34"/>
  <c r="D73" i="34"/>
  <c r="E71" i="34"/>
  <c r="F71" i="34"/>
  <c r="F73" i="34" s="1"/>
  <c r="K72" i="34"/>
  <c r="G73" i="34"/>
  <c r="H73" i="34"/>
  <c r="I73" i="34"/>
  <c r="J73" i="34"/>
  <c r="H76" i="34"/>
  <c r="H81" i="34" s="1"/>
  <c r="B77" i="34"/>
  <c r="J77" i="34"/>
  <c r="K78" i="34"/>
  <c r="K79" i="34"/>
  <c r="K80" i="34"/>
  <c r="K86" i="34"/>
  <c r="K87" i="34"/>
  <c r="K10" i="35"/>
  <c r="K11" i="35"/>
  <c r="K12" i="35"/>
  <c r="K13" i="35"/>
  <c r="K14" i="35"/>
  <c r="D15" i="35"/>
  <c r="E15" i="35"/>
  <c r="I15" i="35"/>
  <c r="I17" i="35" s="1"/>
  <c r="B17" i="35"/>
  <c r="B76" i="35" s="1"/>
  <c r="B81" i="35" s="1"/>
  <c r="B83" i="35" s="1"/>
  <c r="C17" i="35"/>
  <c r="C76" i="35" s="1"/>
  <c r="E17" i="35"/>
  <c r="E76" i="35" s="1"/>
  <c r="F17" i="35"/>
  <c r="G17" i="35"/>
  <c r="G31" i="35" s="1"/>
  <c r="H17" i="35"/>
  <c r="H76" i="35" s="1"/>
  <c r="J17" i="35"/>
  <c r="K22" i="35"/>
  <c r="K23" i="35"/>
  <c r="K24" i="35"/>
  <c r="K25" i="35"/>
  <c r="K26" i="35"/>
  <c r="D27" i="35"/>
  <c r="K27" i="35" s="1"/>
  <c r="E27" i="35"/>
  <c r="B29" i="35"/>
  <c r="C29" i="35"/>
  <c r="F29" i="35"/>
  <c r="F77" i="35" s="1"/>
  <c r="G29" i="35"/>
  <c r="G77" i="35" s="1"/>
  <c r="H29" i="35"/>
  <c r="I29" i="35"/>
  <c r="I77" i="35" s="1"/>
  <c r="J29" i="35"/>
  <c r="J77" i="35" s="1"/>
  <c r="K38" i="35"/>
  <c r="K39" i="35"/>
  <c r="K40" i="35"/>
  <c r="K41" i="35"/>
  <c r="K42" i="35"/>
  <c r="K43" i="35"/>
  <c r="K44" i="35"/>
  <c r="K45" i="35"/>
  <c r="B47" i="35"/>
  <c r="C47" i="35"/>
  <c r="D47" i="35"/>
  <c r="K47" i="35" s="1"/>
  <c r="E47" i="35"/>
  <c r="F47" i="35"/>
  <c r="G47" i="35"/>
  <c r="H47" i="35"/>
  <c r="I47" i="35"/>
  <c r="J47" i="35"/>
  <c r="K51" i="35"/>
  <c r="K52" i="35"/>
  <c r="B54" i="35"/>
  <c r="C54" i="35"/>
  <c r="D54" i="35"/>
  <c r="E54" i="35"/>
  <c r="K54" i="35" s="1"/>
  <c r="F54" i="35"/>
  <c r="G54" i="35"/>
  <c r="H54" i="35"/>
  <c r="I54" i="35"/>
  <c r="J54" i="35"/>
  <c r="C56" i="35"/>
  <c r="E56" i="35"/>
  <c r="K61" i="35"/>
  <c r="E62" i="35"/>
  <c r="F62" i="35"/>
  <c r="K64" i="35"/>
  <c r="F65" i="35"/>
  <c r="K65" i="35" s="1"/>
  <c r="D66" i="35"/>
  <c r="K66" i="35" s="1"/>
  <c r="K67" i="35"/>
  <c r="B68" i="35"/>
  <c r="E68" i="35"/>
  <c r="E73" i="35" s="1"/>
  <c r="F68" i="35"/>
  <c r="C69" i="35"/>
  <c r="K70" i="35"/>
  <c r="F71" i="35"/>
  <c r="K71" i="35" s="1"/>
  <c r="G71" i="35"/>
  <c r="G73" i="35" s="1"/>
  <c r="H71" i="35"/>
  <c r="H73" i="35" s="1"/>
  <c r="K72" i="35"/>
  <c r="I73" i="35"/>
  <c r="J73" i="35"/>
  <c r="J76" i="35"/>
  <c r="J81" i="35" s="1"/>
  <c r="J83" i="35" s="1"/>
  <c r="B77" i="35"/>
  <c r="H77" i="35"/>
  <c r="K78" i="35"/>
  <c r="C79" i="35"/>
  <c r="K79" i="35" s="1"/>
  <c r="K80" i="35"/>
  <c r="K86" i="35"/>
  <c r="G87" i="35"/>
  <c r="K87" i="35" s="1"/>
  <c r="K10" i="36"/>
  <c r="K11" i="36"/>
  <c r="K12" i="36"/>
  <c r="K13" i="36"/>
  <c r="K14" i="36"/>
  <c r="D15" i="36"/>
  <c r="D17" i="36" s="1"/>
  <c r="E15" i="36"/>
  <c r="E17" i="36" s="1"/>
  <c r="I15" i="36"/>
  <c r="I17" i="36" s="1"/>
  <c r="I31" i="36" s="1"/>
  <c r="B17" i="36"/>
  <c r="B31" i="36" s="1"/>
  <c r="C17" i="36"/>
  <c r="F17" i="36"/>
  <c r="G17" i="36"/>
  <c r="G76" i="36" s="1"/>
  <c r="G81" i="36" s="1"/>
  <c r="G83" i="36" s="1"/>
  <c r="H17" i="36"/>
  <c r="H76" i="36" s="1"/>
  <c r="J17" i="36"/>
  <c r="K22" i="36"/>
  <c r="K23" i="36"/>
  <c r="K24" i="36"/>
  <c r="K25" i="36"/>
  <c r="K26" i="36"/>
  <c r="D27" i="36"/>
  <c r="K27" i="36" s="1"/>
  <c r="E27" i="36"/>
  <c r="B29" i="36"/>
  <c r="C29" i="36"/>
  <c r="D29" i="36"/>
  <c r="D31" i="36" s="1"/>
  <c r="F29" i="36"/>
  <c r="G29" i="36"/>
  <c r="H29" i="36"/>
  <c r="I29" i="36"/>
  <c r="I77" i="36" s="1"/>
  <c r="J29" i="36"/>
  <c r="J77" i="36" s="1"/>
  <c r="J31" i="36"/>
  <c r="K38" i="36"/>
  <c r="K39" i="36"/>
  <c r="K40" i="36"/>
  <c r="K41" i="36"/>
  <c r="K42" i="36"/>
  <c r="K43" i="36"/>
  <c r="K44" i="36"/>
  <c r="K45" i="36"/>
  <c r="B47" i="36"/>
  <c r="C47" i="36"/>
  <c r="D47" i="36"/>
  <c r="E47" i="36"/>
  <c r="F47" i="36"/>
  <c r="G47" i="36"/>
  <c r="H47" i="36"/>
  <c r="I47" i="36"/>
  <c r="J47" i="36"/>
  <c r="K51" i="36"/>
  <c r="K52" i="36"/>
  <c r="B54" i="36"/>
  <c r="C54" i="36"/>
  <c r="D54" i="36"/>
  <c r="E54" i="36"/>
  <c r="F54" i="36"/>
  <c r="G54" i="36"/>
  <c r="H54" i="36"/>
  <c r="I54" i="36"/>
  <c r="J54" i="36"/>
  <c r="K56" i="36"/>
  <c r="K61" i="36"/>
  <c r="K62" i="36"/>
  <c r="K64" i="36"/>
  <c r="K65" i="36"/>
  <c r="K66" i="36"/>
  <c r="K67" i="36"/>
  <c r="C68" i="36"/>
  <c r="K68" i="36" s="1"/>
  <c r="B69" i="36"/>
  <c r="K69" i="36"/>
  <c r="C69" i="36"/>
  <c r="K70" i="36"/>
  <c r="B71" i="36"/>
  <c r="F71" i="36"/>
  <c r="G71" i="36"/>
  <c r="G73" i="36" s="1"/>
  <c r="H71" i="36"/>
  <c r="B72" i="36"/>
  <c r="C72" i="36"/>
  <c r="K72" i="36" s="1"/>
  <c r="B73" i="36"/>
  <c r="D73" i="36"/>
  <c r="E73" i="36"/>
  <c r="H73" i="36"/>
  <c r="I73" i="36"/>
  <c r="J73" i="36"/>
  <c r="B76" i="36"/>
  <c r="E76" i="36"/>
  <c r="J76" i="36"/>
  <c r="B77" i="36"/>
  <c r="C77" i="36"/>
  <c r="F77" i="36"/>
  <c r="G77" i="36"/>
  <c r="K78" i="36"/>
  <c r="K79" i="36"/>
  <c r="K80" i="36"/>
  <c r="K86" i="36"/>
  <c r="G87" i="36"/>
  <c r="K87" i="36"/>
  <c r="K10" i="37"/>
  <c r="K11" i="37"/>
  <c r="K12" i="37"/>
  <c r="K13" i="37"/>
  <c r="K14" i="37"/>
  <c r="D15" i="37"/>
  <c r="E15" i="37"/>
  <c r="I15" i="37"/>
  <c r="I17" i="37" s="1"/>
  <c r="I76" i="37" s="1"/>
  <c r="J15" i="37"/>
  <c r="J17" i="37" s="1"/>
  <c r="B17" i="37"/>
  <c r="C17" i="37"/>
  <c r="D17" i="37"/>
  <c r="D31" i="37" s="1"/>
  <c r="F17" i="37"/>
  <c r="G17" i="37"/>
  <c r="G76" i="37" s="1"/>
  <c r="G81" i="37" s="1"/>
  <c r="G83" i="37" s="1"/>
  <c r="H17" i="37"/>
  <c r="H76" i="37" s="1"/>
  <c r="K22" i="37"/>
  <c r="K23" i="37"/>
  <c r="K24" i="37"/>
  <c r="K25" i="37"/>
  <c r="K26" i="37"/>
  <c r="D27" i="37"/>
  <c r="D29" i="37"/>
  <c r="E27" i="37"/>
  <c r="B29" i="37"/>
  <c r="B77" i="37"/>
  <c r="C29" i="37"/>
  <c r="F29" i="37"/>
  <c r="G29" i="37"/>
  <c r="H29" i="37"/>
  <c r="I29" i="37"/>
  <c r="I77" i="37" s="1"/>
  <c r="J29" i="37"/>
  <c r="J77" i="37" s="1"/>
  <c r="K38" i="37"/>
  <c r="K39" i="37"/>
  <c r="K40" i="37"/>
  <c r="E41" i="37"/>
  <c r="K41" i="37"/>
  <c r="K42" i="37"/>
  <c r="K43" i="37"/>
  <c r="K44" i="37"/>
  <c r="K45" i="37"/>
  <c r="B47" i="37"/>
  <c r="C47" i="37"/>
  <c r="D47" i="37"/>
  <c r="E47" i="37"/>
  <c r="F47" i="37"/>
  <c r="G47" i="37"/>
  <c r="H47" i="37"/>
  <c r="I47" i="37"/>
  <c r="J47" i="37"/>
  <c r="K51" i="37"/>
  <c r="K52" i="37"/>
  <c r="B54" i="37"/>
  <c r="C54" i="37"/>
  <c r="D54" i="37"/>
  <c r="E54" i="37"/>
  <c r="F54" i="37"/>
  <c r="G54" i="37"/>
  <c r="H54" i="37"/>
  <c r="I54" i="37"/>
  <c r="J54" i="37"/>
  <c r="K56" i="37"/>
  <c r="K61" i="37"/>
  <c r="K62" i="37"/>
  <c r="K64" i="37"/>
  <c r="K65" i="37"/>
  <c r="K66" i="37"/>
  <c r="K67" i="37"/>
  <c r="I68" i="37"/>
  <c r="C69" i="37"/>
  <c r="K70" i="37"/>
  <c r="B71" i="37"/>
  <c r="F71" i="37"/>
  <c r="F73" i="37" s="1"/>
  <c r="H71" i="37"/>
  <c r="H73" i="37" s="1"/>
  <c r="K72" i="37"/>
  <c r="D73" i="37"/>
  <c r="E73" i="37"/>
  <c r="G73" i="37"/>
  <c r="J73" i="37"/>
  <c r="J83" i="37" s="1"/>
  <c r="B76" i="37"/>
  <c r="B81" i="37" s="1"/>
  <c r="F76" i="37"/>
  <c r="D77" i="37"/>
  <c r="G77" i="37"/>
  <c r="K78" i="37"/>
  <c r="K79" i="37"/>
  <c r="K80" i="37"/>
  <c r="K86" i="37"/>
  <c r="K87" i="37"/>
  <c r="K10" i="38"/>
  <c r="K11" i="38"/>
  <c r="K12" i="38"/>
  <c r="K13" i="38"/>
  <c r="K14" i="38"/>
  <c r="E15" i="38"/>
  <c r="I15" i="38"/>
  <c r="B17" i="38"/>
  <c r="C17" i="38"/>
  <c r="D17" i="38"/>
  <c r="F17" i="38"/>
  <c r="G17" i="38"/>
  <c r="G31" i="38" s="1"/>
  <c r="H17" i="38"/>
  <c r="H31" i="38" s="1"/>
  <c r="I17" i="38"/>
  <c r="I31" i="38" s="1"/>
  <c r="J17" i="38"/>
  <c r="K22" i="38"/>
  <c r="K23" i="38"/>
  <c r="K24" i="38"/>
  <c r="K25" i="38"/>
  <c r="K26" i="38"/>
  <c r="E27" i="38"/>
  <c r="B29" i="38"/>
  <c r="C29" i="38"/>
  <c r="C77" i="38"/>
  <c r="D29" i="38"/>
  <c r="F29" i="38"/>
  <c r="G29" i="38"/>
  <c r="H29" i="38"/>
  <c r="H77" i="38" s="1"/>
  <c r="I29" i="38"/>
  <c r="J29" i="38"/>
  <c r="J77" i="38"/>
  <c r="K38" i="38"/>
  <c r="K39" i="38"/>
  <c r="K40" i="38"/>
  <c r="K41" i="38"/>
  <c r="K42" i="38"/>
  <c r="K43" i="38"/>
  <c r="K44" i="38"/>
  <c r="K45" i="38"/>
  <c r="B47" i="38"/>
  <c r="C47" i="38"/>
  <c r="D47" i="38"/>
  <c r="E47" i="38"/>
  <c r="F47" i="38"/>
  <c r="G47" i="38"/>
  <c r="H47" i="38"/>
  <c r="I47" i="38"/>
  <c r="J47" i="38"/>
  <c r="K51" i="38"/>
  <c r="K52" i="38"/>
  <c r="B54" i="38"/>
  <c r="C54" i="38"/>
  <c r="D54" i="38"/>
  <c r="E54" i="38"/>
  <c r="F54" i="38"/>
  <c r="G54" i="38"/>
  <c r="H54" i="38"/>
  <c r="I54" i="38"/>
  <c r="J54" i="38"/>
  <c r="F56" i="38"/>
  <c r="K56" i="38" s="1"/>
  <c r="K61" i="38"/>
  <c r="C62" i="38"/>
  <c r="K62" i="38"/>
  <c r="K64" i="38"/>
  <c r="K65" i="38"/>
  <c r="K66" i="38"/>
  <c r="K67" i="38"/>
  <c r="I68" i="38"/>
  <c r="K69" i="38"/>
  <c r="C70" i="38"/>
  <c r="K70" i="38" s="1"/>
  <c r="B71" i="38"/>
  <c r="E71" i="38"/>
  <c r="E73" i="38"/>
  <c r="E83" i="38" s="1"/>
  <c r="F71" i="38"/>
  <c r="F73" i="38" s="1"/>
  <c r="H71" i="38"/>
  <c r="H73" i="38" s="1"/>
  <c r="K72" i="38"/>
  <c r="C73" i="38"/>
  <c r="D73" i="38"/>
  <c r="G73" i="38"/>
  <c r="J73" i="38"/>
  <c r="B76" i="38"/>
  <c r="B81" i="38" s="1"/>
  <c r="B83" i="38" s="1"/>
  <c r="D76" i="38"/>
  <c r="G77" i="38"/>
  <c r="I77" i="38"/>
  <c r="K78" i="38"/>
  <c r="K79" i="38"/>
  <c r="K80" i="38"/>
  <c r="K86" i="38"/>
  <c r="K87" i="38"/>
  <c r="K10" i="39"/>
  <c r="K11" i="39"/>
  <c r="K12" i="39"/>
  <c r="K13" i="39"/>
  <c r="K14" i="39"/>
  <c r="I15" i="39"/>
  <c r="I17" i="39"/>
  <c r="B17" i="39"/>
  <c r="C17" i="39"/>
  <c r="D17" i="39"/>
  <c r="E17" i="39"/>
  <c r="E76" i="39" s="1"/>
  <c r="F17" i="39"/>
  <c r="F76" i="39" s="1"/>
  <c r="G17" i="39"/>
  <c r="H17" i="39"/>
  <c r="J17" i="39"/>
  <c r="K22" i="39"/>
  <c r="K23" i="39"/>
  <c r="K24" i="39"/>
  <c r="K25" i="39"/>
  <c r="K26" i="39"/>
  <c r="K27" i="39"/>
  <c r="B29" i="39"/>
  <c r="B77" i="39" s="1"/>
  <c r="C29" i="39"/>
  <c r="C77" i="39" s="1"/>
  <c r="D29" i="39"/>
  <c r="D31" i="39" s="1"/>
  <c r="E29" i="39"/>
  <c r="F29" i="39"/>
  <c r="F77" i="39"/>
  <c r="F81" i="39" s="1"/>
  <c r="G29" i="39"/>
  <c r="H29" i="39"/>
  <c r="H77" i="39" s="1"/>
  <c r="I29" i="39"/>
  <c r="I77" i="39" s="1"/>
  <c r="J29" i="39"/>
  <c r="J77" i="39" s="1"/>
  <c r="K38" i="39"/>
  <c r="K39" i="39"/>
  <c r="K40" i="39"/>
  <c r="K41" i="39"/>
  <c r="K42" i="39"/>
  <c r="K43" i="39"/>
  <c r="K44" i="39"/>
  <c r="K45" i="39"/>
  <c r="B47" i="39"/>
  <c r="C47" i="39"/>
  <c r="D47" i="39"/>
  <c r="E47" i="39"/>
  <c r="F47" i="39"/>
  <c r="G47" i="39"/>
  <c r="H47" i="39"/>
  <c r="I47" i="39"/>
  <c r="J47" i="39"/>
  <c r="K51" i="39"/>
  <c r="K52" i="39"/>
  <c r="B54" i="39"/>
  <c r="C54" i="39"/>
  <c r="D54" i="39"/>
  <c r="E54" i="39"/>
  <c r="F54" i="39"/>
  <c r="G54" i="39"/>
  <c r="H54" i="39"/>
  <c r="I54" i="39"/>
  <c r="J54" i="39"/>
  <c r="F56" i="39"/>
  <c r="K56" i="39" s="1"/>
  <c r="K61" i="39"/>
  <c r="C62" i="39"/>
  <c r="F62" i="39"/>
  <c r="K62" i="39" s="1"/>
  <c r="K64" i="39"/>
  <c r="K65" i="39"/>
  <c r="K66" i="39"/>
  <c r="K67" i="39"/>
  <c r="I68" i="39"/>
  <c r="K69" i="39"/>
  <c r="C70" i="39"/>
  <c r="F70" i="39"/>
  <c r="B71" i="39"/>
  <c r="B73" i="39" s="1"/>
  <c r="E71" i="39"/>
  <c r="E73" i="39" s="1"/>
  <c r="F71" i="39"/>
  <c r="H71" i="39"/>
  <c r="K72" i="39"/>
  <c r="D73" i="39"/>
  <c r="G73" i="39"/>
  <c r="H73" i="39"/>
  <c r="J73" i="39"/>
  <c r="H76" i="39"/>
  <c r="H81" i="39" s="1"/>
  <c r="H83" i="39" s="1"/>
  <c r="E77" i="39"/>
  <c r="K78" i="39"/>
  <c r="K79" i="39"/>
  <c r="K80" i="39"/>
  <c r="K86" i="39"/>
  <c r="K87" i="39"/>
  <c r="B99" i="1"/>
  <c r="B100" i="1" s="1"/>
  <c r="H11" i="1"/>
  <c r="H12" i="1" s="1"/>
  <c r="G11" i="1"/>
  <c r="G12" i="1" s="1"/>
  <c r="F11" i="1"/>
  <c r="F12" i="1" s="1"/>
  <c r="E11" i="1"/>
  <c r="E12" i="1" s="1"/>
  <c r="C11" i="1"/>
  <c r="B11" i="1"/>
  <c r="E6" i="1"/>
  <c r="K6" i="1" s="1"/>
  <c r="E5" i="1"/>
  <c r="K5" i="1" s="1"/>
  <c r="G22" i="1"/>
  <c r="F22" i="1"/>
  <c r="F23" i="1" s="1"/>
  <c r="D22" i="1"/>
  <c r="D23" i="1" s="1"/>
  <c r="E22" i="1"/>
  <c r="E23" i="1" s="1"/>
  <c r="C22" i="1"/>
  <c r="C23" i="1" s="1"/>
  <c r="B22" i="1"/>
  <c r="B23" i="1" s="1"/>
  <c r="E17" i="1"/>
  <c r="E16" i="1"/>
  <c r="K16" i="1" s="1"/>
  <c r="G33" i="1"/>
  <c r="G34" i="1" s="1"/>
  <c r="H33" i="1"/>
  <c r="H34" i="1" s="1"/>
  <c r="F33" i="1"/>
  <c r="F34" i="1"/>
  <c r="E33" i="1"/>
  <c r="D33" i="1"/>
  <c r="C33" i="1"/>
  <c r="C34" i="1" s="1"/>
  <c r="B33" i="1"/>
  <c r="B34" i="1" s="1"/>
  <c r="E28" i="1"/>
  <c r="E27" i="1"/>
  <c r="K27" i="1"/>
  <c r="I34" i="1"/>
  <c r="J34" i="1"/>
  <c r="K32" i="1"/>
  <c r="B29" i="1"/>
  <c r="C29" i="1"/>
  <c r="D29" i="1"/>
  <c r="F29" i="1"/>
  <c r="G29" i="1"/>
  <c r="H29" i="1"/>
  <c r="I29" i="1"/>
  <c r="J29" i="1"/>
  <c r="H23" i="1"/>
  <c r="I23" i="1"/>
  <c r="J23" i="1"/>
  <c r="K21" i="1"/>
  <c r="B18" i="1"/>
  <c r="C18" i="1"/>
  <c r="D18" i="1"/>
  <c r="F18" i="1"/>
  <c r="G18" i="1"/>
  <c r="H18" i="1"/>
  <c r="I18" i="1"/>
  <c r="J18" i="1"/>
  <c r="D12" i="1"/>
  <c r="I12" i="1"/>
  <c r="J12" i="1"/>
  <c r="K10" i="1"/>
  <c r="B7" i="1"/>
  <c r="C7" i="1"/>
  <c r="D7" i="1"/>
  <c r="E7" i="1"/>
  <c r="F7" i="1"/>
  <c r="G7" i="1"/>
  <c r="H7" i="1"/>
  <c r="I7" i="1"/>
  <c r="J7" i="1"/>
  <c r="C99" i="1"/>
  <c r="C100" i="1" s="1"/>
  <c r="D99" i="1"/>
  <c r="D100" i="1"/>
  <c r="G99" i="1"/>
  <c r="G100" i="1" s="1"/>
  <c r="H99" i="1"/>
  <c r="H100" i="1"/>
  <c r="I99" i="1"/>
  <c r="I100" i="1" s="1"/>
  <c r="J99" i="1"/>
  <c r="J100" i="1" s="1"/>
  <c r="K98" i="1"/>
  <c r="H44" i="1"/>
  <c r="H45" i="1" s="1"/>
  <c r="G44" i="1"/>
  <c r="G45" i="1" s="1"/>
  <c r="F44" i="1"/>
  <c r="F45" i="1" s="1"/>
  <c r="E44" i="1"/>
  <c r="E45" i="1" s="1"/>
  <c r="D44" i="1"/>
  <c r="C44" i="1"/>
  <c r="C45" i="1" s="1"/>
  <c r="B44" i="1"/>
  <c r="E39" i="1"/>
  <c r="K39" i="1" s="1"/>
  <c r="E38" i="1"/>
  <c r="E40" i="1" s="1"/>
  <c r="H55" i="1"/>
  <c r="H56" i="1" s="1"/>
  <c r="G55" i="1"/>
  <c r="G56" i="1" s="1"/>
  <c r="F55" i="1"/>
  <c r="F56" i="1" s="1"/>
  <c r="D55" i="1"/>
  <c r="D56" i="1" s="1"/>
  <c r="C55" i="1"/>
  <c r="B55" i="1"/>
  <c r="E50" i="1"/>
  <c r="E49" i="1"/>
  <c r="H66" i="1"/>
  <c r="H67" i="1" s="1"/>
  <c r="G66" i="1"/>
  <c r="G67" i="1"/>
  <c r="F66" i="1"/>
  <c r="F67" i="1" s="1"/>
  <c r="D66" i="1"/>
  <c r="D67" i="1" s="1"/>
  <c r="C66" i="1"/>
  <c r="B66" i="1"/>
  <c r="B67" i="1" s="1"/>
  <c r="J77" i="1"/>
  <c r="J78" i="1" s="1"/>
  <c r="H77" i="1"/>
  <c r="G77" i="1"/>
  <c r="G78" i="1"/>
  <c r="F77" i="1"/>
  <c r="F78" i="1" s="1"/>
  <c r="D77" i="1"/>
  <c r="D78" i="1" s="1"/>
  <c r="C77" i="1"/>
  <c r="C78" i="1" s="1"/>
  <c r="E72" i="1"/>
  <c r="K72" i="1"/>
  <c r="E71" i="1"/>
  <c r="K71" i="1" s="1"/>
  <c r="E61" i="1"/>
  <c r="E60" i="1"/>
  <c r="K60" i="1"/>
  <c r="B77" i="1"/>
  <c r="E78" i="1"/>
  <c r="H78" i="1"/>
  <c r="I78" i="1"/>
  <c r="K76" i="1"/>
  <c r="B73" i="1"/>
  <c r="C73" i="1"/>
  <c r="D73" i="1"/>
  <c r="F73" i="1"/>
  <c r="G73" i="1"/>
  <c r="H73" i="1"/>
  <c r="I73" i="1"/>
  <c r="J73" i="1"/>
  <c r="C67" i="1"/>
  <c r="E67" i="1"/>
  <c r="I67" i="1"/>
  <c r="J67" i="1"/>
  <c r="K65" i="1"/>
  <c r="B62" i="1"/>
  <c r="C62" i="1"/>
  <c r="D62" i="1"/>
  <c r="F62" i="1"/>
  <c r="G62" i="1"/>
  <c r="H62" i="1"/>
  <c r="I62" i="1"/>
  <c r="J62" i="1"/>
  <c r="K61" i="1"/>
  <c r="B56" i="1"/>
  <c r="C56" i="1"/>
  <c r="E56" i="1"/>
  <c r="I56" i="1"/>
  <c r="J56" i="1"/>
  <c r="K54" i="1"/>
  <c r="B51" i="1"/>
  <c r="C51" i="1"/>
  <c r="D51" i="1"/>
  <c r="F51" i="1"/>
  <c r="G51" i="1"/>
  <c r="H51" i="1"/>
  <c r="I51" i="1"/>
  <c r="J51" i="1"/>
  <c r="K49" i="1"/>
  <c r="B45" i="1"/>
  <c r="I45" i="1"/>
  <c r="J45" i="1"/>
  <c r="K43" i="1"/>
  <c r="B40" i="1"/>
  <c r="C40" i="1"/>
  <c r="D40" i="1"/>
  <c r="F40" i="1"/>
  <c r="G40" i="1"/>
  <c r="H40" i="1"/>
  <c r="I40" i="1"/>
  <c r="J40" i="1"/>
  <c r="K38" i="1"/>
  <c r="H88" i="1"/>
  <c r="H89" i="1" s="1"/>
  <c r="G88" i="1"/>
  <c r="G89" i="1"/>
  <c r="F88" i="1"/>
  <c r="F89" i="1" s="1"/>
  <c r="D88" i="1"/>
  <c r="D89" i="1" s="1"/>
  <c r="C88" i="1"/>
  <c r="C89" i="1" s="1"/>
  <c r="B88" i="1"/>
  <c r="B89" i="1" s="1"/>
  <c r="E83" i="1"/>
  <c r="K83" i="1" s="1"/>
  <c r="E82" i="1"/>
  <c r="E89" i="1"/>
  <c r="I89" i="1"/>
  <c r="J89" i="1"/>
  <c r="K87" i="1"/>
  <c r="C84" i="1"/>
  <c r="D84" i="1"/>
  <c r="F84" i="1"/>
  <c r="G84" i="1"/>
  <c r="H84" i="1"/>
  <c r="I84" i="1"/>
  <c r="J84" i="1"/>
  <c r="B84" i="1"/>
  <c r="B95" i="1"/>
  <c r="D26" i="4"/>
  <c r="E26" i="4"/>
  <c r="E28" i="4" s="1"/>
  <c r="E94" i="1" s="1"/>
  <c r="F23" i="4"/>
  <c r="K23" i="4" s="1"/>
  <c r="G26" i="4"/>
  <c r="G28" i="4" s="1"/>
  <c r="G94" i="1" s="1"/>
  <c r="H28" i="4"/>
  <c r="H94" i="1" s="1"/>
  <c r="I28" i="4"/>
  <c r="I94" i="1" s="1"/>
  <c r="J28" i="4"/>
  <c r="J94" i="1" s="1"/>
  <c r="J95" i="1" s="1"/>
  <c r="F61" i="4"/>
  <c r="F99" i="1" s="1"/>
  <c r="F100" i="1" s="1"/>
  <c r="D15" i="4"/>
  <c r="D17" i="4" s="1"/>
  <c r="D93" i="1" s="1"/>
  <c r="E12" i="4"/>
  <c r="E17" i="4" s="1"/>
  <c r="E93" i="1" s="1"/>
  <c r="E15" i="4"/>
  <c r="F12" i="4"/>
  <c r="F17" i="4"/>
  <c r="F93" i="1" s="1"/>
  <c r="G15" i="4"/>
  <c r="G17" i="4" s="1"/>
  <c r="H17" i="4"/>
  <c r="H93" i="1" s="1"/>
  <c r="I15" i="4"/>
  <c r="I17" i="4" s="1"/>
  <c r="J17" i="4"/>
  <c r="J93" i="1" s="1"/>
  <c r="C17" i="4"/>
  <c r="C93" i="1" s="1"/>
  <c r="C28" i="4"/>
  <c r="C94" i="1" s="1"/>
  <c r="E61" i="4"/>
  <c r="E99" i="1" s="1"/>
  <c r="E100" i="1"/>
  <c r="J18" i="2"/>
  <c r="J21" i="2" s="1"/>
  <c r="I19" i="2"/>
  <c r="I18" i="2"/>
  <c r="I21" i="2"/>
  <c r="H19" i="2"/>
  <c r="H18" i="2"/>
  <c r="H21" i="2" s="1"/>
  <c r="G19" i="2"/>
  <c r="K19" i="2" s="1"/>
  <c r="G18" i="2"/>
  <c r="C21" i="2"/>
  <c r="D21" i="2"/>
  <c r="E21" i="2"/>
  <c r="F21" i="2"/>
  <c r="B21" i="2"/>
  <c r="E11" i="2"/>
  <c r="E33" i="2" s="1"/>
  <c r="E36" i="2" s="1"/>
  <c r="B11" i="2"/>
  <c r="B33" i="2" s="1"/>
  <c r="C11" i="2"/>
  <c r="C33" i="2"/>
  <c r="C36" i="2" s="1"/>
  <c r="D11" i="2"/>
  <c r="D33" i="2" s="1"/>
  <c r="D36" i="2" s="1"/>
  <c r="F11" i="2"/>
  <c r="F33" i="2"/>
  <c r="F36" i="2" s="1"/>
  <c r="G11" i="2"/>
  <c r="G33" i="2" s="1"/>
  <c r="G36" i="2" s="1"/>
  <c r="H11" i="2"/>
  <c r="H33" i="2"/>
  <c r="H36" i="2" s="1"/>
  <c r="I11" i="2"/>
  <c r="I33" i="2" s="1"/>
  <c r="I36" i="2" s="1"/>
  <c r="J11" i="2"/>
  <c r="J33" i="2"/>
  <c r="J36" i="2" s="1"/>
  <c r="K44" i="2"/>
  <c r="K43" i="2"/>
  <c r="K31" i="2"/>
  <c r="K30" i="2"/>
  <c r="K29" i="2"/>
  <c r="K28" i="2"/>
  <c r="K27" i="2"/>
  <c r="K23" i="2"/>
  <c r="K9" i="2"/>
  <c r="K8" i="2"/>
  <c r="C28" i="3"/>
  <c r="E30" i="3"/>
  <c r="E28" i="3"/>
  <c r="E31" i="3"/>
  <c r="K31" i="3" s="1"/>
  <c r="C32" i="3"/>
  <c r="D27" i="3"/>
  <c r="K27" i="3" s="1"/>
  <c r="F27" i="3"/>
  <c r="F29" i="3"/>
  <c r="K29" i="3" s="1"/>
  <c r="F30" i="3"/>
  <c r="K30" i="3" s="1"/>
  <c r="G32" i="3"/>
  <c r="H32" i="3"/>
  <c r="I32" i="3"/>
  <c r="J32" i="3"/>
  <c r="B32" i="3"/>
  <c r="J18" i="3"/>
  <c r="I18" i="3"/>
  <c r="I21" i="3"/>
  <c r="C21" i="3"/>
  <c r="D21" i="3"/>
  <c r="E21" i="3"/>
  <c r="F21" i="3"/>
  <c r="G21" i="3"/>
  <c r="H21" i="3"/>
  <c r="B21" i="3"/>
  <c r="K19" i="3"/>
  <c r="E11" i="3"/>
  <c r="E34" i="3" s="1"/>
  <c r="B11" i="3"/>
  <c r="C11" i="3"/>
  <c r="C34" i="3" s="1"/>
  <c r="C37" i="3" s="1"/>
  <c r="D11" i="3"/>
  <c r="D34" i="3" s="1"/>
  <c r="F11" i="3"/>
  <c r="F34" i="3"/>
  <c r="G11" i="3"/>
  <c r="G34" i="3" s="1"/>
  <c r="G37" i="3" s="1"/>
  <c r="H11" i="3"/>
  <c r="H34" i="3" s="1"/>
  <c r="H37" i="3" s="1"/>
  <c r="I11" i="3"/>
  <c r="I34" i="3"/>
  <c r="I37" i="3" s="1"/>
  <c r="J11" i="3"/>
  <c r="J34" i="3" s="1"/>
  <c r="K23" i="3"/>
  <c r="K9" i="3"/>
  <c r="K8" i="3"/>
  <c r="B17" i="4"/>
  <c r="C59" i="4"/>
  <c r="E59" i="4"/>
  <c r="C57" i="4"/>
  <c r="D57" i="4"/>
  <c r="D58" i="4"/>
  <c r="D59" i="4"/>
  <c r="E62" i="4"/>
  <c r="K62" i="4" s="1"/>
  <c r="F57" i="4"/>
  <c r="F59" i="4"/>
  <c r="G63" i="4"/>
  <c r="H63" i="4"/>
  <c r="I63" i="4"/>
  <c r="J57" i="4"/>
  <c r="J63" i="4" s="1"/>
  <c r="B63" i="4"/>
  <c r="L17" i="4"/>
  <c r="L28" i="4"/>
  <c r="K58" i="4"/>
  <c r="J48" i="4"/>
  <c r="J51" i="4" s="1"/>
  <c r="E53" i="4"/>
  <c r="K53" i="4" s="1"/>
  <c r="B28" i="4"/>
  <c r="F41" i="4"/>
  <c r="K41" i="4" s="1"/>
  <c r="F40" i="4"/>
  <c r="K60" i="4"/>
  <c r="F51" i="4"/>
  <c r="B51" i="4"/>
  <c r="C51" i="4"/>
  <c r="D51" i="4"/>
  <c r="E51" i="4"/>
  <c r="G51" i="4"/>
  <c r="H51" i="4"/>
  <c r="I51" i="4"/>
  <c r="K49" i="4"/>
  <c r="B44" i="4"/>
  <c r="C44" i="4"/>
  <c r="D44" i="4"/>
  <c r="E39" i="4"/>
  <c r="E44" i="4" s="1"/>
  <c r="G44" i="4"/>
  <c r="H44" i="4"/>
  <c r="I44" i="4"/>
  <c r="J44" i="4"/>
  <c r="K42" i="4"/>
  <c r="K38" i="4"/>
  <c r="K37" i="4"/>
  <c r="K24" i="4"/>
  <c r="K25" i="4"/>
  <c r="K22" i="4"/>
  <c r="K11" i="4"/>
  <c r="K13" i="4"/>
  <c r="K14" i="4"/>
  <c r="K10" i="4"/>
  <c r="E12" i="5"/>
  <c r="G61" i="5"/>
  <c r="G59" i="5"/>
  <c r="C17" i="5"/>
  <c r="C30" i="5" s="1"/>
  <c r="C65" i="5" s="1"/>
  <c r="C67" i="5" s="1"/>
  <c r="C28" i="5"/>
  <c r="F12" i="5"/>
  <c r="F17" i="5"/>
  <c r="E61" i="5"/>
  <c r="F61" i="5"/>
  <c r="F63" i="5" s="1"/>
  <c r="H61" i="5"/>
  <c r="K60" i="5"/>
  <c r="K64" i="5" s="1"/>
  <c r="H57" i="5"/>
  <c r="B57" i="5"/>
  <c r="B63" i="5" s="1"/>
  <c r="E59" i="5"/>
  <c r="E62" i="5"/>
  <c r="K62" i="5" s="1"/>
  <c r="C63" i="5"/>
  <c r="D63" i="5"/>
  <c r="H63" i="5"/>
  <c r="I63" i="5"/>
  <c r="J57" i="5"/>
  <c r="J63" i="5" s="1"/>
  <c r="D15" i="5"/>
  <c r="D17" i="5" s="1"/>
  <c r="D30" i="5" s="1"/>
  <c r="D65" i="5" s="1"/>
  <c r="D26" i="5"/>
  <c r="D28" i="5" s="1"/>
  <c r="E15" i="5"/>
  <c r="E26" i="5"/>
  <c r="E28" i="5" s="1"/>
  <c r="F23" i="5"/>
  <c r="G15" i="5"/>
  <c r="G17" i="5" s="1"/>
  <c r="G26" i="5"/>
  <c r="G28" i="5" s="1"/>
  <c r="G30" i="5" s="1"/>
  <c r="G65" i="5" s="1"/>
  <c r="G67" i="5" s="1"/>
  <c r="H17" i="5"/>
  <c r="H28" i="5"/>
  <c r="I15" i="5"/>
  <c r="I17" i="5" s="1"/>
  <c r="I30" i="5" s="1"/>
  <c r="I65" i="5" s="1"/>
  <c r="I67" i="5" s="1"/>
  <c r="I28" i="5"/>
  <c r="J17" i="5"/>
  <c r="J30" i="5" s="1"/>
  <c r="J65" i="5" s="1"/>
  <c r="J67" i="5" s="1"/>
  <c r="J28" i="5"/>
  <c r="B17" i="5"/>
  <c r="B30" i="5"/>
  <c r="B65" i="5" s="1"/>
  <c r="B67" i="5"/>
  <c r="B28" i="5"/>
  <c r="E53" i="5"/>
  <c r="K53" i="5" s="1"/>
  <c r="J48" i="5"/>
  <c r="F40" i="5"/>
  <c r="K40" i="5" s="1"/>
  <c r="E39" i="5"/>
  <c r="K58" i="5"/>
  <c r="K59" i="5"/>
  <c r="K57" i="5"/>
  <c r="F51" i="5"/>
  <c r="B51" i="5"/>
  <c r="C51" i="5"/>
  <c r="D51" i="5"/>
  <c r="E51" i="5"/>
  <c r="G51" i="5"/>
  <c r="H51" i="5"/>
  <c r="I51" i="5"/>
  <c r="K49" i="5"/>
  <c r="B44" i="5"/>
  <c r="C44" i="5"/>
  <c r="D44" i="5"/>
  <c r="G44" i="5"/>
  <c r="H44" i="5"/>
  <c r="I44" i="5"/>
  <c r="J44" i="5"/>
  <c r="K42" i="5"/>
  <c r="K41" i="5"/>
  <c r="K38" i="5"/>
  <c r="K37" i="5"/>
  <c r="K24" i="5"/>
  <c r="K25" i="5"/>
  <c r="K22" i="5"/>
  <c r="K11" i="5"/>
  <c r="K13" i="5"/>
  <c r="K14" i="5"/>
  <c r="K10" i="5"/>
  <c r="G61" i="22"/>
  <c r="G63" i="22" s="1"/>
  <c r="G59" i="22"/>
  <c r="J48" i="22"/>
  <c r="J51" i="22" s="1"/>
  <c r="K48" i="22"/>
  <c r="I15" i="22"/>
  <c r="G26" i="22"/>
  <c r="G15" i="22"/>
  <c r="F61" i="22"/>
  <c r="F63" i="22" s="1"/>
  <c r="F60" i="22"/>
  <c r="K60" i="22" s="1"/>
  <c r="F40" i="22"/>
  <c r="F23" i="22"/>
  <c r="F28" i="22" s="1"/>
  <c r="F12" i="22"/>
  <c r="E13" i="22"/>
  <c r="K13" i="22" s="1"/>
  <c r="E62" i="22"/>
  <c r="E61" i="22"/>
  <c r="E39" i="22"/>
  <c r="K39" i="22" s="1"/>
  <c r="E12" i="22"/>
  <c r="D26" i="22"/>
  <c r="D15" i="22"/>
  <c r="D17" i="22" s="1"/>
  <c r="C57" i="22"/>
  <c r="C63" i="22"/>
  <c r="B57" i="22"/>
  <c r="B63" i="22" s="1"/>
  <c r="C17" i="22"/>
  <c r="C30" i="22" s="1"/>
  <c r="C65" i="22" s="1"/>
  <c r="C28" i="22"/>
  <c r="C67" i="22"/>
  <c r="D63" i="22"/>
  <c r="I63" i="22"/>
  <c r="J63" i="22"/>
  <c r="E28" i="22"/>
  <c r="G17" i="22"/>
  <c r="H17" i="22"/>
  <c r="H28" i="22"/>
  <c r="I17" i="22"/>
  <c r="I30" i="22" s="1"/>
  <c r="I65" i="22" s="1"/>
  <c r="I67" i="22" s="1"/>
  <c r="I28" i="22"/>
  <c r="J17" i="22"/>
  <c r="J30" i="22"/>
  <c r="J65" i="22" s="1"/>
  <c r="J67" i="22" s="1"/>
  <c r="J28" i="22"/>
  <c r="B17" i="22"/>
  <c r="B30" i="22" s="1"/>
  <c r="B28" i="22"/>
  <c r="K58" i="22"/>
  <c r="K53" i="22"/>
  <c r="F51" i="22"/>
  <c r="B51" i="22"/>
  <c r="C51" i="22"/>
  <c r="K51" i="22" s="1"/>
  <c r="D51" i="22"/>
  <c r="E51" i="22"/>
  <c r="G51" i="22"/>
  <c r="H51" i="22"/>
  <c r="I51" i="22"/>
  <c r="K49" i="22"/>
  <c r="B44" i="22"/>
  <c r="C44" i="22"/>
  <c r="D44" i="22"/>
  <c r="E44" i="22"/>
  <c r="G44" i="22"/>
  <c r="H44" i="22"/>
  <c r="I44" i="22"/>
  <c r="J44" i="22"/>
  <c r="K42" i="22"/>
  <c r="K41" i="22"/>
  <c r="K38" i="22"/>
  <c r="K37" i="22"/>
  <c r="K24" i="22"/>
  <c r="K25" i="22"/>
  <c r="K22" i="22"/>
  <c r="K11" i="22"/>
  <c r="K14" i="22"/>
  <c r="K15" i="22"/>
  <c r="K10" i="22"/>
  <c r="H63" i="22"/>
  <c r="G28" i="22"/>
  <c r="E17" i="5"/>
  <c r="E30" i="5" s="1"/>
  <c r="E65" i="5" s="1"/>
  <c r="E67" i="5" s="1"/>
  <c r="K15" i="33"/>
  <c r="K12" i="5"/>
  <c r="B34" i="3"/>
  <c r="E62" i="1"/>
  <c r="K68" i="35"/>
  <c r="B73" i="35"/>
  <c r="K62" i="35"/>
  <c r="G76" i="42"/>
  <c r="F32" i="3"/>
  <c r="B31" i="38"/>
  <c r="B77" i="38"/>
  <c r="G76" i="38"/>
  <c r="G81" i="38" s="1"/>
  <c r="G83" i="38" s="1"/>
  <c r="K69" i="37"/>
  <c r="C73" i="37"/>
  <c r="K70" i="39"/>
  <c r="J76" i="39"/>
  <c r="J81" i="39" s="1"/>
  <c r="B76" i="39"/>
  <c r="B81" i="39" s="1"/>
  <c r="B83" i="39" s="1"/>
  <c r="J81" i="36"/>
  <c r="J83" i="36" s="1"/>
  <c r="G31" i="36"/>
  <c r="K69" i="35"/>
  <c r="C73" i="35"/>
  <c r="K54" i="39"/>
  <c r="K15" i="38"/>
  <c r="E17" i="38"/>
  <c r="J31" i="37"/>
  <c r="J76" i="37"/>
  <c r="J81" i="37" s="1"/>
  <c r="J51" i="33"/>
  <c r="K48" i="33"/>
  <c r="D34" i="1"/>
  <c r="C12" i="1"/>
  <c r="K68" i="39"/>
  <c r="I73" i="39"/>
  <c r="B31" i="37"/>
  <c r="B81" i="36"/>
  <c r="B83" i="36" s="1"/>
  <c r="E29" i="35"/>
  <c r="E31" i="35" s="1"/>
  <c r="D29" i="34"/>
  <c r="K61" i="33"/>
  <c r="C63" i="33"/>
  <c r="K15" i="35"/>
  <c r="D17" i="35"/>
  <c r="D76" i="35" s="1"/>
  <c r="C77" i="34"/>
  <c r="C81" i="34" s="1"/>
  <c r="C31" i="34"/>
  <c r="K26" i="33"/>
  <c r="K47" i="42"/>
  <c r="B77" i="42"/>
  <c r="B81" i="42" s="1"/>
  <c r="F31" i="42"/>
  <c r="J81" i="34"/>
  <c r="J83" i="34" s="1"/>
  <c r="B63" i="33"/>
  <c r="J31" i="42"/>
  <c r="D17" i="42"/>
  <c r="D31" i="42" s="1"/>
  <c r="K15" i="42"/>
  <c r="E17" i="37"/>
  <c r="K56" i="35"/>
  <c r="B31" i="35"/>
  <c r="K67" i="34"/>
  <c r="K29" i="34"/>
  <c r="G77" i="34"/>
  <c r="G81" i="34"/>
  <c r="G83" i="34" s="1"/>
  <c r="G31" i="34"/>
  <c r="K54" i="40"/>
  <c r="B76" i="34"/>
  <c r="B81" i="34" s="1"/>
  <c r="E76" i="37"/>
  <c r="D77" i="34"/>
  <c r="E76" i="38"/>
  <c r="D76" i="36"/>
  <c r="I81" i="37"/>
  <c r="J37" i="3"/>
  <c r="B65" i="22"/>
  <c r="K15" i="5"/>
  <c r="K68" i="37"/>
  <c r="I73" i="37"/>
  <c r="H77" i="37"/>
  <c r="C31" i="35"/>
  <c r="F77" i="38"/>
  <c r="E17" i="22"/>
  <c r="E73" i="1"/>
  <c r="K28" i="1"/>
  <c r="E29" i="1"/>
  <c r="K29" i="1" s="1"/>
  <c r="E81" i="39"/>
  <c r="B31" i="34"/>
  <c r="J83" i="42"/>
  <c r="E31" i="42"/>
  <c r="E76" i="42"/>
  <c r="K23" i="22"/>
  <c r="J21" i="3"/>
  <c r="K18" i="3"/>
  <c r="D45" i="1"/>
  <c r="K27" i="38"/>
  <c r="E29" i="38"/>
  <c r="H76" i="38"/>
  <c r="H81" i="38" s="1"/>
  <c r="H83" i="38" s="1"/>
  <c r="E29" i="36"/>
  <c r="I76" i="36"/>
  <c r="I81" i="36" s="1"/>
  <c r="I83" i="36" s="1"/>
  <c r="F31" i="36"/>
  <c r="F76" i="36"/>
  <c r="F81" i="36" s="1"/>
  <c r="K71" i="34"/>
  <c r="F77" i="34"/>
  <c r="F31" i="34"/>
  <c r="G31" i="40"/>
  <c r="G76" i="40"/>
  <c r="K15" i="40"/>
  <c r="D17" i="40"/>
  <c r="D76" i="40" s="1"/>
  <c r="C31" i="42"/>
  <c r="C76" i="42"/>
  <c r="C81" i="42" s="1"/>
  <c r="E73" i="42"/>
  <c r="F31" i="39"/>
  <c r="K57" i="22"/>
  <c r="K59" i="22"/>
  <c r="K61" i="5"/>
  <c r="G21" i="2"/>
  <c r="K18" i="2"/>
  <c r="B78" i="1"/>
  <c r="K78" i="1" s="1"/>
  <c r="K77" i="1"/>
  <c r="C73" i="36"/>
  <c r="K29" i="36"/>
  <c r="C31" i="36"/>
  <c r="C76" i="36"/>
  <c r="H31" i="35"/>
  <c r="K12" i="33"/>
  <c r="E17" i="33"/>
  <c r="K82" i="1"/>
  <c r="E84" i="1"/>
  <c r="K84" i="1" s="1"/>
  <c r="K17" i="1"/>
  <c r="K71" i="37"/>
  <c r="B73" i="37"/>
  <c r="K15" i="37"/>
  <c r="H31" i="36"/>
  <c r="H77" i="36"/>
  <c r="I76" i="34"/>
  <c r="I81" i="34" s="1"/>
  <c r="I83" i="34" s="1"/>
  <c r="I31" i="34"/>
  <c r="E81" i="34"/>
  <c r="C67" i="33"/>
  <c r="F37" i="3"/>
  <c r="E51" i="1"/>
  <c r="K50" i="1"/>
  <c r="H81" i="36"/>
  <c r="H83" i="36" s="1"/>
  <c r="F31" i="35"/>
  <c r="F76" i="35"/>
  <c r="F81" i="35" s="1"/>
  <c r="C73" i="40"/>
  <c r="K68" i="40"/>
  <c r="F73" i="42"/>
  <c r="F83" i="42" s="1"/>
  <c r="D29" i="42"/>
  <c r="B73" i="38"/>
  <c r="K71" i="38"/>
  <c r="J31" i="35"/>
  <c r="K69" i="34"/>
  <c r="B73" i="34"/>
  <c r="B83" i="34" s="1"/>
  <c r="K15" i="34"/>
  <c r="D17" i="34"/>
  <c r="K17" i="34" s="1"/>
  <c r="B31" i="42"/>
  <c r="E31" i="39"/>
  <c r="B77" i="40"/>
  <c r="B81" i="40" s="1"/>
  <c r="B83" i="40" s="1"/>
  <c r="B31" i="40"/>
  <c r="D77" i="42"/>
  <c r="C81" i="36"/>
  <c r="C83" i="36" s="1"/>
  <c r="K17" i="40"/>
  <c r="E31" i="36"/>
  <c r="E77" i="36"/>
  <c r="E81" i="36" s="1"/>
  <c r="E83" i="36" s="1"/>
  <c r="E77" i="38"/>
  <c r="K29" i="38"/>
  <c r="E31" i="38"/>
  <c r="F81" i="34"/>
  <c r="F83" i="34" s="1"/>
  <c r="K77" i="34"/>
  <c r="B83" i="37"/>
  <c r="B67" i="22"/>
  <c r="D76" i="34"/>
  <c r="D81" i="34" s="1"/>
  <c r="D31" i="34"/>
  <c r="K29" i="42"/>
  <c r="E81" i="38"/>
  <c r="B32" i="46"/>
  <c r="K58" i="54"/>
  <c r="I76" i="39"/>
  <c r="K17" i="39"/>
  <c r="G77" i="39"/>
  <c r="D76" i="39"/>
  <c r="K15" i="39"/>
  <c r="B31" i="39"/>
  <c r="J31" i="39"/>
  <c r="D28" i="4"/>
  <c r="D94" i="1" s="1"/>
  <c r="D95" i="1" s="1"/>
  <c r="G93" i="1"/>
  <c r="G95" i="1" s="1"/>
  <c r="I30" i="4"/>
  <c r="I65" i="4" s="1"/>
  <c r="I67" i="4" s="1"/>
  <c r="I93" i="1"/>
  <c r="I95" i="1" s="1"/>
  <c r="K48" i="4"/>
  <c r="K59" i="4"/>
  <c r="K40" i="4"/>
  <c r="D63" i="4"/>
  <c r="K15" i="4"/>
  <c r="K39" i="4"/>
  <c r="F28" i="4"/>
  <c r="F94" i="1" s="1"/>
  <c r="E63" i="4"/>
  <c r="F63" i="4"/>
  <c r="B30" i="4"/>
  <c r="B65" i="4"/>
  <c r="B67" i="4" s="1"/>
  <c r="K61" i="4"/>
  <c r="K57" i="4"/>
  <c r="L30" i="4"/>
  <c r="L65" i="4" s="1"/>
  <c r="L67" i="4" s="1"/>
  <c r="C63" i="4"/>
  <c r="K99" i="1"/>
  <c r="E95" i="1" l="1"/>
  <c r="K32" i="54"/>
  <c r="C31" i="38"/>
  <c r="C76" i="38"/>
  <c r="C81" i="38" s="1"/>
  <c r="C83" i="38" s="1"/>
  <c r="K27" i="37"/>
  <c r="E29" i="37"/>
  <c r="I67" i="33"/>
  <c r="E30" i="4"/>
  <c r="E65" i="4" s="1"/>
  <c r="E67" i="4" s="1"/>
  <c r="K12" i="4"/>
  <c r="I31" i="39"/>
  <c r="K17" i="33"/>
  <c r="F28" i="33"/>
  <c r="E18" i="1"/>
  <c r="K18" i="1" s="1"/>
  <c r="D77" i="36"/>
  <c r="D81" i="36" s="1"/>
  <c r="D83" i="36" s="1"/>
  <c r="K51" i="33"/>
  <c r="E77" i="35"/>
  <c r="E81" i="35" s="1"/>
  <c r="E83" i="35" s="1"/>
  <c r="H31" i="37"/>
  <c r="E76" i="40"/>
  <c r="E81" i="40" s="1"/>
  <c r="E83" i="40" s="1"/>
  <c r="E63" i="33"/>
  <c r="I31" i="37"/>
  <c r="K26" i="5"/>
  <c r="H30" i="5"/>
  <c r="H65" i="5" s="1"/>
  <c r="H67" i="5" s="1"/>
  <c r="K100" i="1"/>
  <c r="K47" i="39"/>
  <c r="I73" i="38"/>
  <c r="K68" i="38"/>
  <c r="C77" i="37"/>
  <c r="K29" i="37"/>
  <c r="K54" i="36"/>
  <c r="G76" i="35"/>
  <c r="D30" i="33"/>
  <c r="H76" i="40"/>
  <c r="H81" i="40" s="1"/>
  <c r="H83" i="40" s="1"/>
  <c r="H31" i="40"/>
  <c r="C31" i="40"/>
  <c r="C76" i="40"/>
  <c r="C81" i="40" s="1"/>
  <c r="C83" i="40" s="1"/>
  <c r="J32" i="45"/>
  <c r="C31" i="37"/>
  <c r="C76" i="37"/>
  <c r="D30" i="4"/>
  <c r="D65" i="4" s="1"/>
  <c r="D67" i="4" s="1"/>
  <c r="K29" i="39"/>
  <c r="B32" i="45"/>
  <c r="K73" i="37"/>
  <c r="K77" i="36"/>
  <c r="E83" i="34"/>
  <c r="K21" i="2"/>
  <c r="C73" i="39"/>
  <c r="G81" i="40"/>
  <c r="G83" i="40" s="1"/>
  <c r="E81" i="42"/>
  <c r="E83" i="42" s="1"/>
  <c r="K73" i="1"/>
  <c r="K17" i="38"/>
  <c r="K63" i="33"/>
  <c r="G30" i="22"/>
  <c r="G65" i="22" s="1"/>
  <c r="G67" i="22" s="1"/>
  <c r="D32" i="3"/>
  <c r="K67" i="1"/>
  <c r="J76" i="38"/>
  <c r="J31" i="38"/>
  <c r="D76" i="37"/>
  <c r="D81" i="37" s="1"/>
  <c r="K54" i="37"/>
  <c r="K47" i="37"/>
  <c r="H31" i="34"/>
  <c r="B30" i="33"/>
  <c r="B65" i="33" s="1"/>
  <c r="B67" i="33" s="1"/>
  <c r="K28" i="46"/>
  <c r="D30" i="46"/>
  <c r="K61" i="46"/>
  <c r="J30" i="4"/>
  <c r="J65" i="4" s="1"/>
  <c r="J67" i="4" s="1"/>
  <c r="I81" i="39"/>
  <c r="I83" i="39" s="1"/>
  <c r="D83" i="34"/>
  <c r="F73" i="35"/>
  <c r="F83" i="35" s="1"/>
  <c r="K51" i="1"/>
  <c r="K31" i="36"/>
  <c r="K44" i="1"/>
  <c r="C77" i="35"/>
  <c r="C81" i="35" s="1"/>
  <c r="C83" i="35" s="1"/>
  <c r="I83" i="37"/>
  <c r="K57" i="33"/>
  <c r="I31" i="40"/>
  <c r="K81" i="34"/>
  <c r="K15" i="36"/>
  <c r="D77" i="39"/>
  <c r="K77" i="39" s="1"/>
  <c r="F31" i="37"/>
  <c r="F77" i="37"/>
  <c r="F81" i="37" s="1"/>
  <c r="F83" i="37" s="1"/>
  <c r="D29" i="35"/>
  <c r="D77" i="35" s="1"/>
  <c r="D81" i="35" s="1"/>
  <c r="B83" i="42"/>
  <c r="K18" i="45"/>
  <c r="K54" i="46"/>
  <c r="K17" i="37"/>
  <c r="H30" i="22"/>
  <c r="H65" i="22" s="1"/>
  <c r="H67" i="22" s="1"/>
  <c r="G63" i="5"/>
  <c r="C95" i="1"/>
  <c r="H95" i="1"/>
  <c r="K89" i="1"/>
  <c r="K56" i="1"/>
  <c r="K62" i="1"/>
  <c r="I76" i="38"/>
  <c r="I81" i="38" s="1"/>
  <c r="G31" i="37"/>
  <c r="J30" i="33"/>
  <c r="J65" i="33" s="1"/>
  <c r="J67" i="33" s="1"/>
  <c r="F81" i="40"/>
  <c r="K47" i="40"/>
  <c r="I31" i="42"/>
  <c r="K61" i="45"/>
  <c r="D32" i="54"/>
  <c r="H32" i="54"/>
  <c r="F44" i="4"/>
  <c r="K44" i="4" s="1"/>
  <c r="K51" i="4"/>
  <c r="K63" i="4"/>
  <c r="D37" i="3"/>
  <c r="J83" i="39"/>
  <c r="H31" i="39"/>
  <c r="K77" i="35"/>
  <c r="H30" i="33"/>
  <c r="H65" i="33" s="1"/>
  <c r="H67" i="33" s="1"/>
  <c r="F73" i="40"/>
  <c r="F83" i="40" s="1"/>
  <c r="I83" i="42"/>
  <c r="F32" i="45"/>
  <c r="K54" i="45"/>
  <c r="K18" i="46"/>
  <c r="E32" i="46"/>
  <c r="C32" i="53"/>
  <c r="F32" i="53"/>
  <c r="K30" i="54"/>
  <c r="D65" i="33"/>
  <c r="F95" i="1"/>
  <c r="K95" i="1" s="1"/>
  <c r="K94" i="1"/>
  <c r="D67" i="5"/>
  <c r="B37" i="3"/>
  <c r="K34" i="3"/>
  <c r="H30" i="4"/>
  <c r="H65" i="4" s="1"/>
  <c r="H67" i="4" s="1"/>
  <c r="G30" i="4"/>
  <c r="G65" i="4" s="1"/>
  <c r="G67" i="4" s="1"/>
  <c r="K66" i="1"/>
  <c r="K48" i="5"/>
  <c r="J51" i="5"/>
  <c r="K51" i="5" s="1"/>
  <c r="K45" i="1"/>
  <c r="G23" i="1"/>
  <c r="K22" i="1"/>
  <c r="B12" i="1"/>
  <c r="K12" i="1" s="1"/>
  <c r="K11" i="1"/>
  <c r="K54" i="38"/>
  <c r="K47" i="38"/>
  <c r="K47" i="36"/>
  <c r="K61" i="54"/>
  <c r="K63" i="22"/>
  <c r="K61" i="22"/>
  <c r="E63" i="22"/>
  <c r="K76" i="34"/>
  <c r="K93" i="1"/>
  <c r="K28" i="4"/>
  <c r="E30" i="22"/>
  <c r="E65" i="22" s="1"/>
  <c r="E67" i="22" s="1"/>
  <c r="K76" i="36"/>
  <c r="K11" i="2"/>
  <c r="K76" i="37"/>
  <c r="D76" i="42"/>
  <c r="K17" i="42"/>
  <c r="F44" i="22"/>
  <c r="K40" i="22"/>
  <c r="E63" i="5"/>
  <c r="K63" i="5" s="1"/>
  <c r="K17" i="5"/>
  <c r="E32" i="3"/>
  <c r="K32" i="3" s="1"/>
  <c r="E37" i="3"/>
  <c r="K28" i="3"/>
  <c r="K55" i="1"/>
  <c r="G76" i="39"/>
  <c r="G81" i="39" s="1"/>
  <c r="G83" i="39" s="1"/>
  <c r="G31" i="39"/>
  <c r="K62" i="42"/>
  <c r="C73" i="42"/>
  <c r="K54" i="42"/>
  <c r="G77" i="42"/>
  <c r="K77" i="42" s="1"/>
  <c r="G31" i="42"/>
  <c r="K44" i="22"/>
  <c r="K26" i="22"/>
  <c r="D28" i="22"/>
  <c r="F17" i="22"/>
  <c r="F30" i="22" s="1"/>
  <c r="F65" i="22" s="1"/>
  <c r="F67" i="22" s="1"/>
  <c r="K12" i="22"/>
  <c r="F28" i="5"/>
  <c r="K28" i="5" s="1"/>
  <c r="K23" i="5"/>
  <c r="K33" i="2"/>
  <c r="B36" i="2"/>
  <c r="K36" i="2" s="1"/>
  <c r="F30" i="4"/>
  <c r="F65" i="4" s="1"/>
  <c r="F67" i="4" s="1"/>
  <c r="K17" i="4"/>
  <c r="C30" i="4"/>
  <c r="C65" i="4" s="1"/>
  <c r="C67" i="4" s="1"/>
  <c r="K26" i="4"/>
  <c r="D83" i="37"/>
  <c r="H81" i="37"/>
  <c r="H83" i="37" s="1"/>
  <c r="K39" i="5"/>
  <c r="E44" i="5"/>
  <c r="K11" i="3"/>
  <c r="K21" i="3"/>
  <c r="K88" i="1"/>
  <c r="K40" i="1"/>
  <c r="K7" i="1"/>
  <c r="K33" i="1"/>
  <c r="E34" i="1"/>
  <c r="K34" i="1" s="1"/>
  <c r="K23" i="1"/>
  <c r="E83" i="39"/>
  <c r="I31" i="35"/>
  <c r="K17" i="35"/>
  <c r="I76" i="35"/>
  <c r="K68" i="34"/>
  <c r="C73" i="34"/>
  <c r="C83" i="34" s="1"/>
  <c r="D29" i="40"/>
  <c r="K27" i="40"/>
  <c r="F44" i="5"/>
  <c r="C76" i="39"/>
  <c r="C31" i="39"/>
  <c r="J81" i="38"/>
  <c r="J83" i="38" s="1"/>
  <c r="F73" i="36"/>
  <c r="K71" i="36"/>
  <c r="K39" i="33"/>
  <c r="E44" i="33"/>
  <c r="K44" i="33" s="1"/>
  <c r="J76" i="40"/>
  <c r="J81" i="40" s="1"/>
  <c r="J31" i="40"/>
  <c r="K18" i="54"/>
  <c r="K17" i="36"/>
  <c r="F73" i="39"/>
  <c r="F31" i="38"/>
  <c r="F76" i="38"/>
  <c r="G81" i="35"/>
  <c r="H81" i="35"/>
  <c r="H83" i="35" s="1"/>
  <c r="H83" i="34"/>
  <c r="D77" i="38"/>
  <c r="D31" i="38"/>
  <c r="K31" i="38" s="1"/>
  <c r="E31" i="34"/>
  <c r="K31" i="34" s="1"/>
  <c r="J83" i="40"/>
  <c r="D73" i="40"/>
  <c r="K71" i="40"/>
  <c r="F32" i="46"/>
  <c r="K18" i="53"/>
  <c r="K54" i="53"/>
  <c r="K54" i="54"/>
  <c r="D73" i="35"/>
  <c r="K31" i="39" l="1"/>
  <c r="K65" i="4"/>
  <c r="K81" i="36"/>
  <c r="K37" i="3"/>
  <c r="D81" i="39"/>
  <c r="D83" i="39" s="1"/>
  <c r="D31" i="35"/>
  <c r="K31" i="35" s="1"/>
  <c r="K29" i="35"/>
  <c r="D32" i="46"/>
  <c r="K30" i="46"/>
  <c r="K83" i="34"/>
  <c r="K67" i="4"/>
  <c r="K32" i="53"/>
  <c r="K32" i="45"/>
  <c r="C81" i="37"/>
  <c r="C83" i="37" s="1"/>
  <c r="K28" i="33"/>
  <c r="F30" i="33"/>
  <c r="E77" i="37"/>
  <c r="E81" i="37" s="1"/>
  <c r="E83" i="37" s="1"/>
  <c r="E31" i="37"/>
  <c r="K32" i="46"/>
  <c r="K31" i="42"/>
  <c r="F30" i="5"/>
  <c r="F65" i="5" s="1"/>
  <c r="G81" i="42"/>
  <c r="G83" i="42" s="1"/>
  <c r="K31" i="37"/>
  <c r="I83" i="38"/>
  <c r="K73" i="38"/>
  <c r="K73" i="35"/>
  <c r="D83" i="35"/>
  <c r="K76" i="38"/>
  <c r="F81" i="38"/>
  <c r="F83" i="38" s="1"/>
  <c r="K28" i="22"/>
  <c r="D30" i="22"/>
  <c r="K30" i="5"/>
  <c r="K73" i="40"/>
  <c r="I81" i="35"/>
  <c r="I83" i="35" s="1"/>
  <c r="K76" i="35"/>
  <c r="K76" i="40"/>
  <c r="K73" i="34"/>
  <c r="D81" i="38"/>
  <c r="K77" i="38"/>
  <c r="F83" i="39"/>
  <c r="K73" i="39"/>
  <c r="D77" i="40"/>
  <c r="K29" i="40"/>
  <c r="D31" i="40"/>
  <c r="K31" i="40" s="1"/>
  <c r="K81" i="37"/>
  <c r="D81" i="42"/>
  <c r="K76" i="42"/>
  <c r="K17" i="22"/>
  <c r="D67" i="33"/>
  <c r="G83" i="35"/>
  <c r="F83" i="36"/>
  <c r="K83" i="36" s="1"/>
  <c r="K73" i="36"/>
  <c r="C81" i="39"/>
  <c r="K76" i="39"/>
  <c r="K44" i="5"/>
  <c r="C83" i="42"/>
  <c r="K73" i="42"/>
  <c r="K30" i="4"/>
  <c r="K83" i="37" l="1"/>
  <c r="K77" i="37"/>
  <c r="F65" i="33"/>
  <c r="K30" i="33"/>
  <c r="D81" i="40"/>
  <c r="K77" i="40"/>
  <c r="D83" i="42"/>
  <c r="K83" i="42" s="1"/>
  <c r="K81" i="42"/>
  <c r="K81" i="38"/>
  <c r="D83" i="38"/>
  <c r="K83" i="38" s="1"/>
  <c r="K30" i="22"/>
  <c r="D65" i="22"/>
  <c r="K83" i="35"/>
  <c r="F67" i="5"/>
  <c r="K67" i="5" s="1"/>
  <c r="K65" i="5"/>
  <c r="K81" i="35"/>
  <c r="C83" i="39"/>
  <c r="K83" i="39" s="1"/>
  <c r="K81" i="39"/>
  <c r="F67" i="33" l="1"/>
  <c r="K67" i="33" s="1"/>
  <c r="K65" i="33"/>
  <c r="K65" i="22"/>
  <c r="D67" i="22"/>
  <c r="K67" i="22" s="1"/>
  <c r="K81" i="40"/>
  <c r="D83" i="40"/>
  <c r="K83" i="40" s="1"/>
</calcChain>
</file>

<file path=xl/comments1.xml><?xml version="1.0" encoding="utf-8"?>
<comments xmlns="http://schemas.openxmlformats.org/spreadsheetml/2006/main">
  <authors>
    <author>CHRISTIAN STURMLECHNER</author>
  </authors>
  <commentList>
    <comment ref="E12" authorId="0" shapeId="0">
      <text>
        <r>
          <rPr>
            <b/>
            <sz val="8"/>
            <color indexed="81"/>
            <rFont val="Tahoma"/>
            <family val="2"/>
          </rPr>
          <t>inkl. Sonderwohnbau (insg. 96,9) des Landes und BSWG (lt. BMF: 63)</t>
        </r>
      </text>
    </comment>
  </commentList>
</comments>
</file>

<file path=xl/sharedStrings.xml><?xml version="1.0" encoding="utf-8"?>
<sst xmlns="http://schemas.openxmlformats.org/spreadsheetml/2006/main" count="1793" uniqueCount="236">
  <si>
    <t>Ausgaben und Einnahmen der Länder für die Wohnbauförderung</t>
  </si>
  <si>
    <t>Daten laut Jahresberichten der Länder gemäß § 4 Abs. 2 WBF-ZG, in Mio. S</t>
  </si>
  <si>
    <t>Ausgaben 1989</t>
  </si>
  <si>
    <t>Bgld.</t>
  </si>
  <si>
    <t>Ktn.</t>
  </si>
  <si>
    <t>Nö.</t>
  </si>
  <si>
    <t>Oö.</t>
  </si>
  <si>
    <t>Sbg.</t>
  </si>
  <si>
    <t>Stmk.</t>
  </si>
  <si>
    <t>Tirol</t>
  </si>
  <si>
    <t>Vlbg.</t>
  </si>
  <si>
    <t>Wien</t>
  </si>
  <si>
    <t>Summe</t>
  </si>
  <si>
    <t>für Förderung des Wohnbaus</t>
  </si>
  <si>
    <t>für Förderung der Wohnhaussanierung</t>
  </si>
  <si>
    <t>Einnahmen 1989</t>
  </si>
  <si>
    <t>Bundesmittel (lt. BMF-Daten)</t>
  </si>
  <si>
    <t>Veranlagungszinsen + Rückflüsse</t>
  </si>
  <si>
    <t>Summe (ohne Landesmittel)</t>
  </si>
  <si>
    <t>Ausgaben 1990</t>
  </si>
  <si>
    <t>Einnahmen 1990</t>
  </si>
  <si>
    <t>Ausgaben 1991</t>
  </si>
  <si>
    <t>Einnahmen 1991</t>
  </si>
  <si>
    <t>Ausgaben 1992</t>
  </si>
  <si>
    <t>Einnahmen 1992</t>
  </si>
  <si>
    <t>Ausgaben 1993</t>
  </si>
  <si>
    <t>Einnahmen 1993</t>
  </si>
  <si>
    <t>Ausgaben 1994</t>
  </si>
  <si>
    <t>Einnahmen 1994</t>
  </si>
  <si>
    <t>Ausgaben 1995</t>
  </si>
  <si>
    <t>Einnahmen 1995</t>
  </si>
  <si>
    <t>Ausgaben 1996</t>
  </si>
  <si>
    <t>Einnahmen 1996</t>
  </si>
  <si>
    <t>Ausgaben 1997</t>
  </si>
  <si>
    <t>Einnahmen 1997</t>
  </si>
  <si>
    <t>Anmerkung: zum Teil wurden aus den Ausgabenbeträgen laut Jahresberichten "sonstige Ausgaben" wie insb. Darlehensrückzahlungen, Abschreibungen, Rücklagenzuführungen</t>
  </si>
  <si>
    <t xml:space="preserve">                   u. nicht näher definierte Ausgaben herausgerechnet.</t>
  </si>
  <si>
    <t xml:space="preserve">                   Die teilweisen Schwankungen bei den Beträgen für "Veranlagungszinsen+Rückflüsse" dürften auch mit unterschiedlichen Abgrenzungen zusammenhängen.</t>
  </si>
  <si>
    <t xml:space="preserve">                   Burgenland: bis inkl. 1997 wurden bei den "Ausgaben" die Zusicherungen dargestellt</t>
  </si>
  <si>
    <t>Die wichtigsten Daten aus den Jahresberichten der Länder über die Wohnbauförderung im Jahr 1995</t>
  </si>
  <si>
    <t>in Mio. S</t>
  </si>
  <si>
    <t>Bgld. (4)</t>
  </si>
  <si>
    <t>Ausgaben</t>
  </si>
  <si>
    <t>Gesamtausgaben</t>
  </si>
  <si>
    <t>Rücklagengebarung und Finanzierung</t>
  </si>
  <si>
    <t>Aushaftende Darlehen</t>
  </si>
  <si>
    <t>Wohnbau</t>
  </si>
  <si>
    <t>Wohnhaussanierung</t>
  </si>
  <si>
    <r>
      <t>Rücklagen</t>
    </r>
    <r>
      <rPr>
        <sz val="10"/>
        <rFont val="Arial"/>
        <family val="2"/>
      </rPr>
      <t xml:space="preserve"> am Ende des Berichtsjahres</t>
    </r>
  </si>
  <si>
    <t>Gesamteinnahmen u -ausgaben</t>
  </si>
  <si>
    <t>Bundesmittel §§ 1 u 3 WBF-ZG</t>
  </si>
  <si>
    <t>Landesmittel (n.a. = nicht angegeben)</t>
  </si>
  <si>
    <t>Veranlagungszinsen</t>
  </si>
  <si>
    <t>Rückflüsse</t>
  </si>
  <si>
    <t>Saldo</t>
  </si>
  <si>
    <t>(4) Burgenland: bis inkl. 1997 wurden bei den "Ausgaben" die Zusicherungen dargestellt</t>
  </si>
  <si>
    <t>nicht anerkannte/unklare Posten</t>
  </si>
  <si>
    <t>Saldo inkl. dieser Positionen</t>
  </si>
  <si>
    <t>Die wichtigsten Daten aus den Jahresberichten der Länder über die Wohnbauförderung im Jahr 1996</t>
  </si>
  <si>
    <t>n.a.</t>
  </si>
  <si>
    <t>Sonstige Posten</t>
  </si>
  <si>
    <t>(1) Bgld.: im Jahresbericht als Bundesmittel nur 703 (es fehlen die Einnahmen nach § 3 WBF-ZG)</t>
  </si>
  <si>
    <t>(2) Ktn. im Jahresbericht als Bundesmittel nur 1.585, es fehlen die Einn. aus § 3 WBF-ZG (9 Mio. S)</t>
  </si>
  <si>
    <t>(3) Vlbg: im Jahresbericht sind die Bedarfszuweisungsmittel iHv 91 Mio. S als Bundesmittel ausgewiesen</t>
  </si>
  <si>
    <t>Die wichtigsten Daten aus den Jahresberichten der Länder über die Wohnbauförderung im Jahr 1997</t>
  </si>
  <si>
    <t>(Ausgaben)</t>
  </si>
  <si>
    <t>Darlehen ohne Eigenmittelersatzdarlehen</t>
  </si>
  <si>
    <t>Eigenmittelersatzdarlehen</t>
  </si>
  <si>
    <t>Annuitäten- u Zinsenzuschüsse</t>
  </si>
  <si>
    <t>sonstige verlorene Zuschüsse</t>
  </si>
  <si>
    <t>in Anspruch genommene Bürgschaften</t>
  </si>
  <si>
    <t>Wohnbeihilfe</t>
  </si>
  <si>
    <t>Darlehen</t>
  </si>
  <si>
    <t>Zugesicherte, noch nicht zugezählte Förderungen</t>
  </si>
  <si>
    <t>Darlehen Wohnbau</t>
  </si>
  <si>
    <t>Darlehen Wohnhaussanierung</t>
  </si>
  <si>
    <t>AZ u ZZ Wohnbau</t>
  </si>
  <si>
    <t>AZ u ZZ Wohnhaussanierung</t>
  </si>
  <si>
    <t>verl. Zuschüsse Wohnbau</t>
  </si>
  <si>
    <t>verl. Zuschüsse Wohnhaussanierung</t>
  </si>
  <si>
    <t>Bundesmittel (Wohnbaufonds) *)</t>
  </si>
  <si>
    <t>Landesmittel</t>
  </si>
  <si>
    <t>*) separate Darstellung der Bundes-Fondsmittel nur bei den Ländern, in denen sie in den Jahresberichten gesondert oder in den Bundesmitteln dargestellt sind</t>
  </si>
  <si>
    <t>**) von Vlbg. wurden sowohl Bundesfonds- als auch BZ-Mittel nach § 21a FAG als Bundesmittel dargestellt.</t>
  </si>
  <si>
    <t>(2) Ktn.: im Jahresbericht als Bundesmittel 1.591 (§ 1: 1.585,2 + Wohnbaufonds: 5,6; es fehlen die Einn. aus § 3 WBF-ZG)</t>
  </si>
  <si>
    <t>(3) um Rückflüsse iHv 703 Mio. S, die dem allgemeinen Landeshaushalt zur Verfügung gestellt wurden, korrigiert</t>
  </si>
  <si>
    <t>Die wichtigsten Daten aus den Jahresberichten der Länder über die Wohnbauförderung im Jahr 1998</t>
  </si>
  <si>
    <t>Wien (4)</t>
  </si>
  <si>
    <t>(3) Oberösterr.: i.W. Abschreibungen von Nachlässen bei begünstigter Rückzahlung (Gegenpost zu deren Aufnahme in die "Rückflüsse")</t>
  </si>
  <si>
    <t>(4) Wien: inkl. Einnahmen (rd. 120 Mio. S) und Ausgaben (rd. 240 Mio. S) gemäß den Bundes-Sonderwohnbaugesetzen 1982 u 1983</t>
  </si>
  <si>
    <t>(2) um Rückflüsse iHv 538 Mio. S (OÖ) bzw. 295 Mio. S (Stmk), die dem allgemeinen Landeshaushalt zur Verfügung gestellt wurden, korrigiert</t>
  </si>
  <si>
    <t>Die wichtigsten Daten aus den Jahresberichten der Länder über die Wohnbauförderung im Jahr 1999</t>
  </si>
  <si>
    <t>(1) Bgld und Tirol: es fehlen im Bericht die Einnahmen nach § 3 WBF-ZG.; Einn. lt. Bericht Bgld. 703, Tirol: 1.862</t>
  </si>
  <si>
    <t>(2) OÖ: negative Landesmittel: Rückfl. aus beg. Rückzahlung, die dem allg. Landeshaushalt zur Verfügung gestellt wurden. Korrektur der Rückflüsse: Erhöhung um diesen Betrag</t>
  </si>
  <si>
    <t>(1) Bgld, Ktn: die im Bericht fehlenden Beträge nach § 3 WBF-ZG. wurden hinzugerechnet: Bgld. -0,46, Ktn. +5,54</t>
  </si>
  <si>
    <t>(3) Oberösterr.: Abschreibungen von Nachlässen bei begünstigter Rückzahlung (453 Mio. S) u Tilgung (12 Mio. S) als Gegenposten zu deren Aufnahme in die "Rückflüsse"</t>
  </si>
  <si>
    <t>(4) Tirol: Bundesmittel lt. BMF-Daten</t>
  </si>
  <si>
    <t>(5) Stmk: um Rückflüsse iHv 339 Mio. S, die dem allgemeinen Landeshaushalt zur Verfügung gestellt wurden, korrigiert.</t>
  </si>
  <si>
    <t>Die wichtigsten Daten aus den Jahresberichten der Länder über die Wohnbauförderung im Jahr 2000</t>
  </si>
  <si>
    <t>(1) Bgld, Ktn: die im Bericht fehlenden Beträge nach § 3 WBF-ZG. wurden hinzugerechnet: Bgld. -0,125, Ktn. +0,63</t>
  </si>
  <si>
    <t>(2) OÖ: negative Landesmittel: Rückfl. aus beg. Rückzahlung, die dem allg. Landeshaushalt bez. dem LWSF zugeführt wurden</t>
  </si>
  <si>
    <t>(3) Ktn: Landesmittel u Rückfl. um 189,3 Mio. S reduziert bzw. erhöht: Zuführung von Rückflüssen aus begünstigen Rückzahlungen an allgemeineinen Landeshaushalt</t>
  </si>
  <si>
    <t>(4) Umbuchung Bundessonderwohnbau und LWSF</t>
  </si>
  <si>
    <t>Die wichtigsten Daten aus den Jahresberichten der Länder über die Wohnbauförderung im Jahr 2001</t>
  </si>
  <si>
    <t>Annuitäten- u Zinsenzuschüsse rückzahlbar</t>
  </si>
  <si>
    <t>AZ u ZZ Wohnbau rückzahlbar</t>
  </si>
  <si>
    <t>AZ u ZZ Wohnhaussanierung rückzahlbar</t>
  </si>
  <si>
    <t>AZ u ZZ Wohnbau nicht rückzahlbar</t>
  </si>
  <si>
    <t>AZ u ZZ Wohnhaussanierung nicht rückzahlbar</t>
  </si>
  <si>
    <t>Annuitäten- u Zinsenzuschüsse nicht rückzahlbar</t>
  </si>
  <si>
    <t>abz. zweckfremde Verwendung:</t>
  </si>
  <si>
    <t xml:space="preserve">     allgemeine Wohnbeihilfe</t>
  </si>
  <si>
    <t xml:space="preserve">     Wohnbauforschung</t>
  </si>
  <si>
    <t xml:space="preserve">     Förderung des Wohnungsumfeldes</t>
  </si>
  <si>
    <t xml:space="preserve">     Finanzierungskosten für Landesmittel</t>
  </si>
  <si>
    <t xml:space="preserve">     Zuführung an allgemeinen Landeshaushalt</t>
  </si>
  <si>
    <t xml:space="preserve">     Sonstiges</t>
  </si>
  <si>
    <t>Einnahmen</t>
  </si>
  <si>
    <t>Wohnbauförderung</t>
  </si>
  <si>
    <t>BSWG 1982+1983</t>
  </si>
  <si>
    <t>Infrastruktur</t>
  </si>
  <si>
    <t>Reduktion des Ausstoßes an Treibhausgasen</t>
  </si>
  <si>
    <t>Saldo Einnahmen-Ausgaben</t>
  </si>
  <si>
    <t>in den Rückflüssen sind enthalten:</t>
  </si>
  <si>
    <t>begünstigte Rückzahlungen</t>
  </si>
  <si>
    <t>Forderungsverkäufe</t>
  </si>
  <si>
    <t>(3) Ktn.: Zuführung an allgemeinen Landeshaushalt: "Rücklagenkürzung" zugunsten Förderung von Alternativenergie (1,24 Mio. Euro) und von Alten- und Pfegeheimen (2,90 Mio. Euro),</t>
  </si>
  <si>
    <t xml:space="preserve">             Verwendung von Forderungserlösen iHv 687,87 Mio. Euro u. beg. Rückz. iHv 64,01 Mio. Euro für Schuldenabbau</t>
  </si>
  <si>
    <t>(4) Wien: Sonstiges: i.W. Bauaufsichtsorganshonorare, Aufwendungen des Wohnungsberatungszentrums bzw. des WohnService Wien u. der Wohnungskommission</t>
  </si>
  <si>
    <t>(5) Nö.: Sonstiges: Kosten im Zusammenhang mit Darlehenseinbringung u. externen Gutachtungen zur Feststellung der Förderungswürdigkeit</t>
  </si>
  <si>
    <t>(2) OÖ: Posten Rückflüsse: abzüglich Abschreibungen iHv 0,22 Mio. Euro</t>
  </si>
  <si>
    <t>(6) Sbg.: Posten Landesmittel: inkl. Rückflüsse BSWG-1983 iHv 0,19 Mio. Euro, Posten Rückflüsse: inkl. Abschreibungen iHv 0,15 Mio. Euro</t>
  </si>
  <si>
    <t>(7) Bgld.: Posten Sonstiges: Rechts- u Beratungskosten, Grundbuchsdatenbank, Posten Veranlagungszinsen: abzügl. KeSt und Bankspesen iHv 0,21 Mio. Euro</t>
  </si>
  <si>
    <t>(5a) Nö: Posten "Zuführung an allgemeinen Landeshaushalt" und "Rückflüsse" jeweils um 2.442 Mio. Euro erhöht: Einnahmen aus WBF-Verwertung lt. RA</t>
  </si>
  <si>
    <t>(1) OÖ: Posten BSWG: inkl. Finanzierung der Landesmittel gem. Landessonderwohnbau</t>
  </si>
  <si>
    <t>(5) Bgld. Rücklagen lt. Jahresbericht 2001</t>
  </si>
  <si>
    <t>Die wichtigsten Daten aus den Jahresberichten der Länder über die Wohnbauförderung im Jahr 2002</t>
  </si>
  <si>
    <t xml:space="preserve">(6) Sbg.: Posten Landesmittel: inkl. Rückflüsse BSWG-1983 iHv 0,21 Mio. Euro </t>
  </si>
  <si>
    <t>(7) Sbg.: Posten Zuführung an allg. Landeshaushalt:inkl. "Entnahme Rücklage für ehemaligen SWFF" iHv 0,15</t>
  </si>
  <si>
    <t>(5) Oö. Posten "Sonstige Posten": Sonstige Ausgaben, z.B. Abschreibungen, Info</t>
  </si>
  <si>
    <t>(4) Wien: Die Ausgaben für Wohnhaussanierung inkludieren Maßn. im Sinne des Kyotozieles iHv 62,86 Mio. Euro</t>
  </si>
  <si>
    <t>(3) Wien: Sonstiges: vor allem Bauaufsichtsorgane, Aufwendungen des WohnServiceWien u. der Wohnungskommissionen</t>
  </si>
  <si>
    <t>(1) Burgenland: Zuführung zum Landeswohnbauförderungsfonds iHv 18,17 Mio. Euro</t>
  </si>
  <si>
    <t>(2) Ktn.: Sonstiges: Denkmalpflege: 0,73, Errichtung Lehrlingsheim: 0,22; Alternativenergie 0,36</t>
  </si>
  <si>
    <t xml:space="preserve">     Rücklagen inkl. innerer Anleihen iHv 20,89; Infrastruktur: Abt. 13 (Kindergärten)</t>
  </si>
  <si>
    <t>Die wichtigsten Daten aus den Jahresberichten der Länder über die Wohnbauförderung im Jahr 2003</t>
  </si>
  <si>
    <t>(4) Sbg.: Landesmittel: inkl. Rückflüsse BSWG 0,48 Mio. Euro, Wohnbauforschung: inkl. Wohnbauberatung, Sonstige Posten: Abschreibungen</t>
  </si>
  <si>
    <t>(2) Wien: Die Ausgaben für Wohnhaussanierung inkludieren Maßn. im Sinne des Kyotozieles iHv 61,42 Mio. Euro</t>
  </si>
  <si>
    <t>(1) Kärnten: Sonstiges: diverse Rücklagenbewegungen, insb. ländl. Wegenetz, Sportstättenbau, Alten-, Wohn- u Pflegeheime</t>
  </si>
  <si>
    <t>Die wichtigsten Daten aus den Jahresberichten der Länder über die Wohnbauförderung im Jahr 2004</t>
  </si>
  <si>
    <t>(1) Kärnten: diverse Rücklagenbewegungen, insb. ländl. Wegenetz, Sportstättenbau, Alten-, Wohn- u Pflegeheime</t>
  </si>
  <si>
    <t>(2) NÖ: zugesicherte, nicht ausbezahlte Darlehen: inkl. rückzahlbarer Zuschüsse; aushaftende Darlehen: keine Trennung Wohnbau und Sanierung</t>
  </si>
  <si>
    <t>(4) Wien: Sanierung inkl. Ausgaben für Reduktion des Ausstoßes an Treibhausgasen iHv 26,23</t>
  </si>
  <si>
    <t>(6) Kärnten: Zuführung an allgemeinen Landeshaushalt um Differenz zw. beantragter u. genehmigter Übertragung erhöht, Rücklagen um denselben Betrag verringert</t>
  </si>
  <si>
    <t>in Mio. Euro; letzte Änderung: 2. August 2006</t>
  </si>
  <si>
    <t>(6) Stmk: Rücklagen: Rücklagendarstellung der Stmk. ab 2000 im Jahr 2006 korrigiert, daher Bruch der Zahlenreihe</t>
  </si>
  <si>
    <t>in Mio. Euro; letzte Änderung: 19. Juli 2007</t>
  </si>
  <si>
    <t>(7) Burgenland: Zuführung zum Landeswohnbauförderungsfonds iHv 12,55 Mio. Euro</t>
  </si>
  <si>
    <t>(7) Burgenland: Zuführung zum Landeswohnbauförderungsfonds iHv 8,27 Mio. Euro</t>
  </si>
  <si>
    <t>(5) Vlbg.: "Ausgleich an den Landeshaushalt" lt. RA 2004 iHv 3,10 und sonst. Zuführung an Landeshaushalt: 8,17 Mio. Euro</t>
  </si>
  <si>
    <t>Die wichtigsten Daten aus den Jahresberichten der Länder über die Wohnbauförderung im Jahr 2005</t>
  </si>
  <si>
    <t>(1) Kärnten: Infrastruktur: Errichtung von Alten-Wohn-u.Pflegeheimen, Begegnungskindergarten, "Sicherer Schulweg"</t>
  </si>
  <si>
    <t xml:space="preserve">                  'Reduktion des Ausstoßes an Treibhausgasen: Förderung von Solar-und Heizungsanlagen, Solarförderungsaktion, Überprüfung von Energieausweisen durch den Energieverein</t>
  </si>
  <si>
    <t>(2a) NÖ: inkl.13,26 Mio. Euro  Sonderaktionen: Heizkesseltausch, Fernwärmeanschluss, Solaranlagen, Wärmepumpen</t>
  </si>
  <si>
    <t>(4) Wien: inkl. Ausgaben für Reduktion des Ausstoßes an Treibhausgasen iHv 24,67 Mio. Euro</t>
  </si>
  <si>
    <t>(5) Sbg.: Rücklagen inkl. Dotierung des LWBF iHv 52,5 Mio. Euro aus bisherigen Rücklagen</t>
  </si>
  <si>
    <t>(6) Vlbg.: "Ausgleich an den Landeshaushalt" lt. RA 2005 iHv 28,94 und sonst. Zuführung an Landeshaushalt: 5,30 Mio. Euro</t>
  </si>
  <si>
    <t>Die wichtigsten Daten aus den Jahresberichten der Länder über die Wohnbauförderung im Jahr 2006</t>
  </si>
  <si>
    <t>(1) Bgld. Sonstiges: Verwaltungskosten, Darlehensabschreibungen, Öffentlichkeitsarbeit, Druckkosten</t>
  </si>
  <si>
    <t>(2) Kärnten: Infrastruktur: Errichtung von Alten-Wohn-u.Pflegeheimen</t>
  </si>
  <si>
    <t xml:space="preserve">                  Reduktion des Ausstoßes an Treibhausgasen: Förderung von Solar-und Heizungsanlagen, Solarförderungsaktion, Überprüfung von Energieausweisen durch den Energieverein</t>
  </si>
  <si>
    <t>(3) NÖ: AZ+ZZ Sanierung: inkl.20,27 Mio. Euro  Sonderaktionen: Heizkesseltausch, Fernwärmeanschluss, Solaranlagen, Wärmepumpen</t>
  </si>
  <si>
    <t>(3)       zugesicherte, nicht ausbezahlte Förderungen u. aushaftende Darlehen: keine Trennung Wohnbau und Sanierung</t>
  </si>
  <si>
    <t>(5) Sbg.: Landesmittel: Dotierung des Landeswohnbaufonds abz. Mittelzufuhr als "alter Wohnbauförderung" an den Fonds</t>
  </si>
  <si>
    <t>(5)          Rücklagen: abz. Aufnahme von Finanzschulden (70,00 Mio. Euro) zzgl. Kauf von Wertpapieren (99,49 Mio. Euro)</t>
  </si>
  <si>
    <t>(8) Vlbg.: "Ausgleich an den Landeshaushalt" lt. RA 2006 iHv 29,74 und sonst. Zuführung an Landeshaushalt: 19,66 Mio. Euro</t>
  </si>
  <si>
    <t>(9) Wien: Sonstiges: vor allem Bauaufsichtsorgane, Aufwendungen des WohnServiceWien u. der Wohnungskommissionen</t>
  </si>
  <si>
    <t>(9)          Ausgaben für Neubau- u. Sanierungsförderung inkl. Ausgaben für Reduktion des Ausstoßes an Treibhausgasen iHv 44,45 Mio. Euro</t>
  </si>
  <si>
    <t>Die wichtigsten Daten aus den Jahresberichten der Länder über die Wohnbauförderung im Jahr 2007</t>
  </si>
  <si>
    <t>in Mio. S; letzte Änderung: 2. August 2006</t>
  </si>
  <si>
    <t>(1)  keine Trennung Wohnbau und Sanierung</t>
  </si>
  <si>
    <t>in Mio. Euro: letzte Änderung 8. April 2009</t>
  </si>
  <si>
    <t>in Mio. Euro: letzte Änderung: 19. Juli 2007</t>
  </si>
  <si>
    <t>Die wichtigsten Daten aus den Jahresberichten der Länder über die Wohnbauförderung im Jahr 2008</t>
  </si>
  <si>
    <t>in Mio. Euro</t>
  </si>
  <si>
    <t>** Sbg.</t>
  </si>
  <si>
    <t>welche in bestehenden Objekten zu Neubaukosten "neu errichtet" werden, bisher Zurechnung zu "Neubau".</t>
  </si>
  <si>
    <t>Wohnungsnotlage, Zinsen aus der Veranlagung</t>
  </si>
  <si>
    <t>Ausgaben ohne Zuschuss aus Wohnbaubank/Land und Wertpapiere</t>
  </si>
  <si>
    <t>(1) Kärnten: inkl. Überschüsse Bundesfonds</t>
  </si>
  <si>
    <t>(2) NÖ und Slbg.: keine Trennung Wohnbau und Sanierung</t>
  </si>
  <si>
    <t xml:space="preserve">(3) NÖ: Gerichtskosten/Darlehenseinbringung, ext. Gutachten, Herstellung und Vertrieb von Ansuchen, Sozialoffensive = Hilfe in sozialer </t>
  </si>
  <si>
    <t>(4) OÖ: Beiträge Bauträger für Spielplätze</t>
  </si>
  <si>
    <t xml:space="preserve">(5) Slbg.: Einnahmen ohne Zuwendungen aus Wohnbaubank/Land, Wertpapiere und Aufnahme von Finanzschulden; </t>
  </si>
  <si>
    <t>(6) Vlbg.: Regiebeiträge, Geldverkehrsspesen und Verwaltungskostenbeiträge (Abwicklung WBF)</t>
  </si>
  <si>
    <t>(7) Wien: v.a. Bauaufsichtsorganhonorare, Aufwendungen des WohnService Wien und der Wohnungskommission</t>
  </si>
  <si>
    <t xml:space="preserve">** Slbg.: Änderung der Darstellung ab 2008: Zurechnung zu Sanierung von Wohnungen auch jene Mietwohnungen, Wohnheime u. Bauernhäuser, </t>
  </si>
  <si>
    <t>Die wichtigsten Daten aus den Jahresberichten der Länder über die Wohnbauförderung im Jahr 2009</t>
  </si>
  <si>
    <t>Vbg.</t>
  </si>
  <si>
    <r>
      <t>Allgemeine Wohnbeihilfe</t>
    </r>
    <r>
      <rPr>
        <b/>
        <vertAlign val="superscript"/>
        <sz val="10"/>
        <rFont val="Arial"/>
        <family val="2"/>
      </rPr>
      <t>*)</t>
    </r>
  </si>
  <si>
    <r>
      <t xml:space="preserve">Zahl der Wohnbeihilfenbezieher </t>
    </r>
    <r>
      <rPr>
        <b/>
        <vertAlign val="superscript"/>
        <sz val="10"/>
        <rFont val="Arial"/>
        <family val="2"/>
      </rPr>
      <t>**)</t>
    </r>
  </si>
  <si>
    <t>Sanierung</t>
  </si>
  <si>
    <r>
      <t>Allgemeine Wohnbeihilfe</t>
    </r>
    <r>
      <rPr>
        <vertAlign val="superscript"/>
        <sz val="10"/>
        <rFont val="Arial"/>
        <family val="2"/>
      </rPr>
      <t>**)</t>
    </r>
  </si>
  <si>
    <t>(1) NÖ: inkl. € 66.057.775 gesonderte Förderung für Solaranlagen, Wärmepumpen, etc.</t>
  </si>
  <si>
    <t>(2) NÖ, Sbg. u Tirol: keine Trennung Wohnbau und Sanierung</t>
  </si>
  <si>
    <t>(3) Sbg. Zl. der Wohnbeihilfenbezieher: Anzahl der Bewilligungen</t>
  </si>
  <si>
    <t>(4) Stmk: Zl der Wohnbeihilfenbezieher: keine Trennung in Wohnbau, Sanierung und Allgemeine Wohnbeihilfe</t>
  </si>
  <si>
    <r>
      <rPr>
        <vertAlign val="superscript"/>
        <sz val="10"/>
        <rFont val="Arial"/>
        <family val="2"/>
      </rPr>
      <t>*)</t>
    </r>
    <r>
      <rPr>
        <sz val="10"/>
        <rFont val="Arial"/>
        <family val="2"/>
      </rPr>
      <t xml:space="preserve"> auch soweit nicht aus WBF-Mitteln finanziert</t>
    </r>
  </si>
  <si>
    <r>
      <rPr>
        <vertAlign val="superscript"/>
        <sz val="10"/>
        <rFont val="Arial"/>
        <family val="2"/>
      </rPr>
      <t>**)</t>
    </r>
    <r>
      <rPr>
        <sz val="10"/>
        <rFont val="Arial"/>
        <family val="2"/>
      </rPr>
      <t xml:space="preserve"> Anzahl Haushalte bzw. Förderverträge</t>
    </r>
  </si>
  <si>
    <t>Die wichtigsten Daten aus den Jahresberichten der Länder über die Wohnbauförderung im Jahr 2010</t>
  </si>
  <si>
    <t>vorzeitige Rückzahlungen</t>
  </si>
  <si>
    <t>in Mio. Euro, letzte Änderung 13.3.2013</t>
  </si>
  <si>
    <t>(2) NÖ, Sbg.: keine Trennung Wohnbau und Sanierung</t>
  </si>
  <si>
    <t>Die wichtigsten Daten aus den Jahresberichten der Länder über die Wohnbauförderung im Jahr 2011</t>
  </si>
  <si>
    <t>(1) OÖ: Zugesicherte, noch nicht zugezählte Förderungen: AZ u ZZ Wohnbau: "teilweise rückzahlbar"</t>
  </si>
  <si>
    <t>Die wichtigsten Daten aus den Jahresberichten der Länder über die Wohnbauförderung im Jahr 2012</t>
  </si>
  <si>
    <t>(5) Stmk: Forderungsverkäufe: davon 137,05 "Einmalerlös aus Forderungsverkauf 2012"</t>
  </si>
  <si>
    <t>(5) OÖ: um Rückflüsse iHv 414 Mio. S, die dem allgemeinen Landeshaushalt zur Verfügung gestellt wurden, korrigiert</t>
  </si>
  <si>
    <t>in Mio. Euro, letzte Änderung: 23.9.2014</t>
  </si>
  <si>
    <t>Die wichtigsten Daten aus den Jahresberichten der Länder über die Wohnbauförderung im Jahr 2013</t>
  </si>
  <si>
    <t>in Mio. Euro, letzte Änderung 20.5.2021</t>
  </si>
  <si>
    <t>(1) Wien: Ausgaben Darlehen: 1) davon 13,184 Mio. Euro Kommunaldarlehen Wohnbauinitiative 2011 und 9,776 Mio. Euro Kommunaldarlehen Umfinanzierung WBF 1984</t>
  </si>
  <si>
    <t>Die wichtigsten Daten aus den Jahresberichten der Länder über die Wohnbauförderung im Jahr 2014</t>
  </si>
  <si>
    <t>(1) davon 8,738 Mio Euro Kommunaldarlehen Wohnbauinitiativa 2011 und 18,34 Mio Euro Kommunaldarlehen Umfinanzierung WBF 1984</t>
  </si>
  <si>
    <t>Die wichtigsten Daten aus den Jahresberichten der Länder über die Wohnbauförderung im Jahr 2015</t>
  </si>
  <si>
    <t>(1) Wien: Neubau: davon 10,87 Mio. € Kommunaldarlehen Wohnbauinitiative 2011; 1,175 Mio. € Wohnbauinitiative 2015; 22,439 Mio. € Kommunaldarlehen Umfinanzierung WBF 1984</t>
  </si>
  <si>
    <t xml:space="preserve">             Sanierung: davon 10,308 Mio. € Kommunaldarlehen Wohnbauinitiative 2013</t>
  </si>
  <si>
    <t>Die wichtigsten Daten aus den Jahresberichten der Länder über die Wohnbauförderung im Jahr 2016</t>
  </si>
  <si>
    <t>(1) Wien Neubau: davon 9,728 Mio. Euro Kommunaldarlehen Wohnbauinitiative 2011, Sanierung: davon 0,872 Mio. Euro Kommunaldarlehen Wohnbauinitiative 2013</t>
  </si>
  <si>
    <t>(3) Stmk: Allgemeine Wohnbeihilfe: aufgrund geänderter Rechtslage nur bis 31.8.2016</t>
  </si>
  <si>
    <t>Die wichtigsten Daten aus den Jahresberichten der Länder über die Wohnbauförderung im Jahr 2017</t>
  </si>
  <si>
    <t>(1) Wien Neubau:  davon 1,996 Mio. Euro Kommunaldarlehen Wohnbauinitiative 2011, Sanierung: davon 0,003 Mio. Euro Kommunaldarlehen Wohnbauinitiative 2013</t>
  </si>
  <si>
    <t>Die wichtigsten Daten aus den Jahresberichten der Länder über die Wohnbauförderung im Jahr 2018</t>
  </si>
  <si>
    <t>(1) Wien Darlehen Sanierung: davon 0,335 Mio. Euro Kommunaldarlehen Wohnbauinitiative 2013</t>
  </si>
  <si>
    <t>(2) NÖ: keine Trennung Wohnbau und Sanierung</t>
  </si>
  <si>
    <t>Die wichtigsten Daten aus den Jahresberichten der Länder über die Wohnbauförderung im Jahr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</si>
</sst>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5">
    <numFmt numFmtId="164" formatCode="\+#,##0;\-#,##0;&quot;+-0&quot;"/>
    <numFmt numFmtId="165" formatCode="#,##0.000"/>
    <numFmt numFmtId="166" formatCode="#,##0.000000"/>
    <numFmt numFmtId="167" formatCode="#,##0\ &quot;**)&quot;"/>
    <numFmt numFmtId="168" formatCode="#,##0\ &quot;(1&quot;\)"/>
    <numFmt numFmtId="169" formatCode="#,##0\ &quot;(2)&quot;"/>
    <numFmt numFmtId="170" formatCode="#,##0\ &quot;(3)&quot;"/>
    <numFmt numFmtId="171" formatCode="#,##0\ &quot;(1)&quot;"/>
    <numFmt numFmtId="172" formatCode="#,##0\ &quot;(4)&quot;"/>
    <numFmt numFmtId="173" formatCode="#,##0\ &quot;(5)&quot;"/>
    <numFmt numFmtId="174" formatCode="\(\1\)\ #,##0.00"/>
    <numFmt numFmtId="175" formatCode="\(\2\)\ #,##0.00"/>
    <numFmt numFmtId="176" formatCode="\(\6\)\ #,##0.00"/>
    <numFmt numFmtId="177" formatCode="\(\4\)\ #,##0.00;\ \(\4\)\ \-#,##0.00"/>
    <numFmt numFmtId="178" formatCode="\(\5\)\ #,##0.00;\ \(\5\)\ \-#,##0.00"/>
    <numFmt numFmtId="179" formatCode="\(\7\)\ #,##0.00;\ \(\7\)\ \-#,##0.00"/>
    <numFmt numFmtId="180" formatCode="\(\5\a\)\ #,##0.00;\ \(\5\a\)\ \-#,##0.00"/>
    <numFmt numFmtId="181" formatCode="\(\3\)\ #,##0.00;\ \(\3\)\ \-#,##0.00"/>
    <numFmt numFmtId="182" formatCode="\(\1\)\ #,##0.00;\(\1\)\ \-#,##0.00"/>
    <numFmt numFmtId="183" formatCode="\(\2\)\ #,##0.00;\ \(\2\)\ \-#,##0.00"/>
    <numFmt numFmtId="184" formatCode="#,##0.00000000"/>
    <numFmt numFmtId="185" formatCode="\(\6\)\ #,##0.00;\(\6\)\ \-#,##0.00"/>
    <numFmt numFmtId="186" formatCode="\(\2\a\)\ #,##0.00"/>
    <numFmt numFmtId="187" formatCode="\(\6\)\ #,##0;\ \(\7\)\ \-#,##0"/>
    <numFmt numFmtId="188" formatCode="\(\5\)\ #,##0;\ \(\5\)\ \-#,##0"/>
    <numFmt numFmtId="189" formatCode="\(\6\)\ #,##0.00;\ \(\6\)\ \-#,##0.00"/>
    <numFmt numFmtId="190" formatCode="\(\8\)\ #,##0.00;\ \(\8\)\ \-#,##0.00"/>
    <numFmt numFmtId="191" formatCode="\(\9\)\ #,##0.00;\ \(\9\)\ \-#,##0.00"/>
    <numFmt numFmtId="192" formatCode="#,##0.00_ ;[Red]\-#,##0.00\ "/>
    <numFmt numFmtId="193" formatCode="\(\3\)\ #,##0;\ \(\3\)\ \-#,##0"/>
    <numFmt numFmtId="194" formatCode="\(\4\)\ #,##0;\ \(\4\)\ \-#,##0"/>
    <numFmt numFmtId="195" formatCode="\(\3\)\ #,##0"/>
    <numFmt numFmtId="196" formatCode="\(\1\)\ #,##0.00;\ \(\1\)\ \-#,##0.00"/>
    <numFmt numFmtId="197" formatCode="#,##0.0"/>
    <numFmt numFmtId="198" formatCode="#,##0.00000"/>
  </numFmts>
  <fonts count="15" x14ac:knownFonts="1">
    <font>
      <sz val="10"/>
      <name val="Arial"/>
    </font>
    <font>
      <b/>
      <sz val="10"/>
      <name val="Arial"/>
    </font>
    <font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8"/>
      <color indexed="81"/>
      <name val="Tahoma"/>
      <family val="2"/>
    </font>
    <font>
      <i/>
      <sz val="10"/>
      <name val="Arial"/>
      <family val="2"/>
    </font>
    <font>
      <i/>
      <sz val="8"/>
      <name val="Arial"/>
      <family val="2"/>
    </font>
    <font>
      <sz val="10"/>
      <color indexed="10"/>
      <name val="Arial"/>
      <family val="2"/>
    </font>
    <font>
      <sz val="8"/>
      <name val="Arial"/>
      <family val="2"/>
    </font>
    <font>
      <sz val="8"/>
      <color indexed="10"/>
      <name val="Arial"/>
      <family val="2"/>
    </font>
    <font>
      <b/>
      <sz val="10"/>
      <color indexed="10"/>
      <name val="Arial"/>
      <family val="2"/>
    </font>
    <font>
      <b/>
      <vertAlign val="superscript"/>
      <sz val="10"/>
      <name val="Arial"/>
      <family val="2"/>
    </font>
    <font>
      <vertAlign val="superscript"/>
      <sz val="10"/>
      <name val="Arial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163">
    <xf numFmtId="0" fontId="0" fillId="0" borderId="0" xfId="0"/>
    <xf numFmtId="3" fontId="0" fillId="0" borderId="0" xfId="0" applyNumberFormat="1"/>
    <xf numFmtId="3" fontId="1" fillId="0" borderId="0" xfId="0" applyNumberFormat="1" applyFont="1"/>
    <xf numFmtId="3" fontId="0" fillId="0" borderId="0" xfId="0" applyNumberFormat="1" applyAlignment="1">
      <alignment horizontal="right"/>
    </xf>
    <xf numFmtId="3" fontId="1" fillId="0" borderId="0" xfId="0" applyNumberFormat="1" applyFont="1" applyAlignment="1">
      <alignment horizontal="right"/>
    </xf>
    <xf numFmtId="3" fontId="1" fillId="0" borderId="0" xfId="0" applyNumberFormat="1" applyFont="1" applyAlignment="1">
      <alignment horizontal="left"/>
    </xf>
    <xf numFmtId="3" fontId="3" fillId="0" borderId="0" xfId="0" applyNumberFormat="1" applyFont="1"/>
    <xf numFmtId="3" fontId="2" fillId="0" borderId="0" xfId="0" applyNumberFormat="1" applyFont="1"/>
    <xf numFmtId="164" fontId="1" fillId="0" borderId="0" xfId="0" applyNumberFormat="1" applyFont="1"/>
    <xf numFmtId="1" fontId="1" fillId="0" borderId="1" xfId="0" applyNumberFormat="1" applyFont="1" applyBorder="1" applyAlignment="1">
      <alignment horizontal="left"/>
    </xf>
    <xf numFmtId="3" fontId="0" fillId="0" borderId="2" xfId="0" applyNumberFormat="1" applyBorder="1" applyAlignment="1">
      <alignment horizontal="right"/>
    </xf>
    <xf numFmtId="3" fontId="1" fillId="0" borderId="3" xfId="0" applyNumberFormat="1" applyFont="1" applyBorder="1" applyAlignment="1">
      <alignment horizontal="right"/>
    </xf>
    <xf numFmtId="3" fontId="2" fillId="0" borderId="4" xfId="0" applyNumberFormat="1" applyFont="1" applyBorder="1"/>
    <xf numFmtId="3" fontId="0" fillId="0" borderId="0" xfId="0" applyNumberFormat="1" applyBorder="1"/>
    <xf numFmtId="3" fontId="1" fillId="0" borderId="5" xfId="0" applyNumberFormat="1" applyFont="1" applyBorder="1"/>
    <xf numFmtId="3" fontId="1" fillId="0" borderId="0" xfId="0" applyNumberFormat="1" applyFont="1" applyBorder="1"/>
    <xf numFmtId="3" fontId="0" fillId="0" borderId="4" xfId="0" applyNumberFormat="1" applyBorder="1"/>
    <xf numFmtId="3" fontId="0" fillId="0" borderId="5" xfId="0" applyNumberFormat="1" applyBorder="1"/>
    <xf numFmtId="3" fontId="1" fillId="0" borderId="4" xfId="0" applyNumberFormat="1" applyFont="1" applyBorder="1"/>
    <xf numFmtId="3" fontId="1" fillId="0" borderId="6" xfId="0" applyNumberFormat="1" applyFont="1" applyBorder="1"/>
    <xf numFmtId="3" fontId="1" fillId="0" borderId="7" xfId="0" applyNumberFormat="1" applyFont="1" applyBorder="1"/>
    <xf numFmtId="3" fontId="1" fillId="0" borderId="8" xfId="0" applyNumberFormat="1" applyFont="1" applyBorder="1"/>
    <xf numFmtId="167" fontId="0" fillId="0" borderId="0" xfId="0" applyNumberFormat="1"/>
    <xf numFmtId="168" fontId="0" fillId="0" borderId="0" xfId="0" applyNumberFormat="1"/>
    <xf numFmtId="169" fontId="0" fillId="0" borderId="0" xfId="0" applyNumberFormat="1"/>
    <xf numFmtId="170" fontId="0" fillId="0" borderId="0" xfId="0" applyNumberFormat="1" applyAlignment="1">
      <alignment horizontal="right"/>
    </xf>
    <xf numFmtId="171" fontId="0" fillId="0" borderId="0" xfId="0" applyNumberFormat="1"/>
    <xf numFmtId="165" fontId="0" fillId="0" borderId="0" xfId="0" applyNumberFormat="1" applyAlignment="1">
      <alignment horizontal="right"/>
    </xf>
    <xf numFmtId="3" fontId="4" fillId="0" borderId="0" xfId="0" applyNumberFormat="1" applyFont="1"/>
    <xf numFmtId="3" fontId="4" fillId="0" borderId="0" xfId="0" applyNumberFormat="1" applyFont="1" applyAlignment="1">
      <alignment horizontal="right"/>
    </xf>
    <xf numFmtId="173" fontId="0" fillId="0" borderId="0" xfId="0" applyNumberFormat="1" applyAlignment="1">
      <alignment horizontal="right"/>
    </xf>
    <xf numFmtId="170" fontId="0" fillId="0" borderId="0" xfId="0" applyNumberFormat="1"/>
    <xf numFmtId="4" fontId="0" fillId="0" borderId="0" xfId="0" applyNumberFormat="1" applyAlignment="1">
      <alignment horizontal="right"/>
    </xf>
    <xf numFmtId="3" fontId="5" fillId="0" borderId="0" xfId="0" applyNumberFormat="1" applyFont="1" applyAlignment="1">
      <alignment horizontal="right"/>
    </xf>
    <xf numFmtId="3" fontId="5" fillId="0" borderId="0" xfId="0" applyNumberFormat="1" applyFont="1"/>
    <xf numFmtId="171" fontId="0" fillId="0" borderId="0" xfId="0" applyNumberFormat="1" applyAlignment="1">
      <alignment horizontal="right"/>
    </xf>
    <xf numFmtId="169" fontId="0" fillId="0" borderId="0" xfId="0" applyNumberFormat="1" applyAlignment="1">
      <alignment horizontal="right"/>
    </xf>
    <xf numFmtId="172" fontId="0" fillId="0" borderId="0" xfId="0" applyNumberFormat="1" applyAlignment="1">
      <alignment horizontal="right"/>
    </xf>
    <xf numFmtId="166" fontId="0" fillId="0" borderId="0" xfId="0" applyNumberFormat="1" applyAlignment="1">
      <alignment horizontal="right"/>
    </xf>
    <xf numFmtId="3" fontId="0" fillId="0" borderId="0" xfId="0" applyNumberFormat="1" applyAlignment="1">
      <alignment horizontal="left"/>
    </xf>
    <xf numFmtId="172" fontId="0" fillId="0" borderId="0" xfId="0" applyNumberFormat="1"/>
    <xf numFmtId="4" fontId="5" fillId="0" borderId="0" xfId="0" applyNumberFormat="1" applyFont="1" applyAlignment="1">
      <alignment horizontal="right"/>
    </xf>
    <xf numFmtId="4" fontId="4" fillId="0" borderId="0" xfId="0" applyNumberFormat="1" applyFont="1" applyAlignment="1">
      <alignment horizontal="right"/>
    </xf>
    <xf numFmtId="3" fontId="0" fillId="0" borderId="0" xfId="0" quotePrefix="1" applyNumberFormat="1"/>
    <xf numFmtId="174" fontId="0" fillId="0" borderId="0" xfId="0" applyNumberFormat="1" applyAlignment="1">
      <alignment horizontal="right"/>
    </xf>
    <xf numFmtId="175" fontId="0" fillId="0" borderId="0" xfId="0" applyNumberFormat="1" applyAlignment="1">
      <alignment horizontal="right"/>
    </xf>
    <xf numFmtId="176" fontId="0" fillId="0" borderId="0" xfId="0" applyNumberFormat="1" applyAlignment="1">
      <alignment horizontal="right"/>
    </xf>
    <xf numFmtId="177" fontId="0" fillId="0" borderId="0" xfId="0" applyNumberFormat="1" applyAlignment="1">
      <alignment horizontal="right"/>
    </xf>
    <xf numFmtId="178" fontId="0" fillId="0" borderId="0" xfId="0" applyNumberFormat="1" applyAlignment="1">
      <alignment horizontal="right"/>
    </xf>
    <xf numFmtId="179" fontId="0" fillId="0" borderId="0" xfId="0" applyNumberFormat="1" applyAlignment="1">
      <alignment horizontal="right"/>
    </xf>
    <xf numFmtId="180" fontId="0" fillId="0" borderId="0" xfId="0" applyNumberFormat="1" applyAlignment="1">
      <alignment horizontal="right"/>
    </xf>
    <xf numFmtId="181" fontId="0" fillId="0" borderId="0" xfId="0" applyNumberFormat="1" applyAlignment="1">
      <alignment horizontal="right"/>
    </xf>
    <xf numFmtId="3" fontId="7" fillId="0" borderId="0" xfId="0" quotePrefix="1" applyNumberFormat="1" applyFont="1"/>
    <xf numFmtId="3" fontId="4" fillId="0" borderId="0" xfId="0" quotePrefix="1" applyNumberFormat="1" applyFont="1"/>
    <xf numFmtId="3" fontId="0" fillId="0" borderId="0" xfId="0" applyNumberFormat="1" applyFill="1" applyAlignment="1">
      <alignment horizontal="right"/>
    </xf>
    <xf numFmtId="4" fontId="0" fillId="0" borderId="0" xfId="0" applyNumberFormat="1" applyFill="1" applyAlignment="1">
      <alignment horizontal="right"/>
    </xf>
    <xf numFmtId="4" fontId="4" fillId="0" borderId="0" xfId="0" applyNumberFormat="1" applyFont="1" applyFill="1" applyAlignment="1">
      <alignment horizontal="right"/>
    </xf>
    <xf numFmtId="4" fontId="5" fillId="0" borderId="0" xfId="0" applyNumberFormat="1" applyFont="1" applyFill="1" applyAlignment="1">
      <alignment horizontal="right"/>
    </xf>
    <xf numFmtId="182" fontId="0" fillId="0" borderId="0" xfId="0" applyNumberFormat="1" applyFill="1" applyAlignment="1">
      <alignment horizontal="right"/>
    </xf>
    <xf numFmtId="183" fontId="2" fillId="0" borderId="0" xfId="0" applyNumberFormat="1" applyFont="1" applyFill="1" applyAlignment="1">
      <alignment horizontal="right"/>
    </xf>
    <xf numFmtId="183" fontId="5" fillId="0" borderId="0" xfId="0" applyNumberFormat="1" applyFont="1" applyFill="1" applyAlignment="1">
      <alignment horizontal="right"/>
    </xf>
    <xf numFmtId="165" fontId="5" fillId="0" borderId="0" xfId="0" applyNumberFormat="1" applyFont="1" applyFill="1" applyAlignment="1">
      <alignment horizontal="right"/>
    </xf>
    <xf numFmtId="177" fontId="0" fillId="0" borderId="0" xfId="0" applyNumberFormat="1" applyFill="1" applyAlignment="1">
      <alignment horizontal="right"/>
    </xf>
    <xf numFmtId="183" fontId="0" fillId="0" borderId="0" xfId="0" applyNumberFormat="1" applyFill="1" applyAlignment="1">
      <alignment horizontal="right"/>
    </xf>
    <xf numFmtId="4" fontId="0" fillId="0" borderId="0" xfId="0" applyNumberFormat="1" applyFill="1" applyBorder="1" applyAlignment="1">
      <alignment horizontal="right"/>
    </xf>
    <xf numFmtId="178" fontId="0" fillId="0" borderId="0" xfId="0" applyNumberFormat="1" applyFill="1" applyAlignment="1">
      <alignment horizontal="right"/>
    </xf>
    <xf numFmtId="181" fontId="0" fillId="0" borderId="0" xfId="0" applyNumberFormat="1" applyFill="1" applyAlignment="1">
      <alignment horizontal="right"/>
    </xf>
    <xf numFmtId="3" fontId="4" fillId="0" borderId="0" xfId="0" quotePrefix="1" applyNumberFormat="1" applyFont="1" applyFill="1"/>
    <xf numFmtId="3" fontId="5" fillId="0" borderId="0" xfId="0" applyNumberFormat="1" applyFont="1" applyFill="1" applyAlignment="1">
      <alignment horizontal="right"/>
    </xf>
    <xf numFmtId="3" fontId="0" fillId="0" borderId="0" xfId="0" applyNumberFormat="1" applyFill="1"/>
    <xf numFmtId="185" fontId="0" fillId="0" borderId="0" xfId="0" applyNumberFormat="1" applyFill="1" applyAlignment="1">
      <alignment horizontal="right"/>
    </xf>
    <xf numFmtId="188" fontId="5" fillId="0" borderId="0" xfId="0" applyNumberFormat="1" applyFont="1" applyAlignment="1">
      <alignment horizontal="right"/>
    </xf>
    <xf numFmtId="187" fontId="5" fillId="0" borderId="0" xfId="0" applyNumberFormat="1" applyFont="1" applyAlignment="1">
      <alignment horizontal="right"/>
    </xf>
    <xf numFmtId="179" fontId="0" fillId="0" borderId="0" xfId="0" applyNumberFormat="1" applyFill="1" applyAlignment="1">
      <alignment horizontal="right"/>
    </xf>
    <xf numFmtId="3" fontId="0" fillId="0" borderId="0" xfId="0" applyNumberFormat="1" applyFill="1" applyBorder="1" applyAlignment="1">
      <alignment horizontal="right"/>
    </xf>
    <xf numFmtId="4" fontId="4" fillId="0" borderId="0" xfId="0" applyNumberFormat="1" applyFont="1" applyFill="1" applyBorder="1" applyAlignment="1">
      <alignment horizontal="right"/>
    </xf>
    <xf numFmtId="186" fontId="0" fillId="0" borderId="0" xfId="0" applyNumberFormat="1" applyFill="1" applyAlignment="1">
      <alignment horizontal="right"/>
    </xf>
    <xf numFmtId="4" fontId="5" fillId="0" borderId="0" xfId="0" applyNumberFormat="1" applyFont="1" applyFill="1" applyBorder="1" applyAlignment="1">
      <alignment horizontal="right"/>
    </xf>
    <xf numFmtId="189" fontId="0" fillId="0" borderId="0" xfId="0" applyNumberFormat="1" applyFill="1" applyAlignment="1">
      <alignment horizontal="right"/>
    </xf>
    <xf numFmtId="166" fontId="0" fillId="0" borderId="0" xfId="0" applyNumberFormat="1" applyFill="1" applyAlignment="1">
      <alignment horizontal="right"/>
    </xf>
    <xf numFmtId="3" fontId="4" fillId="0" borderId="0" xfId="0" applyNumberFormat="1" applyFont="1" applyFill="1"/>
    <xf numFmtId="165" fontId="0" fillId="0" borderId="0" xfId="0" applyNumberFormat="1" applyFill="1" applyAlignment="1">
      <alignment horizontal="right"/>
    </xf>
    <xf numFmtId="3" fontId="0" fillId="0" borderId="0" xfId="0" applyNumberFormat="1" applyFill="1" applyAlignment="1">
      <alignment horizontal="left"/>
    </xf>
    <xf numFmtId="3" fontId="0" fillId="0" borderId="0" xfId="0" quotePrefix="1" applyNumberFormat="1" applyFill="1" applyAlignment="1">
      <alignment horizontal="right"/>
    </xf>
    <xf numFmtId="190" fontId="0" fillId="0" borderId="0" xfId="0" applyNumberFormat="1" applyFill="1" applyAlignment="1">
      <alignment horizontal="right"/>
    </xf>
    <xf numFmtId="191" fontId="0" fillId="0" borderId="0" xfId="0" applyNumberFormat="1" applyFill="1" applyAlignment="1">
      <alignment horizontal="right"/>
    </xf>
    <xf numFmtId="192" fontId="0" fillId="0" borderId="0" xfId="0" applyNumberFormat="1" applyBorder="1" applyAlignment="1">
      <alignment horizontal="right"/>
    </xf>
    <xf numFmtId="192" fontId="0" fillId="0" borderId="0" xfId="0" applyNumberFormat="1" applyBorder="1"/>
    <xf numFmtId="0" fontId="2" fillId="0" borderId="0" xfId="0" applyFont="1"/>
    <xf numFmtId="3" fontId="8" fillId="0" borderId="0" xfId="0" applyNumberFormat="1" applyFont="1"/>
    <xf numFmtId="0" fontId="8" fillId="0" borderId="0" xfId="0" applyFont="1"/>
    <xf numFmtId="4" fontId="9" fillId="0" borderId="0" xfId="0" applyNumberFormat="1" applyFont="1" applyFill="1" applyBorder="1" applyAlignment="1">
      <alignment horizontal="right"/>
    </xf>
    <xf numFmtId="3" fontId="10" fillId="0" borderId="0" xfId="0" applyNumberFormat="1" applyFont="1"/>
    <xf numFmtId="3" fontId="11" fillId="0" borderId="0" xfId="0" applyNumberFormat="1" applyFont="1" applyAlignment="1">
      <alignment wrapText="1"/>
    </xf>
    <xf numFmtId="3" fontId="4" fillId="0" borderId="0" xfId="0" applyNumberFormat="1" applyFont="1" applyFill="1" applyAlignment="1">
      <alignment wrapText="1"/>
    </xf>
    <xf numFmtId="3" fontId="4" fillId="0" borderId="0" xfId="0" applyNumberFormat="1" applyFont="1" applyFill="1" applyAlignment="1">
      <alignment horizontal="right" wrapText="1"/>
    </xf>
    <xf numFmtId="3" fontId="12" fillId="0" borderId="0" xfId="0" applyNumberFormat="1" applyFont="1" applyAlignment="1">
      <alignment horizontal="right" wrapText="1"/>
    </xf>
    <xf numFmtId="3" fontId="4" fillId="0" borderId="0" xfId="0" applyNumberFormat="1" applyFont="1" applyFill="1" applyBorder="1" applyAlignment="1">
      <alignment horizontal="right" wrapText="1"/>
    </xf>
    <xf numFmtId="3" fontId="0" fillId="0" borderId="0" xfId="0" quotePrefix="1" applyNumberFormat="1" applyFill="1" applyBorder="1" applyAlignment="1">
      <alignment horizontal="right"/>
    </xf>
    <xf numFmtId="166" fontId="0" fillId="0" borderId="0" xfId="0" applyNumberFormat="1" applyFill="1" applyBorder="1" applyAlignment="1">
      <alignment horizontal="right"/>
    </xf>
    <xf numFmtId="178" fontId="0" fillId="0" borderId="0" xfId="0" applyNumberFormat="1" applyFill="1" applyBorder="1" applyAlignment="1">
      <alignment horizontal="right"/>
    </xf>
    <xf numFmtId="3" fontId="0" fillId="0" borderId="0" xfId="0" applyNumberFormat="1" applyFill="1" applyBorder="1"/>
    <xf numFmtId="3" fontId="4" fillId="0" borderId="0" xfId="0" quotePrefix="1" applyNumberFormat="1" applyFont="1" applyFill="1" applyBorder="1"/>
    <xf numFmtId="184" fontId="0" fillId="0" borderId="0" xfId="0" applyNumberFormat="1" applyFill="1" applyAlignment="1">
      <alignment horizontal="right"/>
    </xf>
    <xf numFmtId="2" fontId="0" fillId="0" borderId="0" xfId="0" applyNumberFormat="1" applyFill="1" applyAlignment="1">
      <alignment horizontal="right"/>
    </xf>
    <xf numFmtId="189" fontId="0" fillId="0" borderId="0" xfId="0" applyNumberFormat="1" applyFill="1" applyBorder="1" applyAlignment="1">
      <alignment horizontal="right"/>
    </xf>
    <xf numFmtId="3" fontId="0" fillId="0" borderId="0" xfId="0" quotePrefix="1" applyNumberFormat="1" applyFill="1"/>
    <xf numFmtId="3" fontId="0" fillId="0" borderId="0" xfId="0" quotePrefix="1" applyNumberFormat="1" applyFill="1" applyBorder="1"/>
    <xf numFmtId="178" fontId="5" fillId="0" borderId="0" xfId="0" applyNumberFormat="1" applyFont="1" applyFill="1" applyBorder="1" applyAlignment="1">
      <alignment horizontal="right"/>
    </xf>
    <xf numFmtId="3" fontId="5" fillId="0" borderId="0" xfId="1" applyNumberFormat="1" applyFont="1"/>
    <xf numFmtId="3" fontId="2" fillId="0" borderId="0" xfId="1" applyNumberFormat="1" applyFill="1" applyAlignment="1">
      <alignment horizontal="right"/>
    </xf>
    <xf numFmtId="3" fontId="2" fillId="0" borderId="0" xfId="1" applyNumberFormat="1" applyFill="1" applyBorder="1" applyAlignment="1">
      <alignment horizontal="right"/>
    </xf>
    <xf numFmtId="3" fontId="5" fillId="0" borderId="0" xfId="1" applyNumberFormat="1" applyFont="1" applyAlignment="1">
      <alignment horizontal="right"/>
    </xf>
    <xf numFmtId="3" fontId="2" fillId="0" borderId="0" xfId="1" applyNumberFormat="1"/>
    <xf numFmtId="3" fontId="2" fillId="0" borderId="0" xfId="1" applyNumberFormat="1" applyFill="1"/>
    <xf numFmtId="3" fontId="5" fillId="0" borderId="0" xfId="1" applyNumberFormat="1" applyFont="1" applyAlignment="1">
      <alignment horizontal="left"/>
    </xf>
    <xf numFmtId="3" fontId="2" fillId="0" borderId="0" xfId="1" applyNumberFormat="1" applyFont="1" applyFill="1" applyBorder="1" applyAlignment="1">
      <alignment horizontal="right"/>
    </xf>
    <xf numFmtId="3" fontId="2" fillId="0" borderId="0" xfId="1" applyNumberFormat="1" applyAlignment="1">
      <alignment horizontal="right"/>
    </xf>
    <xf numFmtId="3" fontId="2" fillId="0" borderId="0" xfId="1" quotePrefix="1" applyNumberFormat="1" applyFill="1" applyAlignment="1">
      <alignment horizontal="right"/>
    </xf>
    <xf numFmtId="4" fontId="2" fillId="0" borderId="0" xfId="1" applyNumberFormat="1" applyFill="1" applyAlignment="1">
      <alignment horizontal="right"/>
    </xf>
    <xf numFmtId="3" fontId="2" fillId="0" borderId="0" xfId="1" quotePrefix="1" applyNumberFormat="1" applyFill="1" applyBorder="1" applyAlignment="1">
      <alignment horizontal="right"/>
    </xf>
    <xf numFmtId="3" fontId="3" fillId="0" borderId="0" xfId="1" applyNumberFormat="1" applyFont="1"/>
    <xf numFmtId="4" fontId="2" fillId="0" borderId="0" xfId="1" applyNumberFormat="1" applyFill="1" applyBorder="1" applyAlignment="1">
      <alignment horizontal="right"/>
    </xf>
    <xf numFmtId="4" fontId="5" fillId="0" borderId="0" xfId="1" applyNumberFormat="1" applyFont="1" applyAlignment="1">
      <alignment horizontal="right"/>
    </xf>
    <xf numFmtId="0" fontId="2" fillId="0" borderId="0" xfId="1"/>
    <xf numFmtId="183" fontId="2" fillId="0" borderId="0" xfId="1" applyNumberFormat="1" applyFill="1" applyAlignment="1">
      <alignment horizontal="right"/>
    </xf>
    <xf numFmtId="3" fontId="2" fillId="0" borderId="0" xfId="1" applyNumberFormat="1" applyFont="1"/>
    <xf numFmtId="4" fontId="2" fillId="0" borderId="0" xfId="1" applyNumberFormat="1" applyFont="1" applyFill="1" applyAlignment="1">
      <alignment horizontal="right"/>
    </xf>
    <xf numFmtId="4" fontId="2" fillId="0" borderId="0" xfId="1" applyNumberFormat="1" applyFont="1" applyFill="1" applyBorder="1" applyAlignment="1">
      <alignment horizontal="right"/>
    </xf>
    <xf numFmtId="174" fontId="2" fillId="0" borderId="0" xfId="1" applyNumberFormat="1" applyFill="1" applyAlignment="1">
      <alignment horizontal="right"/>
    </xf>
    <xf numFmtId="4" fontId="2" fillId="0" borderId="0" xfId="1" applyNumberFormat="1" applyFont="1" applyAlignment="1">
      <alignment horizontal="right"/>
    </xf>
    <xf numFmtId="4" fontId="5" fillId="0" borderId="0" xfId="1" applyNumberFormat="1" applyFont="1" applyFill="1" applyAlignment="1">
      <alignment horizontal="right"/>
    </xf>
    <xf numFmtId="4" fontId="5" fillId="0" borderId="0" xfId="1" applyNumberFormat="1" applyFont="1" applyFill="1" applyBorder="1" applyAlignment="1">
      <alignment horizontal="right"/>
    </xf>
    <xf numFmtId="4" fontId="2" fillId="0" borderId="0" xfId="1" applyNumberFormat="1" applyAlignment="1">
      <alignment horizontal="right"/>
    </xf>
    <xf numFmtId="193" fontId="2" fillId="0" borderId="0" xfId="1" applyNumberFormat="1" applyFill="1" applyAlignment="1">
      <alignment horizontal="right"/>
    </xf>
    <xf numFmtId="194" fontId="2" fillId="0" borderId="0" xfId="1" applyNumberFormat="1" applyFill="1" applyAlignment="1">
      <alignment horizontal="right"/>
    </xf>
    <xf numFmtId="3" fontId="5" fillId="0" borderId="0" xfId="1" applyNumberFormat="1" applyFont="1" applyFill="1" applyAlignment="1">
      <alignment horizontal="right"/>
    </xf>
    <xf numFmtId="195" fontId="2" fillId="0" borderId="0" xfId="1" applyNumberFormat="1" applyFill="1" applyAlignment="1">
      <alignment horizontal="right"/>
    </xf>
    <xf numFmtId="192" fontId="2" fillId="0" borderId="0" xfId="1" applyNumberFormat="1" applyFill="1" applyBorder="1" applyAlignment="1">
      <alignment horizontal="right"/>
    </xf>
    <xf numFmtId="192" fontId="2" fillId="0" borderId="0" xfId="1" applyNumberFormat="1" applyFill="1" applyBorder="1"/>
    <xf numFmtId="3" fontId="5" fillId="0" borderId="0" xfId="1" applyNumberFormat="1" applyFont="1" applyFill="1"/>
    <xf numFmtId="0" fontId="2" fillId="0" borderId="0" xfId="1" applyFont="1"/>
    <xf numFmtId="3" fontId="7" fillId="0" borderId="0" xfId="1" quotePrefix="1" applyNumberFormat="1" applyFont="1"/>
    <xf numFmtId="3" fontId="2" fillId="0" borderId="0" xfId="1" quotePrefix="1" applyNumberFormat="1" applyFont="1" applyFill="1"/>
    <xf numFmtId="166" fontId="2" fillId="0" borderId="0" xfId="1" applyNumberFormat="1" applyFill="1" applyAlignment="1">
      <alignment horizontal="right"/>
    </xf>
    <xf numFmtId="3" fontId="2" fillId="0" borderId="0" xfId="1" quotePrefix="1" applyNumberFormat="1" applyFont="1"/>
    <xf numFmtId="0" fontId="2" fillId="0" borderId="0" xfId="1" applyFont="1" applyFill="1"/>
    <xf numFmtId="0" fontId="2" fillId="0" borderId="0" xfId="1" applyFill="1"/>
    <xf numFmtId="20" fontId="2" fillId="0" borderId="0" xfId="1" applyNumberFormat="1"/>
    <xf numFmtId="196" fontId="2" fillId="0" borderId="0" xfId="1" applyNumberFormat="1" applyFill="1" applyAlignment="1">
      <alignment horizontal="right"/>
    </xf>
    <xf numFmtId="178" fontId="2" fillId="0" borderId="0" xfId="1" applyNumberFormat="1" applyFill="1" applyAlignment="1">
      <alignment horizontal="right"/>
    </xf>
    <xf numFmtId="164" fontId="5" fillId="0" borderId="0" xfId="0" applyNumberFormat="1" applyFont="1"/>
    <xf numFmtId="3" fontId="5" fillId="0" borderId="0" xfId="1" applyNumberFormat="1" applyFont="1" applyFill="1" applyAlignment="1">
      <alignment horizontal="left"/>
    </xf>
    <xf numFmtId="3" fontId="3" fillId="0" borderId="0" xfId="1" applyNumberFormat="1" applyFont="1" applyFill="1"/>
    <xf numFmtId="168" fontId="2" fillId="0" borderId="0" xfId="1" applyNumberFormat="1" applyFill="1" applyAlignment="1">
      <alignment horizontal="right"/>
    </xf>
    <xf numFmtId="3" fontId="2" fillId="0" borderId="0" xfId="1" applyNumberFormat="1" applyFont="1" applyFill="1"/>
    <xf numFmtId="3" fontId="7" fillId="0" borderId="0" xfId="1" quotePrefix="1" applyNumberFormat="1" applyFont="1" applyFill="1"/>
    <xf numFmtId="20" fontId="2" fillId="0" borderId="0" xfId="1" applyNumberFormat="1" applyFill="1"/>
    <xf numFmtId="181" fontId="2" fillId="0" borderId="0" xfId="1" applyNumberFormat="1" applyFill="1" applyAlignment="1">
      <alignment horizontal="right"/>
    </xf>
    <xf numFmtId="197" fontId="2" fillId="0" borderId="0" xfId="1" applyNumberFormat="1" applyFill="1" applyAlignment="1">
      <alignment horizontal="right"/>
    </xf>
    <xf numFmtId="197" fontId="2" fillId="0" borderId="0" xfId="1" applyNumberFormat="1" applyFill="1" applyBorder="1" applyAlignment="1">
      <alignment horizontal="right"/>
    </xf>
    <xf numFmtId="198" fontId="2" fillId="0" borderId="0" xfId="1" applyNumberFormat="1" applyFill="1" applyAlignment="1">
      <alignment horizontal="right"/>
    </xf>
    <xf numFmtId="197" fontId="2" fillId="0" borderId="0" xfId="1" applyNumberFormat="1" applyFont="1" applyFill="1"/>
  </cellXfs>
  <cellStyles count="2">
    <cellStyle name="Standard" xfId="0" builtinId="0"/>
    <cellStyle name="Standard 2" xfId="1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theme" Target="theme/theme1.xml"/><Relationship Id="rId30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8"/>
  <sheetViews>
    <sheetView workbookViewId="0"/>
  </sheetViews>
  <sheetFormatPr baseColWidth="10" defaultRowHeight="12.75" x14ac:dyDescent="0.2"/>
  <cols>
    <col min="1" max="1" width="32" style="1" customWidth="1"/>
    <col min="2" max="16384" width="11.42578125" style="1"/>
  </cols>
  <sheetData>
    <row r="1" spans="1:11" ht="15.75" x14ac:dyDescent="0.25">
      <c r="A1" s="6" t="s">
        <v>0</v>
      </c>
      <c r="K1" s="2"/>
    </row>
    <row r="2" spans="1:11" x14ac:dyDescent="0.2">
      <c r="A2" s="1" t="s">
        <v>1</v>
      </c>
      <c r="K2" s="2"/>
    </row>
    <row r="3" spans="1:11" x14ac:dyDescent="0.2">
      <c r="K3" s="2"/>
    </row>
    <row r="4" spans="1:11" x14ac:dyDescent="0.2">
      <c r="A4" s="9" t="s">
        <v>2</v>
      </c>
      <c r="B4" s="10" t="s">
        <v>3</v>
      </c>
      <c r="C4" s="10" t="s">
        <v>4</v>
      </c>
      <c r="D4" s="10" t="s">
        <v>5</v>
      </c>
      <c r="E4" s="10" t="s">
        <v>6</v>
      </c>
      <c r="F4" s="10" t="s">
        <v>7</v>
      </c>
      <c r="G4" s="10" t="s">
        <v>8</v>
      </c>
      <c r="H4" s="10" t="s">
        <v>9</v>
      </c>
      <c r="I4" s="10" t="s">
        <v>10</v>
      </c>
      <c r="J4" s="10" t="s">
        <v>11</v>
      </c>
      <c r="K4" s="11" t="s">
        <v>12</v>
      </c>
    </row>
    <row r="5" spans="1:11" x14ac:dyDescent="0.2">
      <c r="A5" s="12" t="s">
        <v>13</v>
      </c>
      <c r="B5" s="13">
        <v>827.84867161</v>
      </c>
      <c r="C5" s="13">
        <v>1460.078</v>
      </c>
      <c r="D5" s="13">
        <v>3990.6861812699999</v>
      </c>
      <c r="E5" s="13">
        <f>3789.08-414-446.27</f>
        <v>2928.81</v>
      </c>
      <c r="F5" s="13">
        <v>1261</v>
      </c>
      <c r="G5" s="13">
        <v>3551</v>
      </c>
      <c r="H5" s="13">
        <v>1759.5716796500001</v>
      </c>
      <c r="I5" s="13">
        <v>1005.6521082199999</v>
      </c>
      <c r="J5" s="13">
        <v>3925.64691128</v>
      </c>
      <c r="K5" s="14">
        <f>SUM(B5:J5)</f>
        <v>20710.293552030002</v>
      </c>
    </row>
    <row r="6" spans="1:11" x14ac:dyDescent="0.2">
      <c r="A6" s="12" t="s">
        <v>14</v>
      </c>
      <c r="B6" s="13">
        <v>73.731873620000002</v>
      </c>
      <c r="C6" s="13">
        <v>105.67</v>
      </c>
      <c r="D6" s="13">
        <v>583.19809342999997</v>
      </c>
      <c r="E6" s="13">
        <f>408.62-39.88</f>
        <v>368.74</v>
      </c>
      <c r="F6" s="13">
        <v>274.13</v>
      </c>
      <c r="G6" s="13">
        <v>403</v>
      </c>
      <c r="H6" s="13">
        <v>252.45454029999999</v>
      </c>
      <c r="I6" s="13">
        <v>110.69110468</v>
      </c>
      <c r="J6" s="13">
        <v>953.92519275999996</v>
      </c>
      <c r="K6" s="14">
        <f>SUM(B6:J6)</f>
        <v>3125.54080479</v>
      </c>
    </row>
    <row r="7" spans="1:11" x14ac:dyDescent="0.2">
      <c r="A7" s="18" t="s">
        <v>12</v>
      </c>
      <c r="B7" s="15">
        <f>B5+B6</f>
        <v>901.58054522999998</v>
      </c>
      <c r="C7" s="15">
        <f t="shared" ref="C7:J7" si="0">C5+C6</f>
        <v>1565.748</v>
      </c>
      <c r="D7" s="15">
        <f t="shared" si="0"/>
        <v>4573.8842746999999</v>
      </c>
      <c r="E7" s="15">
        <f t="shared" si="0"/>
        <v>3297.55</v>
      </c>
      <c r="F7" s="15">
        <f t="shared" si="0"/>
        <v>1535.13</v>
      </c>
      <c r="G7" s="15">
        <f t="shared" si="0"/>
        <v>3954</v>
      </c>
      <c r="H7" s="15">
        <f t="shared" si="0"/>
        <v>2012.02621995</v>
      </c>
      <c r="I7" s="15">
        <f t="shared" si="0"/>
        <v>1116.3432129</v>
      </c>
      <c r="J7" s="15">
        <f t="shared" si="0"/>
        <v>4879.5721040400003</v>
      </c>
      <c r="K7" s="14">
        <f>SUM(B7:J7)</f>
        <v>23835.83435682</v>
      </c>
    </row>
    <row r="8" spans="1:11" x14ac:dyDescent="0.2">
      <c r="A8" s="16"/>
      <c r="B8" s="13"/>
      <c r="C8" s="13"/>
      <c r="D8" s="13"/>
      <c r="E8" s="13"/>
      <c r="F8" s="13"/>
      <c r="G8" s="13"/>
      <c r="H8" s="13"/>
      <c r="I8" s="13"/>
      <c r="J8" s="13"/>
      <c r="K8" s="17"/>
    </row>
    <row r="9" spans="1:11" x14ac:dyDescent="0.2">
      <c r="A9" s="18" t="s">
        <v>15</v>
      </c>
      <c r="B9" s="13"/>
      <c r="C9" s="13"/>
      <c r="D9" s="13"/>
      <c r="E9" s="13"/>
      <c r="F9" s="13"/>
      <c r="G9" s="13"/>
      <c r="H9" s="13"/>
      <c r="I9" s="13"/>
      <c r="J9" s="13"/>
      <c r="K9" s="17"/>
    </row>
    <row r="10" spans="1:11" x14ac:dyDescent="0.2">
      <c r="A10" s="16" t="s">
        <v>16</v>
      </c>
      <c r="B10" s="13">
        <v>484.17500000000001</v>
      </c>
      <c r="C10" s="13">
        <v>1085.442</v>
      </c>
      <c r="D10" s="13">
        <v>2777.8679999999999</v>
      </c>
      <c r="E10" s="13">
        <v>2621.1039999999998</v>
      </c>
      <c r="F10" s="13">
        <v>976.976</v>
      </c>
      <c r="G10" s="13">
        <v>2368.2109999999998</v>
      </c>
      <c r="H10" s="13">
        <v>1233.232</v>
      </c>
      <c r="I10" s="13">
        <v>668.005</v>
      </c>
      <c r="J10" s="13">
        <v>4529.0309999999999</v>
      </c>
      <c r="K10" s="14">
        <f>SUM(B10:J10)</f>
        <v>16744.043999999998</v>
      </c>
    </row>
    <row r="11" spans="1:11" x14ac:dyDescent="0.2">
      <c r="A11" s="12" t="s">
        <v>17</v>
      </c>
      <c r="B11" s="13">
        <f>17.176259+169.84074427</f>
        <v>187.01700326999998</v>
      </c>
      <c r="C11" s="13">
        <f>7.907+396.563</f>
        <v>404.46999999999997</v>
      </c>
      <c r="D11" s="13">
        <v>837.93794771</v>
      </c>
      <c r="E11" s="13">
        <f>75+1147.63</f>
        <v>1222.6300000000001</v>
      </c>
      <c r="F11" s="13">
        <f>463.7+14.1+11.2+78.7+5.7-5</f>
        <v>568.40000000000009</v>
      </c>
      <c r="G11" s="13">
        <f>2+1644</f>
        <v>1646</v>
      </c>
      <c r="H11" s="13">
        <f>23+338</f>
        <v>361</v>
      </c>
      <c r="I11" s="13">
        <v>166.75937005</v>
      </c>
      <c r="J11" s="13">
        <v>853.11651465</v>
      </c>
      <c r="K11" s="14">
        <f>SUM(B11:J11)</f>
        <v>6247.3308356799998</v>
      </c>
    </row>
    <row r="12" spans="1:11" x14ac:dyDescent="0.2">
      <c r="A12" s="21" t="s">
        <v>18</v>
      </c>
      <c r="B12" s="19">
        <f>B10+B11</f>
        <v>671.19200326999999</v>
      </c>
      <c r="C12" s="19">
        <f t="shared" ref="C12:J12" si="1">C10+C11</f>
        <v>1489.912</v>
      </c>
      <c r="D12" s="19">
        <f t="shared" si="1"/>
        <v>3615.8059477100001</v>
      </c>
      <c r="E12" s="19">
        <f t="shared" si="1"/>
        <v>3843.7339999999999</v>
      </c>
      <c r="F12" s="19">
        <f t="shared" si="1"/>
        <v>1545.3760000000002</v>
      </c>
      <c r="G12" s="19">
        <f t="shared" si="1"/>
        <v>4014.2109999999998</v>
      </c>
      <c r="H12" s="19">
        <f t="shared" si="1"/>
        <v>1594.232</v>
      </c>
      <c r="I12" s="19">
        <f t="shared" si="1"/>
        <v>834.76437005000003</v>
      </c>
      <c r="J12" s="19">
        <f t="shared" si="1"/>
        <v>5382.1475146499997</v>
      </c>
      <c r="K12" s="20">
        <f>SUM(B12:J12)</f>
        <v>22991.374835679999</v>
      </c>
    </row>
    <row r="13" spans="1:11" x14ac:dyDescent="0.2">
      <c r="K13" s="2"/>
    </row>
    <row r="14" spans="1:11" x14ac:dyDescent="0.2">
      <c r="K14" s="2"/>
    </row>
    <row r="15" spans="1:11" x14ac:dyDescent="0.2">
      <c r="A15" s="9" t="s">
        <v>19</v>
      </c>
      <c r="B15" s="10" t="s">
        <v>3</v>
      </c>
      <c r="C15" s="10" t="s">
        <v>4</v>
      </c>
      <c r="D15" s="10" t="s">
        <v>5</v>
      </c>
      <c r="E15" s="10" t="s">
        <v>6</v>
      </c>
      <c r="F15" s="10" t="s">
        <v>7</v>
      </c>
      <c r="G15" s="10" t="s">
        <v>8</v>
      </c>
      <c r="H15" s="10" t="s">
        <v>9</v>
      </c>
      <c r="I15" s="10" t="s">
        <v>10</v>
      </c>
      <c r="J15" s="10" t="s">
        <v>11</v>
      </c>
      <c r="K15" s="11" t="s">
        <v>12</v>
      </c>
    </row>
    <row r="16" spans="1:11" x14ac:dyDescent="0.2">
      <c r="A16" s="12" t="s">
        <v>13</v>
      </c>
      <c r="B16" s="13">
        <v>715.02145718999998</v>
      </c>
      <c r="C16" s="13">
        <v>1486.915</v>
      </c>
      <c r="D16" s="13">
        <v>3983.6438950500001</v>
      </c>
      <c r="E16" s="13">
        <f>3093.76-6.04</f>
        <v>3087.7200000000003</v>
      </c>
      <c r="F16" s="13">
        <v>1311.8</v>
      </c>
      <c r="G16" s="13">
        <v>4015</v>
      </c>
      <c r="H16" s="13">
        <v>1359.45706019</v>
      </c>
      <c r="I16" s="13">
        <v>964.34290840000006</v>
      </c>
      <c r="J16" s="13">
        <v>3275.1268841999999</v>
      </c>
      <c r="K16" s="14">
        <f>SUM(B16:J16)</f>
        <v>20199.027205029997</v>
      </c>
    </row>
    <row r="17" spans="1:11" x14ac:dyDescent="0.2">
      <c r="A17" s="12" t="s">
        <v>14</v>
      </c>
      <c r="B17" s="13">
        <v>103.6012125</v>
      </c>
      <c r="C17" s="13">
        <v>66.570999999999998</v>
      </c>
      <c r="D17" s="13">
        <v>742.80698500000005</v>
      </c>
      <c r="E17" s="13">
        <f>423.87-40.81</f>
        <v>383.06</v>
      </c>
      <c r="F17" s="13">
        <v>154.30000000000001</v>
      </c>
      <c r="G17" s="13">
        <v>563</v>
      </c>
      <c r="H17" s="13">
        <v>363.17392283999999</v>
      </c>
      <c r="I17" s="13">
        <v>123.92756765</v>
      </c>
      <c r="J17" s="13">
        <v>1198.21748514</v>
      </c>
      <c r="K17" s="14">
        <f>SUM(B17:J17)</f>
        <v>3698.6581731300003</v>
      </c>
    </row>
    <row r="18" spans="1:11" x14ac:dyDescent="0.2">
      <c r="A18" s="18" t="s">
        <v>12</v>
      </c>
      <c r="B18" s="15">
        <f>B16+B17</f>
        <v>818.62266968999995</v>
      </c>
      <c r="C18" s="15">
        <f t="shared" ref="C18:J18" si="2">C16+C17</f>
        <v>1553.4859999999999</v>
      </c>
      <c r="D18" s="15">
        <f t="shared" si="2"/>
        <v>4726.4508800499998</v>
      </c>
      <c r="E18" s="15">
        <f t="shared" si="2"/>
        <v>3470.78</v>
      </c>
      <c r="F18" s="15">
        <f t="shared" si="2"/>
        <v>1466.1</v>
      </c>
      <c r="G18" s="15">
        <f t="shared" si="2"/>
        <v>4578</v>
      </c>
      <c r="H18" s="15">
        <f t="shared" si="2"/>
        <v>1722.6309830299999</v>
      </c>
      <c r="I18" s="15">
        <f t="shared" si="2"/>
        <v>1088.2704760500001</v>
      </c>
      <c r="J18" s="15">
        <f t="shared" si="2"/>
        <v>4473.3443693400004</v>
      </c>
      <c r="K18" s="14">
        <f>SUM(B18:J18)</f>
        <v>23897.685378160004</v>
      </c>
    </row>
    <row r="19" spans="1:11" x14ac:dyDescent="0.2">
      <c r="A19" s="16"/>
      <c r="B19" s="13"/>
      <c r="C19" s="13"/>
      <c r="D19" s="13"/>
      <c r="E19" s="13"/>
      <c r="F19" s="13"/>
      <c r="G19" s="13"/>
      <c r="H19" s="13"/>
      <c r="I19" s="13"/>
      <c r="J19" s="13"/>
      <c r="K19" s="17"/>
    </row>
    <row r="20" spans="1:11" x14ac:dyDescent="0.2">
      <c r="A20" s="18" t="s">
        <v>20</v>
      </c>
      <c r="B20" s="13"/>
      <c r="C20" s="13"/>
      <c r="D20" s="13"/>
      <c r="E20" s="13"/>
      <c r="F20" s="13"/>
      <c r="G20" s="13"/>
      <c r="H20" s="13"/>
      <c r="I20" s="13"/>
      <c r="J20" s="13"/>
      <c r="K20" s="17"/>
    </row>
    <row r="21" spans="1:11" x14ac:dyDescent="0.2">
      <c r="A21" s="16" t="s">
        <v>16</v>
      </c>
      <c r="B21" s="13">
        <v>517.84900000000005</v>
      </c>
      <c r="C21" s="13">
        <v>1159.81</v>
      </c>
      <c r="D21" s="13">
        <v>2959.3629999999998</v>
      </c>
      <c r="E21" s="13">
        <v>2787.8249999999998</v>
      </c>
      <c r="F21" s="13">
        <v>1040.8209999999999</v>
      </c>
      <c r="G21" s="13">
        <v>2527.2310000000002</v>
      </c>
      <c r="H21" s="13">
        <v>1290.058</v>
      </c>
      <c r="I21" s="13">
        <v>711.899</v>
      </c>
      <c r="J21" s="13">
        <v>4811.3239999999996</v>
      </c>
      <c r="K21" s="14">
        <f>SUM(B21:J21)</f>
        <v>17806.179999999997</v>
      </c>
    </row>
    <row r="22" spans="1:11" x14ac:dyDescent="0.2">
      <c r="A22" s="12" t="s">
        <v>17</v>
      </c>
      <c r="B22" s="13">
        <f>5.84415432+92.42255637</f>
        <v>98.266710689999996</v>
      </c>
      <c r="C22" s="13">
        <f>11.749+392.066</f>
        <v>403.815</v>
      </c>
      <c r="D22" s="13">
        <f>192.45089405+544.67629548</f>
        <v>737.12718953000001</v>
      </c>
      <c r="E22" s="13">
        <f>51.24+488.27</f>
        <v>539.51</v>
      </c>
      <c r="F22" s="13">
        <f>242.7+36.4+30.3+105.1+5-6.8</f>
        <v>412.7</v>
      </c>
      <c r="G22" s="13">
        <f>10+539</f>
        <v>549</v>
      </c>
      <c r="H22" s="13">
        <v>0</v>
      </c>
      <c r="I22" s="13">
        <v>152.75057841</v>
      </c>
      <c r="J22" s="13">
        <v>768.7832406</v>
      </c>
      <c r="K22" s="14">
        <f>SUM(B22:J22)</f>
        <v>3661.9527192300002</v>
      </c>
    </row>
    <row r="23" spans="1:11" x14ac:dyDescent="0.2">
      <c r="A23" s="21" t="s">
        <v>18</v>
      </c>
      <c r="B23" s="19">
        <f>B21+B22</f>
        <v>616.11571069000001</v>
      </c>
      <c r="C23" s="19">
        <f t="shared" ref="C23:J23" si="3">C21+C22</f>
        <v>1563.625</v>
      </c>
      <c r="D23" s="19">
        <f t="shared" si="3"/>
        <v>3696.49018953</v>
      </c>
      <c r="E23" s="19">
        <f t="shared" si="3"/>
        <v>3327.335</v>
      </c>
      <c r="F23" s="19">
        <f t="shared" si="3"/>
        <v>1453.521</v>
      </c>
      <c r="G23" s="19">
        <f t="shared" si="3"/>
        <v>3076.2310000000002</v>
      </c>
      <c r="H23" s="19">
        <f t="shared" si="3"/>
        <v>1290.058</v>
      </c>
      <c r="I23" s="19">
        <f t="shared" si="3"/>
        <v>864.64957841</v>
      </c>
      <c r="J23" s="19">
        <f t="shared" si="3"/>
        <v>5580.1072405999994</v>
      </c>
      <c r="K23" s="20">
        <f>SUM(B23:J23)</f>
        <v>21468.132719230001</v>
      </c>
    </row>
    <row r="24" spans="1:11" x14ac:dyDescent="0.2">
      <c r="K24" s="2"/>
    </row>
    <row r="25" spans="1:11" x14ac:dyDescent="0.2">
      <c r="K25" s="2"/>
    </row>
    <row r="26" spans="1:11" x14ac:dyDescent="0.2">
      <c r="A26" s="9" t="s">
        <v>21</v>
      </c>
      <c r="B26" s="10" t="s">
        <v>3</v>
      </c>
      <c r="C26" s="10" t="s">
        <v>4</v>
      </c>
      <c r="D26" s="10" t="s">
        <v>5</v>
      </c>
      <c r="E26" s="10" t="s">
        <v>6</v>
      </c>
      <c r="F26" s="10" t="s">
        <v>7</v>
      </c>
      <c r="G26" s="10" t="s">
        <v>8</v>
      </c>
      <c r="H26" s="10" t="s">
        <v>9</v>
      </c>
      <c r="I26" s="10" t="s">
        <v>10</v>
      </c>
      <c r="J26" s="10" t="s">
        <v>11</v>
      </c>
      <c r="K26" s="11" t="s">
        <v>12</v>
      </c>
    </row>
    <row r="27" spans="1:11" x14ac:dyDescent="0.2">
      <c r="A27" s="12" t="s">
        <v>13</v>
      </c>
      <c r="B27" s="13">
        <v>612.70573557</v>
      </c>
      <c r="C27" s="13">
        <v>1554.09</v>
      </c>
      <c r="D27" s="13">
        <v>3621.1837755400002</v>
      </c>
      <c r="E27" s="13">
        <f>3440.42-48.89</f>
        <v>3391.53</v>
      </c>
      <c r="F27" s="13">
        <v>1421</v>
      </c>
      <c r="G27" s="13">
        <v>3315</v>
      </c>
      <c r="H27" s="13">
        <v>1630.69378044</v>
      </c>
      <c r="I27" s="13">
        <v>1047.24747415</v>
      </c>
      <c r="J27" s="13">
        <v>3360.4698417899999</v>
      </c>
      <c r="K27" s="14">
        <f>SUM(B27:J27)</f>
        <v>19953.920607489999</v>
      </c>
    </row>
    <row r="28" spans="1:11" x14ac:dyDescent="0.2">
      <c r="A28" s="12" t="s">
        <v>14</v>
      </c>
      <c r="B28" s="13">
        <v>117.87980210000001</v>
      </c>
      <c r="C28" s="13">
        <v>58.765999999999998</v>
      </c>
      <c r="D28" s="13">
        <v>926.34841917000006</v>
      </c>
      <c r="E28" s="13">
        <f>464.26-39.22</f>
        <v>425.03999999999996</v>
      </c>
      <c r="F28" s="13">
        <v>158.4</v>
      </c>
      <c r="G28" s="13">
        <v>700</v>
      </c>
      <c r="H28" s="13">
        <v>347.36870058</v>
      </c>
      <c r="I28" s="13">
        <v>158.34960516999999</v>
      </c>
      <c r="J28" s="13">
        <v>1479.5453040800001</v>
      </c>
      <c r="K28" s="14">
        <f>SUM(B28:J28)</f>
        <v>4371.6978311000003</v>
      </c>
    </row>
    <row r="29" spans="1:11" x14ac:dyDescent="0.2">
      <c r="A29" s="18" t="s">
        <v>12</v>
      </c>
      <c r="B29" s="15">
        <f>B27+B28</f>
        <v>730.58553767000001</v>
      </c>
      <c r="C29" s="15">
        <f t="shared" ref="C29:J29" si="4">C27+C28</f>
        <v>1612.856</v>
      </c>
      <c r="D29" s="15">
        <f t="shared" si="4"/>
        <v>4547.5321947100001</v>
      </c>
      <c r="E29" s="15">
        <f t="shared" si="4"/>
        <v>3816.57</v>
      </c>
      <c r="F29" s="15">
        <f t="shared" si="4"/>
        <v>1579.4</v>
      </c>
      <c r="G29" s="15">
        <f t="shared" si="4"/>
        <v>4015</v>
      </c>
      <c r="H29" s="15">
        <f t="shared" si="4"/>
        <v>1978.06248102</v>
      </c>
      <c r="I29" s="15">
        <f t="shared" si="4"/>
        <v>1205.5970793199999</v>
      </c>
      <c r="J29" s="15">
        <f t="shared" si="4"/>
        <v>4840.0151458700002</v>
      </c>
      <c r="K29" s="14">
        <f>SUM(B29:J29)</f>
        <v>24325.618438589998</v>
      </c>
    </row>
    <row r="30" spans="1:11" x14ac:dyDescent="0.2">
      <c r="A30" s="16"/>
      <c r="B30" s="13"/>
      <c r="C30" s="13"/>
      <c r="D30" s="13"/>
      <c r="E30" s="13"/>
      <c r="F30" s="13"/>
      <c r="G30" s="13"/>
      <c r="H30" s="13"/>
      <c r="I30" s="13"/>
      <c r="J30" s="13"/>
      <c r="K30" s="17"/>
    </row>
    <row r="31" spans="1:11" x14ac:dyDescent="0.2">
      <c r="A31" s="18" t="s">
        <v>22</v>
      </c>
      <c r="B31" s="13"/>
      <c r="C31" s="13"/>
      <c r="D31" s="13"/>
      <c r="E31" s="13"/>
      <c r="F31" s="13"/>
      <c r="G31" s="13"/>
      <c r="H31" s="13"/>
      <c r="I31" s="13"/>
      <c r="J31" s="13"/>
      <c r="K31" s="17"/>
    </row>
    <row r="32" spans="1:11" x14ac:dyDescent="0.2">
      <c r="A32" s="16" t="s">
        <v>16</v>
      </c>
      <c r="B32" s="13">
        <v>576.47</v>
      </c>
      <c r="C32" s="13">
        <v>1293.99</v>
      </c>
      <c r="D32" s="13">
        <v>3319.4029999999998</v>
      </c>
      <c r="E32" s="13">
        <v>3120.0819999999999</v>
      </c>
      <c r="F32" s="13">
        <v>1165.1210000000001</v>
      </c>
      <c r="G32" s="13">
        <v>2811.64</v>
      </c>
      <c r="H32" s="13">
        <v>1454.9</v>
      </c>
      <c r="I32" s="13">
        <v>798.12699999999995</v>
      </c>
      <c r="J32" s="13">
        <v>5324.8850000000002</v>
      </c>
      <c r="K32" s="14">
        <f>SUM(B32:J32)</f>
        <v>19864.617999999999</v>
      </c>
    </row>
    <row r="33" spans="1:11" x14ac:dyDescent="0.2">
      <c r="A33" s="12" t="s">
        <v>17</v>
      </c>
      <c r="B33" s="13">
        <f>9.92746058+101.18041018</f>
        <v>111.10787076</v>
      </c>
      <c r="C33" s="13">
        <f>25.937+9.5</f>
        <v>35.436999999999998</v>
      </c>
      <c r="D33" s="13">
        <f>29.240493+618.19096217</f>
        <v>647.43145517000005</v>
      </c>
      <c r="E33" s="13">
        <f>0.78+611.53</f>
        <v>612.30999999999995</v>
      </c>
      <c r="F33" s="13">
        <f>256.8+63.8+123+4.7-4.9</f>
        <v>443.40000000000003</v>
      </c>
      <c r="G33" s="13">
        <f>22+548</f>
        <v>570</v>
      </c>
      <c r="H33" s="13">
        <f>9+105+183</f>
        <v>297</v>
      </c>
      <c r="I33" s="13">
        <v>163.09854867999999</v>
      </c>
      <c r="J33" s="13">
        <v>862.12073312999996</v>
      </c>
      <c r="K33" s="14">
        <f>SUM(B33:J33)</f>
        <v>3741.9056077400001</v>
      </c>
    </row>
    <row r="34" spans="1:11" x14ac:dyDescent="0.2">
      <c r="A34" s="21" t="s">
        <v>18</v>
      </c>
      <c r="B34" s="19">
        <f>B32+B33</f>
        <v>687.57787076</v>
      </c>
      <c r="C34" s="19">
        <f t="shared" ref="C34:J34" si="5">C32+C33</f>
        <v>1329.4269999999999</v>
      </c>
      <c r="D34" s="19">
        <f t="shared" si="5"/>
        <v>3966.8344551699997</v>
      </c>
      <c r="E34" s="19">
        <f t="shared" si="5"/>
        <v>3732.3919999999998</v>
      </c>
      <c r="F34" s="19">
        <f t="shared" si="5"/>
        <v>1608.5210000000002</v>
      </c>
      <c r="G34" s="19">
        <f t="shared" si="5"/>
        <v>3381.64</v>
      </c>
      <c r="H34" s="19">
        <f t="shared" si="5"/>
        <v>1751.9</v>
      </c>
      <c r="I34" s="19">
        <f t="shared" si="5"/>
        <v>961.22554867999997</v>
      </c>
      <c r="J34" s="19">
        <f t="shared" si="5"/>
        <v>6187.0057331300004</v>
      </c>
      <c r="K34" s="20">
        <f>SUM(B34:J34)</f>
        <v>23606.52360774</v>
      </c>
    </row>
    <row r="35" spans="1:11" x14ac:dyDescent="0.2">
      <c r="K35" s="2"/>
    </row>
    <row r="36" spans="1:11" x14ac:dyDescent="0.2">
      <c r="K36" s="2"/>
    </row>
    <row r="37" spans="1:11" s="3" customFormat="1" x14ac:dyDescent="0.2">
      <c r="A37" s="9" t="s">
        <v>23</v>
      </c>
      <c r="B37" s="10" t="s">
        <v>3</v>
      </c>
      <c r="C37" s="10" t="s">
        <v>4</v>
      </c>
      <c r="D37" s="10" t="s">
        <v>5</v>
      </c>
      <c r="E37" s="10" t="s">
        <v>6</v>
      </c>
      <c r="F37" s="10" t="s">
        <v>7</v>
      </c>
      <c r="G37" s="10" t="s">
        <v>8</v>
      </c>
      <c r="H37" s="10" t="s">
        <v>9</v>
      </c>
      <c r="I37" s="10" t="s">
        <v>10</v>
      </c>
      <c r="J37" s="10" t="s">
        <v>11</v>
      </c>
      <c r="K37" s="11" t="s">
        <v>12</v>
      </c>
    </row>
    <row r="38" spans="1:11" x14ac:dyDescent="0.2">
      <c r="A38" s="12" t="s">
        <v>13</v>
      </c>
      <c r="B38" s="13">
        <v>715.59065850000002</v>
      </c>
      <c r="C38" s="13">
        <v>1681.145</v>
      </c>
      <c r="D38" s="13">
        <v>4963.2910887099997</v>
      </c>
      <c r="E38" s="13">
        <f>3708.98-92.59</f>
        <v>3616.39</v>
      </c>
      <c r="F38" s="13">
        <v>1643.7</v>
      </c>
      <c r="G38" s="13">
        <v>3907</v>
      </c>
      <c r="H38" s="13">
        <v>1877.8256739999999</v>
      </c>
      <c r="I38" s="13">
        <v>1122.8086618699999</v>
      </c>
      <c r="J38" s="13">
        <v>3098.07536381</v>
      </c>
      <c r="K38" s="14">
        <f>SUM(B38:J38)</f>
        <v>22625.826446889998</v>
      </c>
    </row>
    <row r="39" spans="1:11" x14ac:dyDescent="0.2">
      <c r="A39" s="12" t="s">
        <v>14</v>
      </c>
      <c r="B39" s="13">
        <v>128.87700000000001</v>
      </c>
      <c r="C39" s="13">
        <v>57.475000000000001</v>
      </c>
      <c r="D39" s="13">
        <v>1139.0028824999999</v>
      </c>
      <c r="E39" s="13">
        <f>578.18-39.15</f>
        <v>539.03</v>
      </c>
      <c r="F39" s="13">
        <v>85.7</v>
      </c>
      <c r="G39" s="13">
        <v>907</v>
      </c>
      <c r="H39" s="13">
        <v>401.07940078000001</v>
      </c>
      <c r="I39" s="13">
        <v>187.11299471000001</v>
      </c>
      <c r="J39" s="13">
        <v>1943.7342451500001</v>
      </c>
      <c r="K39" s="14">
        <f>SUM(B39:J39)</f>
        <v>5389.0115231400005</v>
      </c>
    </row>
    <row r="40" spans="1:11" x14ac:dyDescent="0.2">
      <c r="A40" s="18" t="s">
        <v>12</v>
      </c>
      <c r="B40" s="15">
        <f>B38+B39</f>
        <v>844.46765849999997</v>
      </c>
      <c r="C40" s="15">
        <f t="shared" ref="C40:J40" si="6">C38+C39</f>
        <v>1738.62</v>
      </c>
      <c r="D40" s="15">
        <f t="shared" si="6"/>
        <v>6102.2939712099997</v>
      </c>
      <c r="E40" s="15">
        <f t="shared" si="6"/>
        <v>4155.42</v>
      </c>
      <c r="F40" s="15">
        <f t="shared" si="6"/>
        <v>1729.4</v>
      </c>
      <c r="G40" s="15">
        <f t="shared" si="6"/>
        <v>4814</v>
      </c>
      <c r="H40" s="15">
        <f t="shared" si="6"/>
        <v>2278.9050747800002</v>
      </c>
      <c r="I40" s="15">
        <f t="shared" si="6"/>
        <v>1309.92165658</v>
      </c>
      <c r="J40" s="15">
        <f t="shared" si="6"/>
        <v>5041.8096089600003</v>
      </c>
      <c r="K40" s="14">
        <f>SUM(B40:J40)</f>
        <v>28014.837970029999</v>
      </c>
    </row>
    <row r="41" spans="1:11" x14ac:dyDescent="0.2">
      <c r="A41" s="16"/>
      <c r="B41" s="13"/>
      <c r="C41" s="13"/>
      <c r="D41" s="13"/>
      <c r="E41" s="13"/>
      <c r="F41" s="13"/>
      <c r="G41" s="13"/>
      <c r="H41" s="13"/>
      <c r="I41" s="13"/>
      <c r="J41" s="13"/>
      <c r="K41" s="17"/>
    </row>
    <row r="42" spans="1:11" x14ac:dyDescent="0.2">
      <c r="A42" s="18" t="s">
        <v>24</v>
      </c>
      <c r="B42" s="13"/>
      <c r="C42" s="13"/>
      <c r="D42" s="13"/>
      <c r="E42" s="13"/>
      <c r="F42" s="13"/>
      <c r="G42" s="13"/>
      <c r="H42" s="13"/>
      <c r="I42" s="13"/>
      <c r="J42" s="13"/>
      <c r="K42" s="17"/>
    </row>
    <row r="43" spans="1:11" x14ac:dyDescent="0.2">
      <c r="A43" s="16" t="s">
        <v>16</v>
      </c>
      <c r="B43" s="13">
        <v>637.21508877999997</v>
      </c>
      <c r="C43" s="13">
        <v>1429.52928703</v>
      </c>
      <c r="D43" s="13">
        <v>3498.2915549200002</v>
      </c>
      <c r="E43" s="13">
        <v>3456.9394708</v>
      </c>
      <c r="F43" s="13">
        <v>1288.4054374500001</v>
      </c>
      <c r="G43" s="13">
        <v>3112.7609123299999</v>
      </c>
      <c r="H43" s="13">
        <v>1603.63863799</v>
      </c>
      <c r="I43" s="13">
        <v>878.09587223999995</v>
      </c>
      <c r="J43" s="13">
        <v>5849.5197802499997</v>
      </c>
      <c r="K43" s="14">
        <f>SUM(B43:J43)</f>
        <v>21754.396041789998</v>
      </c>
    </row>
    <row r="44" spans="1:11" x14ac:dyDescent="0.2">
      <c r="A44" s="12" t="s">
        <v>17</v>
      </c>
      <c r="B44" s="13">
        <f>19.2229167+109.87738537</f>
        <v>129.10030207</v>
      </c>
      <c r="C44" s="13">
        <f>49.419+472.366</f>
        <v>521.78499999999997</v>
      </c>
      <c r="D44" s="13">
        <f>21.290074+713.92486223</f>
        <v>735.21493623000003</v>
      </c>
      <c r="E44" s="13">
        <f>0.02+742.16</f>
        <v>742.18</v>
      </c>
      <c r="F44" s="13">
        <f>298.6+59.8+88.4+0.1+145.3+3.4-85.7</f>
        <v>509.90000000000003</v>
      </c>
      <c r="G44" s="13">
        <f>31+2561</f>
        <v>2592</v>
      </c>
      <c r="H44" s="13">
        <f>17+369</f>
        <v>386</v>
      </c>
      <c r="I44" s="13">
        <v>169.76564389999999</v>
      </c>
      <c r="J44" s="13">
        <v>839.24596517999998</v>
      </c>
      <c r="K44" s="14">
        <f>SUM(B44:J44)</f>
        <v>6625.1918473799997</v>
      </c>
    </row>
    <row r="45" spans="1:11" x14ac:dyDescent="0.2">
      <c r="A45" s="21" t="s">
        <v>18</v>
      </c>
      <c r="B45" s="19">
        <f>B43+B44</f>
        <v>766.31539084999997</v>
      </c>
      <c r="C45" s="19">
        <f t="shared" ref="C45:J45" si="7">C43+C44</f>
        <v>1951.3142870299998</v>
      </c>
      <c r="D45" s="19">
        <f t="shared" si="7"/>
        <v>4233.5064911500003</v>
      </c>
      <c r="E45" s="19">
        <f t="shared" si="7"/>
        <v>4199.1194708000003</v>
      </c>
      <c r="F45" s="19">
        <f t="shared" si="7"/>
        <v>1798.3054374500002</v>
      </c>
      <c r="G45" s="19">
        <f t="shared" si="7"/>
        <v>5704.7609123299999</v>
      </c>
      <c r="H45" s="19">
        <f t="shared" si="7"/>
        <v>1989.63863799</v>
      </c>
      <c r="I45" s="19">
        <f t="shared" si="7"/>
        <v>1047.8615161399998</v>
      </c>
      <c r="J45" s="19">
        <f t="shared" si="7"/>
        <v>6688.7657454299997</v>
      </c>
      <c r="K45" s="20">
        <f>SUM(B45:J45)</f>
        <v>28379.587889170001</v>
      </c>
    </row>
    <row r="48" spans="1:11" x14ac:dyDescent="0.2">
      <c r="A48" s="9" t="s">
        <v>25</v>
      </c>
      <c r="B48" s="10" t="s">
        <v>3</v>
      </c>
      <c r="C48" s="10" t="s">
        <v>4</v>
      </c>
      <c r="D48" s="10" t="s">
        <v>5</v>
      </c>
      <c r="E48" s="10" t="s">
        <v>6</v>
      </c>
      <c r="F48" s="10" t="s">
        <v>7</v>
      </c>
      <c r="G48" s="10" t="s">
        <v>8</v>
      </c>
      <c r="H48" s="10" t="s">
        <v>9</v>
      </c>
      <c r="I48" s="10" t="s">
        <v>10</v>
      </c>
      <c r="J48" s="10" t="s">
        <v>11</v>
      </c>
      <c r="K48" s="11" t="s">
        <v>12</v>
      </c>
    </row>
    <row r="49" spans="1:11" x14ac:dyDescent="0.2">
      <c r="A49" s="12" t="s">
        <v>13</v>
      </c>
      <c r="B49" s="13">
        <v>1004.9612833</v>
      </c>
      <c r="C49" s="13">
        <v>2198.152</v>
      </c>
      <c r="D49" s="13">
        <v>3535.6867696899999</v>
      </c>
      <c r="E49" s="13">
        <f>5009.18-107.11</f>
        <v>4902.0700000000006</v>
      </c>
      <c r="F49" s="13">
        <v>1889.3</v>
      </c>
      <c r="G49" s="13">
        <v>4412</v>
      </c>
      <c r="H49" s="13">
        <v>2438.0819999999999</v>
      </c>
      <c r="I49" s="13">
        <v>1338.2122183500001</v>
      </c>
      <c r="J49" s="13">
        <v>4161.1739850000004</v>
      </c>
      <c r="K49" s="14">
        <f>SUM(B49:J49)</f>
        <v>25879.63825634</v>
      </c>
    </row>
    <row r="50" spans="1:11" x14ac:dyDescent="0.2">
      <c r="A50" s="12" t="s">
        <v>14</v>
      </c>
      <c r="B50" s="13">
        <v>154.16499999999999</v>
      </c>
      <c r="C50" s="13">
        <v>59.107999999999997</v>
      </c>
      <c r="D50" s="13">
        <v>1266.7150710000001</v>
      </c>
      <c r="E50" s="13">
        <f>574.69-39.15</f>
        <v>535.54000000000008</v>
      </c>
      <c r="F50" s="13">
        <v>96.8</v>
      </c>
      <c r="G50" s="13">
        <v>948</v>
      </c>
      <c r="H50" s="13">
        <v>428.185</v>
      </c>
      <c r="I50" s="13">
        <v>231.69861766</v>
      </c>
      <c r="J50" s="13">
        <v>1974.77113465</v>
      </c>
      <c r="K50" s="14">
        <f>SUM(B50:J50)</f>
        <v>5694.9828233099997</v>
      </c>
    </row>
    <row r="51" spans="1:11" x14ac:dyDescent="0.2">
      <c r="A51" s="18" t="s">
        <v>12</v>
      </c>
      <c r="B51" s="15">
        <f>B49+B50</f>
        <v>1159.1262833000001</v>
      </c>
      <c r="C51" s="15">
        <f t="shared" ref="C51:J51" si="8">C49+C50</f>
        <v>2257.2600000000002</v>
      </c>
      <c r="D51" s="15">
        <f t="shared" si="8"/>
        <v>4802.4018406899995</v>
      </c>
      <c r="E51" s="15">
        <f t="shared" si="8"/>
        <v>5437.6100000000006</v>
      </c>
      <c r="F51" s="15">
        <f t="shared" si="8"/>
        <v>1986.1</v>
      </c>
      <c r="G51" s="15">
        <f t="shared" si="8"/>
        <v>5360</v>
      </c>
      <c r="H51" s="15">
        <f t="shared" si="8"/>
        <v>2866.2669999999998</v>
      </c>
      <c r="I51" s="15">
        <f t="shared" si="8"/>
        <v>1569.9108360100001</v>
      </c>
      <c r="J51" s="15">
        <f t="shared" si="8"/>
        <v>6135.9451196500004</v>
      </c>
      <c r="K51" s="14">
        <f>SUM(B51:J51)</f>
        <v>31574.621079650002</v>
      </c>
    </row>
    <row r="52" spans="1:11" x14ac:dyDescent="0.2">
      <c r="A52" s="16"/>
      <c r="B52" s="13"/>
      <c r="C52" s="13"/>
      <c r="D52" s="13"/>
      <c r="E52" s="13"/>
      <c r="F52" s="13"/>
      <c r="G52" s="13"/>
      <c r="H52" s="13"/>
      <c r="I52" s="13"/>
      <c r="J52" s="13"/>
      <c r="K52" s="17"/>
    </row>
    <row r="53" spans="1:11" x14ac:dyDescent="0.2">
      <c r="A53" s="18" t="s">
        <v>26</v>
      </c>
      <c r="B53" s="13"/>
      <c r="C53" s="13"/>
      <c r="D53" s="13"/>
      <c r="E53" s="13"/>
      <c r="F53" s="13"/>
      <c r="G53" s="13"/>
      <c r="H53" s="13"/>
      <c r="I53" s="13"/>
      <c r="J53" s="13"/>
      <c r="K53" s="17"/>
    </row>
    <row r="54" spans="1:11" x14ac:dyDescent="0.2">
      <c r="A54" s="16" t="s">
        <v>16</v>
      </c>
      <c r="B54" s="13">
        <v>643.58034801999997</v>
      </c>
      <c r="C54" s="13">
        <v>1471.268163</v>
      </c>
      <c r="D54" s="13">
        <v>3766.6031849999999</v>
      </c>
      <c r="E54" s="13">
        <v>3681.3791940000001</v>
      </c>
      <c r="F54" s="13">
        <v>1407.8607260000001</v>
      </c>
      <c r="G54" s="13">
        <v>3126.3599549999999</v>
      </c>
      <c r="H54" s="13">
        <v>1737.607986</v>
      </c>
      <c r="I54" s="13">
        <v>944.26989700000001</v>
      </c>
      <c r="J54" s="13">
        <v>6004.4054960000003</v>
      </c>
      <c r="K54" s="14">
        <f>SUM(B54:J54)</f>
        <v>22783.334950019998</v>
      </c>
    </row>
    <row r="55" spans="1:11" x14ac:dyDescent="0.2">
      <c r="A55" s="16" t="s">
        <v>17</v>
      </c>
      <c r="B55" s="13">
        <f>10.37174404+124.48781704</f>
        <v>134.85956107999999</v>
      </c>
      <c r="C55" s="13">
        <f>44.345+596.405</f>
        <v>640.75</v>
      </c>
      <c r="D55" s="13">
        <f>17.75232+806.42475855</f>
        <v>824.17707855000003</v>
      </c>
      <c r="E55" s="13">
        <v>842.85</v>
      </c>
      <c r="F55" s="13">
        <f>386.4+56.8+120.7+0.1+142.9+2.5-8</f>
        <v>701.4</v>
      </c>
      <c r="G55" s="13">
        <f>58+2730</f>
        <v>2788</v>
      </c>
      <c r="H55" s="13">
        <f>9.554+424.254+22.604</f>
        <v>456.41199999999998</v>
      </c>
      <c r="I55" s="13">
        <v>191.60220770999999</v>
      </c>
      <c r="J55" s="13">
        <v>1144.30728101</v>
      </c>
      <c r="K55" s="14">
        <f>SUM(B55:J55)</f>
        <v>7724.3581283499998</v>
      </c>
    </row>
    <row r="56" spans="1:11" x14ac:dyDescent="0.2">
      <c r="A56" s="21" t="s">
        <v>18</v>
      </c>
      <c r="B56" s="19">
        <f>B54+B55</f>
        <v>778.43990910000002</v>
      </c>
      <c r="C56" s="19">
        <f t="shared" ref="C56:J56" si="9">C54+C55</f>
        <v>2112.0181629999997</v>
      </c>
      <c r="D56" s="19">
        <f t="shared" si="9"/>
        <v>4590.7802635500002</v>
      </c>
      <c r="E56" s="19">
        <f t="shared" si="9"/>
        <v>4524.2291940000005</v>
      </c>
      <c r="F56" s="19">
        <f t="shared" si="9"/>
        <v>2109.260726</v>
      </c>
      <c r="G56" s="19">
        <f t="shared" si="9"/>
        <v>5914.3599549999999</v>
      </c>
      <c r="H56" s="19">
        <f t="shared" si="9"/>
        <v>2194.0199859999998</v>
      </c>
      <c r="I56" s="19">
        <f t="shared" si="9"/>
        <v>1135.87210471</v>
      </c>
      <c r="J56" s="19">
        <f t="shared" si="9"/>
        <v>7148.7127770100005</v>
      </c>
      <c r="K56" s="20">
        <f>SUM(B56:J56)</f>
        <v>30507.693078370001</v>
      </c>
    </row>
    <row r="59" spans="1:11" x14ac:dyDescent="0.2">
      <c r="A59" s="9" t="s">
        <v>27</v>
      </c>
      <c r="B59" s="10" t="s">
        <v>3</v>
      </c>
      <c r="C59" s="10" t="s">
        <v>4</v>
      </c>
      <c r="D59" s="10" t="s">
        <v>5</v>
      </c>
      <c r="E59" s="10" t="s">
        <v>6</v>
      </c>
      <c r="F59" s="10" t="s">
        <v>7</v>
      </c>
      <c r="G59" s="10" t="s">
        <v>8</v>
      </c>
      <c r="H59" s="10" t="s">
        <v>9</v>
      </c>
      <c r="I59" s="10" t="s">
        <v>10</v>
      </c>
      <c r="J59" s="10" t="s">
        <v>11</v>
      </c>
      <c r="K59" s="11" t="s">
        <v>12</v>
      </c>
    </row>
    <row r="60" spans="1:11" x14ac:dyDescent="0.2">
      <c r="A60" s="12" t="s">
        <v>13</v>
      </c>
      <c r="B60" s="13">
        <v>1021.2614295</v>
      </c>
      <c r="C60" s="13">
        <v>2450.2919999999999</v>
      </c>
      <c r="D60" s="13">
        <v>4478.1196432999996</v>
      </c>
      <c r="E60" s="13">
        <f>5021.24-75.79</f>
        <v>4945.45</v>
      </c>
      <c r="F60" s="13">
        <v>2361.1999999999998</v>
      </c>
      <c r="G60" s="13">
        <v>2712</v>
      </c>
      <c r="H60" s="13">
        <v>2454.297</v>
      </c>
      <c r="I60" s="13">
        <v>1400.97134026</v>
      </c>
      <c r="J60" s="13">
        <v>5542.5004035399998</v>
      </c>
      <c r="K60" s="14">
        <f>SUM(B60:J60)</f>
        <v>27366.091816599997</v>
      </c>
    </row>
    <row r="61" spans="1:11" x14ac:dyDescent="0.2">
      <c r="A61" s="12" t="s">
        <v>14</v>
      </c>
      <c r="B61" s="13">
        <v>129.84200000000001</v>
      </c>
      <c r="C61" s="13">
        <v>73.977999999999994</v>
      </c>
      <c r="D61" s="13">
        <v>1320.5759833499999</v>
      </c>
      <c r="E61" s="13">
        <f>723.12-91.23</f>
        <v>631.89</v>
      </c>
      <c r="F61" s="13">
        <v>122.8</v>
      </c>
      <c r="G61" s="13">
        <v>1092</v>
      </c>
      <c r="H61" s="13">
        <v>414.33300000000003</v>
      </c>
      <c r="I61" s="13">
        <v>243.72705943</v>
      </c>
      <c r="J61" s="13">
        <v>2423.0845702400002</v>
      </c>
      <c r="K61" s="14">
        <f>SUM(B61:J61)</f>
        <v>6452.2306130199995</v>
      </c>
    </row>
    <row r="62" spans="1:11" x14ac:dyDescent="0.2">
      <c r="A62" s="18" t="s">
        <v>12</v>
      </c>
      <c r="B62" s="15">
        <f>B60+B61</f>
        <v>1151.1034294999999</v>
      </c>
      <c r="C62" s="15">
        <f t="shared" ref="C62:J62" si="10">C60+C61</f>
        <v>2524.27</v>
      </c>
      <c r="D62" s="15">
        <f t="shared" si="10"/>
        <v>5798.6956266499992</v>
      </c>
      <c r="E62" s="15">
        <f t="shared" si="10"/>
        <v>5577.34</v>
      </c>
      <c r="F62" s="15">
        <f t="shared" si="10"/>
        <v>2484</v>
      </c>
      <c r="G62" s="15">
        <f t="shared" si="10"/>
        <v>3804</v>
      </c>
      <c r="H62" s="15">
        <f t="shared" si="10"/>
        <v>2868.63</v>
      </c>
      <c r="I62" s="15">
        <f t="shared" si="10"/>
        <v>1644.6983996900001</v>
      </c>
      <c r="J62" s="15">
        <f t="shared" si="10"/>
        <v>7965.5849737799999</v>
      </c>
      <c r="K62" s="14">
        <f>SUM(B62:J62)</f>
        <v>33818.322429619999</v>
      </c>
    </row>
    <row r="63" spans="1:11" x14ac:dyDescent="0.2">
      <c r="A63" s="16"/>
      <c r="B63" s="13"/>
      <c r="C63" s="13"/>
      <c r="D63" s="13"/>
      <c r="E63" s="13"/>
      <c r="F63" s="13"/>
      <c r="G63" s="13"/>
      <c r="H63" s="13"/>
      <c r="I63" s="13"/>
      <c r="J63" s="13"/>
      <c r="K63" s="17"/>
    </row>
    <row r="64" spans="1:11" x14ac:dyDescent="0.2">
      <c r="A64" s="18" t="s">
        <v>28</v>
      </c>
      <c r="B64" s="13"/>
      <c r="C64" s="13"/>
      <c r="D64" s="13"/>
      <c r="E64" s="13"/>
      <c r="F64" s="13"/>
      <c r="G64" s="13"/>
      <c r="H64" s="13"/>
      <c r="I64" s="13"/>
      <c r="J64" s="13"/>
      <c r="K64" s="17"/>
    </row>
    <row r="65" spans="1:11" x14ac:dyDescent="0.2">
      <c r="A65" s="16" t="s">
        <v>16</v>
      </c>
      <c r="B65" s="13">
        <v>634.52701261999994</v>
      </c>
      <c r="C65" s="13">
        <v>1447.997803</v>
      </c>
      <c r="D65" s="13">
        <v>3672.013312</v>
      </c>
      <c r="E65" s="13">
        <v>3600.5582599999998</v>
      </c>
      <c r="F65" s="13">
        <v>1366.84393804</v>
      </c>
      <c r="G65" s="13">
        <v>3071.8952990000003</v>
      </c>
      <c r="H65" s="13">
        <v>1695.4255190000001</v>
      </c>
      <c r="I65" s="13">
        <v>928.32369400000005</v>
      </c>
      <c r="J65" s="13">
        <v>5908.2099100000005</v>
      </c>
      <c r="K65" s="14">
        <f>SUM(B65:J65)</f>
        <v>22325.794747660002</v>
      </c>
    </row>
    <row r="66" spans="1:11" x14ac:dyDescent="0.2">
      <c r="A66" s="16" t="s">
        <v>17</v>
      </c>
      <c r="B66" s="13">
        <f>5.07752702+358.01534246</f>
        <v>363.09286947999999</v>
      </c>
      <c r="C66" s="13">
        <f>21.541+677.502</f>
        <v>699.04300000000001</v>
      </c>
      <c r="D66" s="13">
        <f>14.759395+934.95126581</f>
        <v>949.71066081000004</v>
      </c>
      <c r="E66" s="13">
        <v>926.87</v>
      </c>
      <c r="F66" s="13">
        <f>505.8+62.3+170.5+0.3+90+2.7-3.3</f>
        <v>828.30000000000007</v>
      </c>
      <c r="G66" s="13">
        <f>33+1067</f>
        <v>1100</v>
      </c>
      <c r="H66" s="13">
        <f>1.798+584.065+26.805</f>
        <v>612.66800000000001</v>
      </c>
      <c r="I66" s="13">
        <v>274.04067606000001</v>
      </c>
      <c r="J66" s="13">
        <v>980.28963028999999</v>
      </c>
      <c r="K66" s="14">
        <f>SUM(B66:J66)</f>
        <v>6734.0148366399999</v>
      </c>
    </row>
    <row r="67" spans="1:11" x14ac:dyDescent="0.2">
      <c r="A67" s="21" t="s">
        <v>18</v>
      </c>
      <c r="B67" s="19">
        <f>B65+B66</f>
        <v>997.61988209999993</v>
      </c>
      <c r="C67" s="19">
        <f t="shared" ref="C67:J67" si="11">C65+C66</f>
        <v>2147.0408029999999</v>
      </c>
      <c r="D67" s="19">
        <f t="shared" si="11"/>
        <v>4621.7239728100003</v>
      </c>
      <c r="E67" s="19">
        <f t="shared" si="11"/>
        <v>4527.4282599999997</v>
      </c>
      <c r="F67" s="19">
        <f t="shared" si="11"/>
        <v>2195.1439380400002</v>
      </c>
      <c r="G67" s="19">
        <f t="shared" si="11"/>
        <v>4171.8952989999998</v>
      </c>
      <c r="H67" s="19">
        <f t="shared" si="11"/>
        <v>2308.093519</v>
      </c>
      <c r="I67" s="19">
        <f t="shared" si="11"/>
        <v>1202.3643700600001</v>
      </c>
      <c r="J67" s="19">
        <f t="shared" si="11"/>
        <v>6888.4995402900004</v>
      </c>
      <c r="K67" s="20">
        <f>SUM(B67:J67)</f>
        <v>29059.809584300005</v>
      </c>
    </row>
    <row r="70" spans="1:11" x14ac:dyDescent="0.2">
      <c r="A70" s="9" t="s">
        <v>29</v>
      </c>
      <c r="B70" s="10" t="s">
        <v>3</v>
      </c>
      <c r="C70" s="10" t="s">
        <v>4</v>
      </c>
      <c r="D70" s="10" t="s">
        <v>5</v>
      </c>
      <c r="E70" s="10" t="s">
        <v>6</v>
      </c>
      <c r="F70" s="10" t="s">
        <v>7</v>
      </c>
      <c r="G70" s="10" t="s">
        <v>8</v>
      </c>
      <c r="H70" s="10" t="s">
        <v>9</v>
      </c>
      <c r="I70" s="10" t="s">
        <v>10</v>
      </c>
      <c r="J70" s="10" t="s">
        <v>11</v>
      </c>
      <c r="K70" s="11" t="s">
        <v>12</v>
      </c>
    </row>
    <row r="71" spans="1:11" x14ac:dyDescent="0.2">
      <c r="A71" s="12" t="s">
        <v>13</v>
      </c>
      <c r="B71" s="13">
        <v>855.21455230000004</v>
      </c>
      <c r="C71" s="13">
        <v>2075</v>
      </c>
      <c r="D71" s="13">
        <v>3852.3821279099998</v>
      </c>
      <c r="E71" s="13">
        <f>4442.6-71.67</f>
        <v>4370.93</v>
      </c>
      <c r="F71" s="13">
        <v>2423.8000000000002</v>
      </c>
      <c r="G71" s="13">
        <v>2514</v>
      </c>
      <c r="H71" s="13">
        <v>2297.4769999999999</v>
      </c>
      <c r="I71" s="13">
        <v>1711.90514955</v>
      </c>
      <c r="J71" s="13">
        <v>6567.6782387800004</v>
      </c>
      <c r="K71" s="14">
        <f>SUM(B71:J71)</f>
        <v>26668.38706854</v>
      </c>
    </row>
    <row r="72" spans="1:11" x14ac:dyDescent="0.2">
      <c r="A72" s="12" t="s">
        <v>14</v>
      </c>
      <c r="B72" s="13">
        <v>120.69</v>
      </c>
      <c r="C72" s="13">
        <v>80</v>
      </c>
      <c r="D72" s="13">
        <v>1379.59110113</v>
      </c>
      <c r="E72" s="13">
        <f>666.57-61.85</f>
        <v>604.72</v>
      </c>
      <c r="F72" s="13">
        <v>108.7</v>
      </c>
      <c r="G72" s="13">
        <v>1379</v>
      </c>
      <c r="H72" s="13">
        <v>386.03</v>
      </c>
      <c r="I72" s="13">
        <v>272.03167550000001</v>
      </c>
      <c r="J72" s="13">
        <v>2767.65375782</v>
      </c>
      <c r="K72" s="14">
        <f>SUM(B72:J72)</f>
        <v>7098.4165344499997</v>
      </c>
    </row>
    <row r="73" spans="1:11" x14ac:dyDescent="0.2">
      <c r="A73" s="18" t="s">
        <v>12</v>
      </c>
      <c r="B73" s="15">
        <f>B71+B72</f>
        <v>975.90455229999998</v>
      </c>
      <c r="C73" s="15">
        <f t="shared" ref="C73:J73" si="12">C71+C72</f>
        <v>2155</v>
      </c>
      <c r="D73" s="15">
        <f t="shared" si="12"/>
        <v>5231.9732290399998</v>
      </c>
      <c r="E73" s="15">
        <f t="shared" si="12"/>
        <v>4975.6500000000005</v>
      </c>
      <c r="F73" s="15">
        <f t="shared" si="12"/>
        <v>2532.5</v>
      </c>
      <c r="G73" s="15">
        <f t="shared" si="12"/>
        <v>3893</v>
      </c>
      <c r="H73" s="15">
        <f t="shared" si="12"/>
        <v>2683.5069999999996</v>
      </c>
      <c r="I73" s="15">
        <f t="shared" si="12"/>
        <v>1983.9368250500002</v>
      </c>
      <c r="J73" s="15">
        <f t="shared" si="12"/>
        <v>9335.3319965999999</v>
      </c>
      <c r="K73" s="14">
        <f>SUM(B73:J73)</f>
        <v>33766.803602990003</v>
      </c>
    </row>
    <row r="74" spans="1:11" x14ac:dyDescent="0.2">
      <c r="A74" s="16"/>
      <c r="B74" s="13"/>
      <c r="C74" s="13"/>
      <c r="D74" s="13"/>
      <c r="E74" s="13"/>
      <c r="F74" s="13"/>
      <c r="G74" s="13"/>
      <c r="H74" s="13"/>
      <c r="I74" s="13"/>
      <c r="J74" s="13"/>
      <c r="K74" s="17"/>
    </row>
    <row r="75" spans="1:11" x14ac:dyDescent="0.2">
      <c r="A75" s="18" t="s">
        <v>30</v>
      </c>
      <c r="B75" s="13"/>
      <c r="C75" s="13"/>
      <c r="D75" s="13"/>
      <c r="E75" s="13"/>
      <c r="F75" s="13"/>
      <c r="G75" s="13"/>
      <c r="H75" s="13"/>
      <c r="I75" s="13"/>
      <c r="J75" s="13"/>
      <c r="K75" s="17"/>
    </row>
    <row r="76" spans="1:11" x14ac:dyDescent="0.2">
      <c r="A76" s="16" t="s">
        <v>16</v>
      </c>
      <c r="B76" s="13">
        <v>671.81205982000006</v>
      </c>
      <c r="C76" s="13">
        <v>1517.8544669999999</v>
      </c>
      <c r="D76" s="13">
        <v>3861.0122880000004</v>
      </c>
      <c r="E76" s="13">
        <v>3776.5557159999998</v>
      </c>
      <c r="F76" s="13">
        <v>1439.49402904</v>
      </c>
      <c r="G76" s="13">
        <v>3232.2238050000001</v>
      </c>
      <c r="H76" s="13">
        <v>1782.6911459999999</v>
      </c>
      <c r="I76" s="13">
        <v>971.42655600000001</v>
      </c>
      <c r="J76" s="13">
        <v>6220.6703120000002</v>
      </c>
      <c r="K76" s="14">
        <f>SUM(B76:J76)</f>
        <v>23473.740378859999</v>
      </c>
    </row>
    <row r="77" spans="1:11" x14ac:dyDescent="0.2">
      <c r="A77" s="16" t="s">
        <v>17</v>
      </c>
      <c r="B77" s="13">
        <f>7.0934048+253.04328189</f>
        <v>260.13668668999998</v>
      </c>
      <c r="C77" s="13">
        <f>20+719</f>
        <v>739</v>
      </c>
      <c r="D77" s="13">
        <f>16.57666532+1118.76102497</f>
        <v>1135.3376902900002</v>
      </c>
      <c r="E77" s="13">
        <v>961.12</v>
      </c>
      <c r="F77" s="13">
        <f>312.43+59.6+113.69+0.8+44.97+3.07-0.33</f>
        <v>534.23</v>
      </c>
      <c r="G77" s="13">
        <f>43+1132</f>
        <v>1175</v>
      </c>
      <c r="H77" s="13">
        <f>1.569+591.017+26.933</f>
        <v>619.51900000000001</v>
      </c>
      <c r="I77" s="13">
        <v>286.68812317999999</v>
      </c>
      <c r="J77" s="13">
        <f>55.408+1138.6034473</f>
        <v>1194.0114472999999</v>
      </c>
      <c r="K77" s="14">
        <f>SUM(B77:J77)</f>
        <v>6905.0429474600005</v>
      </c>
    </row>
    <row r="78" spans="1:11" x14ac:dyDescent="0.2">
      <c r="A78" s="21" t="s">
        <v>18</v>
      </c>
      <c r="B78" s="19">
        <f>B76+B77</f>
        <v>931.94874651000009</v>
      </c>
      <c r="C78" s="19">
        <f t="shared" ref="C78:J78" si="13">C76+C77</f>
        <v>2256.8544670000001</v>
      </c>
      <c r="D78" s="19">
        <f t="shared" si="13"/>
        <v>4996.3499782900008</v>
      </c>
      <c r="E78" s="19">
        <f t="shared" si="13"/>
        <v>4737.6757159999997</v>
      </c>
      <c r="F78" s="19">
        <f t="shared" si="13"/>
        <v>1973.72402904</v>
      </c>
      <c r="G78" s="19">
        <f t="shared" si="13"/>
        <v>4407.2238049999996</v>
      </c>
      <c r="H78" s="19">
        <f t="shared" si="13"/>
        <v>2402.2101459999999</v>
      </c>
      <c r="I78" s="19">
        <f t="shared" si="13"/>
        <v>1258.1146791799999</v>
      </c>
      <c r="J78" s="19">
        <f t="shared" si="13"/>
        <v>7414.6817592999996</v>
      </c>
      <c r="K78" s="20">
        <f>SUM(B78:J78)</f>
        <v>30378.783326320001</v>
      </c>
    </row>
    <row r="81" spans="1:11" x14ac:dyDescent="0.2">
      <c r="A81" s="9" t="s">
        <v>31</v>
      </c>
      <c r="B81" s="10" t="s">
        <v>3</v>
      </c>
      <c r="C81" s="10" t="s">
        <v>4</v>
      </c>
      <c r="D81" s="10" t="s">
        <v>5</v>
      </c>
      <c r="E81" s="10" t="s">
        <v>6</v>
      </c>
      <c r="F81" s="10" t="s">
        <v>7</v>
      </c>
      <c r="G81" s="10" t="s">
        <v>8</v>
      </c>
      <c r="H81" s="10" t="s">
        <v>9</v>
      </c>
      <c r="I81" s="10" t="s">
        <v>10</v>
      </c>
      <c r="J81" s="10" t="s">
        <v>11</v>
      </c>
      <c r="K81" s="11" t="s">
        <v>12</v>
      </c>
    </row>
    <row r="82" spans="1:11" x14ac:dyDescent="0.2">
      <c r="A82" s="12" t="s">
        <v>13</v>
      </c>
      <c r="B82" s="13">
        <v>846.55104148999999</v>
      </c>
      <c r="C82" s="13">
        <v>2390</v>
      </c>
      <c r="D82" s="13">
        <v>2912.9916540099998</v>
      </c>
      <c r="E82" s="13">
        <f>4269.85-414.7</f>
        <v>3855.1500000000005</v>
      </c>
      <c r="F82" s="13">
        <v>2754.83</v>
      </c>
      <c r="G82" s="13">
        <v>2145</v>
      </c>
      <c r="H82" s="13">
        <v>2712.509</v>
      </c>
      <c r="I82" s="13">
        <v>1620.1359460000001</v>
      </c>
      <c r="J82" s="13">
        <v>5296.4364859999996</v>
      </c>
      <c r="K82" s="14">
        <f>SUM(B82:J82)</f>
        <v>24533.604127499999</v>
      </c>
    </row>
    <row r="83" spans="1:11" x14ac:dyDescent="0.2">
      <c r="A83" s="12" t="s">
        <v>14</v>
      </c>
      <c r="B83" s="13">
        <v>112.547</v>
      </c>
      <c r="C83" s="13">
        <v>102</v>
      </c>
      <c r="D83" s="13">
        <v>1334.5633210000001</v>
      </c>
      <c r="E83" s="13">
        <f>680.27-31.71</f>
        <v>648.55999999999995</v>
      </c>
      <c r="F83" s="13">
        <v>102.04</v>
      </c>
      <c r="G83" s="13">
        <v>1463</v>
      </c>
      <c r="H83" s="13">
        <v>347.89100000000002</v>
      </c>
      <c r="I83" s="13">
        <v>287.44530381999999</v>
      </c>
      <c r="J83" s="13">
        <v>2854.2446949</v>
      </c>
      <c r="K83" s="14">
        <f>SUM(B83:J83)</f>
        <v>7252.2913197199996</v>
      </c>
    </row>
    <row r="84" spans="1:11" x14ac:dyDescent="0.2">
      <c r="A84" s="18" t="s">
        <v>12</v>
      </c>
      <c r="B84" s="15">
        <f>B82+B83</f>
        <v>959.09804149000001</v>
      </c>
      <c r="C84" s="15">
        <f t="shared" ref="C84:J84" si="14">C82+C83</f>
        <v>2492</v>
      </c>
      <c r="D84" s="15">
        <f t="shared" si="14"/>
        <v>4247.5549750099999</v>
      </c>
      <c r="E84" s="15">
        <f t="shared" si="14"/>
        <v>4503.7100000000009</v>
      </c>
      <c r="F84" s="15">
        <f t="shared" si="14"/>
        <v>2856.87</v>
      </c>
      <c r="G84" s="15">
        <f t="shared" si="14"/>
        <v>3608</v>
      </c>
      <c r="H84" s="15">
        <f t="shared" si="14"/>
        <v>3060.4</v>
      </c>
      <c r="I84" s="15">
        <f t="shared" si="14"/>
        <v>1907.58124982</v>
      </c>
      <c r="J84" s="15">
        <f t="shared" si="14"/>
        <v>8150.6811808999992</v>
      </c>
      <c r="K84" s="14">
        <f>SUM(B84:J84)</f>
        <v>31785.895447220002</v>
      </c>
    </row>
    <row r="85" spans="1:11" x14ac:dyDescent="0.2">
      <c r="A85" s="16"/>
      <c r="B85" s="13"/>
      <c r="C85" s="13"/>
      <c r="D85" s="13"/>
      <c r="E85" s="13"/>
      <c r="F85" s="13"/>
      <c r="G85" s="13"/>
      <c r="H85" s="13"/>
      <c r="I85" s="13"/>
      <c r="J85" s="13"/>
      <c r="K85" s="17"/>
    </row>
    <row r="86" spans="1:11" x14ac:dyDescent="0.2">
      <c r="A86" s="18" t="s">
        <v>32</v>
      </c>
      <c r="B86" s="13"/>
      <c r="C86" s="13"/>
      <c r="D86" s="13"/>
      <c r="E86" s="13"/>
      <c r="F86" s="13"/>
      <c r="G86" s="13"/>
      <c r="H86" s="13"/>
      <c r="I86" s="13"/>
      <c r="J86" s="13"/>
      <c r="K86" s="17"/>
    </row>
    <row r="87" spans="1:11" x14ac:dyDescent="0.2">
      <c r="A87" s="16" t="s">
        <v>16</v>
      </c>
      <c r="B87" s="13">
        <v>705.69844736999994</v>
      </c>
      <c r="C87" s="13">
        <v>1594.3340000000001</v>
      </c>
      <c r="D87" s="13">
        <v>4055.58</v>
      </c>
      <c r="E87" s="13">
        <v>3966.8679999999999</v>
      </c>
      <c r="F87" s="13">
        <v>1508.84659504</v>
      </c>
      <c r="G87" s="13">
        <v>3394.9940000000001</v>
      </c>
      <c r="H87" s="13">
        <v>1872.528</v>
      </c>
      <c r="I87" s="13">
        <v>1020.364</v>
      </c>
      <c r="J87" s="13">
        <v>6533.2079999999996</v>
      </c>
      <c r="K87" s="14">
        <f>SUM(B87:J87)</f>
        <v>24652.421042410002</v>
      </c>
    </row>
    <row r="88" spans="1:11" x14ac:dyDescent="0.2">
      <c r="A88" s="16" t="s">
        <v>17</v>
      </c>
      <c r="B88" s="13">
        <f>12.26506894+261.75804804</f>
        <v>274.02311698</v>
      </c>
      <c r="C88" s="13">
        <f>16+413</f>
        <v>429</v>
      </c>
      <c r="D88" s="13">
        <f>24.47655372+1287.57160122</f>
        <v>1312.0481549400001</v>
      </c>
      <c r="E88" s="13">
        <v>1432.45</v>
      </c>
      <c r="F88" s="13">
        <f>242.11+62.94+145.79+2.22+1.31+24.39</f>
        <v>478.76000000000005</v>
      </c>
      <c r="G88" s="13">
        <f>59+1292</f>
        <v>1351</v>
      </c>
      <c r="H88" s="13">
        <f>4.609+732.147</f>
        <v>736.75600000000009</v>
      </c>
      <c r="I88" s="13">
        <v>318.75680319000003</v>
      </c>
      <c r="J88" s="13">
        <v>1956.50913509</v>
      </c>
      <c r="K88" s="14">
        <f>SUM(B88:J88)</f>
        <v>8289.3032101999997</v>
      </c>
    </row>
    <row r="89" spans="1:11" x14ac:dyDescent="0.2">
      <c r="A89" s="21" t="s">
        <v>18</v>
      </c>
      <c r="B89" s="19">
        <f>B87+B88</f>
        <v>979.72156434999988</v>
      </c>
      <c r="C89" s="19">
        <f t="shared" ref="C89:J89" si="15">C87+C88</f>
        <v>2023.3340000000001</v>
      </c>
      <c r="D89" s="19">
        <f t="shared" si="15"/>
        <v>5367.6281549400001</v>
      </c>
      <c r="E89" s="19">
        <f t="shared" si="15"/>
        <v>5399.3180000000002</v>
      </c>
      <c r="F89" s="19">
        <f t="shared" si="15"/>
        <v>1987.60659504</v>
      </c>
      <c r="G89" s="19">
        <f t="shared" si="15"/>
        <v>4745.9940000000006</v>
      </c>
      <c r="H89" s="19">
        <f t="shared" si="15"/>
        <v>2609.2840000000001</v>
      </c>
      <c r="I89" s="19">
        <f t="shared" si="15"/>
        <v>1339.1208031900001</v>
      </c>
      <c r="J89" s="19">
        <f t="shared" si="15"/>
        <v>8489.7171350899989</v>
      </c>
      <c r="K89" s="20">
        <f>SUM(B89:J89)</f>
        <v>32941.724252610002</v>
      </c>
    </row>
    <row r="92" spans="1:11" x14ac:dyDescent="0.2">
      <c r="A92" s="9" t="s">
        <v>33</v>
      </c>
      <c r="B92" s="10" t="s">
        <v>3</v>
      </c>
      <c r="C92" s="10" t="s">
        <v>4</v>
      </c>
      <c r="D92" s="10" t="s">
        <v>5</v>
      </c>
      <c r="E92" s="10" t="s">
        <v>6</v>
      </c>
      <c r="F92" s="10" t="s">
        <v>7</v>
      </c>
      <c r="G92" s="10" t="s">
        <v>8</v>
      </c>
      <c r="H92" s="10" t="s">
        <v>9</v>
      </c>
      <c r="I92" s="10" t="s">
        <v>10</v>
      </c>
      <c r="J92" s="10" t="s">
        <v>11</v>
      </c>
      <c r="K92" s="11" t="s">
        <v>12</v>
      </c>
    </row>
    <row r="93" spans="1:11" x14ac:dyDescent="0.2">
      <c r="A93" s="12" t="s">
        <v>13</v>
      </c>
      <c r="B93" s="13">
        <v>696.95022671000004</v>
      </c>
      <c r="C93" s="13">
        <f>'1997'!C17</f>
        <v>2518</v>
      </c>
      <c r="D93" s="13">
        <f>'1997'!D17</f>
        <v>3328.9048069</v>
      </c>
      <c r="E93" s="13">
        <f>'1997'!E17</f>
        <v>5168.1999999999989</v>
      </c>
      <c r="F93" s="13">
        <f>'1997'!F17</f>
        <v>2225.8000000000002</v>
      </c>
      <c r="G93" s="13">
        <f>'1997'!G17</f>
        <v>2664</v>
      </c>
      <c r="H93" s="13">
        <f>'1997'!H17</f>
        <v>2426.5220000000004</v>
      </c>
      <c r="I93" s="13">
        <f>'1997'!I17</f>
        <v>1492.18758267</v>
      </c>
      <c r="J93" s="13">
        <f>'1997'!J17</f>
        <v>4703.8645025299993</v>
      </c>
      <c r="K93" s="14">
        <f>SUM(B93:J93)</f>
        <v>25224.42911881</v>
      </c>
    </row>
    <row r="94" spans="1:11" x14ac:dyDescent="0.2">
      <c r="A94" s="12" t="s">
        <v>14</v>
      </c>
      <c r="B94" s="13">
        <v>150.23500000000001</v>
      </c>
      <c r="C94" s="13">
        <f>'1997'!C28</f>
        <v>123</v>
      </c>
      <c r="D94" s="13">
        <f>'1997'!D28</f>
        <v>1083.8122092999999</v>
      </c>
      <c r="E94" s="13">
        <f>'1997'!E28</f>
        <v>682.6</v>
      </c>
      <c r="F94" s="13">
        <f>'1997'!F28</f>
        <v>143.73999999999998</v>
      </c>
      <c r="G94" s="13">
        <f>'1997'!G28</f>
        <v>1884</v>
      </c>
      <c r="H94" s="13">
        <f>'1997'!H28</f>
        <v>517.04</v>
      </c>
      <c r="I94" s="13">
        <f>'1997'!I28</f>
        <v>306.33266939999999</v>
      </c>
      <c r="J94" s="13">
        <f>'1997'!J28</f>
        <v>2511.76877547</v>
      </c>
      <c r="K94" s="14">
        <f>SUM(B94:J94)</f>
        <v>7402.5286541699998</v>
      </c>
    </row>
    <row r="95" spans="1:11" x14ac:dyDescent="0.2">
      <c r="A95" s="18" t="s">
        <v>12</v>
      </c>
      <c r="B95" s="15">
        <f>B93+B94</f>
        <v>847.18522671000005</v>
      </c>
      <c r="C95" s="15">
        <f t="shared" ref="C95:J95" si="16">C93+C94</f>
        <v>2641</v>
      </c>
      <c r="D95" s="15">
        <f t="shared" si="16"/>
        <v>4412.7170162000002</v>
      </c>
      <c r="E95" s="15">
        <f t="shared" si="16"/>
        <v>5850.7999999999993</v>
      </c>
      <c r="F95" s="15">
        <f t="shared" si="16"/>
        <v>2369.54</v>
      </c>
      <c r="G95" s="15">
        <f t="shared" si="16"/>
        <v>4548</v>
      </c>
      <c r="H95" s="15">
        <f t="shared" si="16"/>
        <v>2943.5620000000004</v>
      </c>
      <c r="I95" s="15">
        <f t="shared" si="16"/>
        <v>1798.52025207</v>
      </c>
      <c r="J95" s="15">
        <f t="shared" si="16"/>
        <v>7215.6332779999993</v>
      </c>
      <c r="K95" s="14">
        <f>SUM(B95:J95)</f>
        <v>32626.95777298</v>
      </c>
    </row>
    <row r="96" spans="1:11" x14ac:dyDescent="0.2">
      <c r="A96" s="16"/>
      <c r="B96" s="13"/>
      <c r="C96" s="13"/>
      <c r="D96" s="13"/>
      <c r="E96" s="13"/>
      <c r="F96" s="13"/>
      <c r="G96" s="13"/>
      <c r="H96" s="13"/>
      <c r="I96" s="13"/>
      <c r="J96" s="13"/>
      <c r="K96" s="17"/>
    </row>
    <row r="97" spans="1:11" x14ac:dyDescent="0.2">
      <c r="A97" s="18" t="s">
        <v>34</v>
      </c>
      <c r="B97" s="13"/>
      <c r="C97" s="13"/>
      <c r="D97" s="13"/>
      <c r="E97" s="13"/>
      <c r="F97" s="13"/>
      <c r="G97" s="13"/>
      <c r="H97" s="13"/>
      <c r="I97" s="13"/>
      <c r="J97" s="13"/>
      <c r="K97" s="17"/>
    </row>
    <row r="98" spans="1:11" x14ac:dyDescent="0.2">
      <c r="A98" s="16" t="s">
        <v>16</v>
      </c>
      <c r="B98" s="13">
        <v>706.68960440000001</v>
      </c>
      <c r="C98" s="13">
        <v>1599.9086167800001</v>
      </c>
      <c r="D98" s="13">
        <v>4069.7621008000001</v>
      </c>
      <c r="E98" s="13">
        <v>3980.7399212</v>
      </c>
      <c r="F98" s="13">
        <v>1515.23003262</v>
      </c>
      <c r="G98" s="13">
        <v>3406.8583698699999</v>
      </c>
      <c r="H98" s="13">
        <v>1879.0762360900001</v>
      </c>
      <c r="I98" s="13">
        <v>1023.93106545</v>
      </c>
      <c r="J98" s="13">
        <v>6555.9889687200002</v>
      </c>
      <c r="K98" s="14">
        <f>SUM(B98:J98)</f>
        <v>24738.184915930004</v>
      </c>
    </row>
    <row r="99" spans="1:11" x14ac:dyDescent="0.2">
      <c r="A99" s="16" t="s">
        <v>17</v>
      </c>
      <c r="B99" s="13">
        <f>19.13148201+231.94054896</f>
        <v>251.07203097000001</v>
      </c>
      <c r="C99" s="13">
        <f>'1997'!C60+'1997'!C61</f>
        <v>874</v>
      </c>
      <c r="D99" s="13">
        <f>'1997'!D60+'1997'!D61</f>
        <v>1264.18404489</v>
      </c>
      <c r="E99" s="13">
        <f>'1997'!E60+'1997'!E61</f>
        <v>2290.4700000000003</v>
      </c>
      <c r="F99" s="13">
        <f>'1997'!F60+'1997'!F61</f>
        <v>564.09</v>
      </c>
      <c r="G99" s="13">
        <f>'1997'!G60+'1997'!G61</f>
        <v>1599</v>
      </c>
      <c r="H99" s="13">
        <f>'1997'!H60+'1997'!H61</f>
        <v>1065.527</v>
      </c>
      <c r="I99" s="13">
        <f>'1997'!I60+'1997'!I61</f>
        <v>481.11884659999998</v>
      </c>
      <c r="J99" s="13">
        <f>'1997'!J60+'1997'!J61</f>
        <v>1440.3005175000001</v>
      </c>
      <c r="K99" s="14">
        <f>SUM(B99:J99)</f>
        <v>9829.7624399600008</v>
      </c>
    </row>
    <row r="100" spans="1:11" x14ac:dyDescent="0.2">
      <c r="A100" s="21" t="s">
        <v>18</v>
      </c>
      <c r="B100" s="19">
        <f>B98+B99</f>
        <v>957.76163537000002</v>
      </c>
      <c r="C100" s="19">
        <f t="shared" ref="C100:J100" si="17">C98+C99</f>
        <v>2473.9086167800001</v>
      </c>
      <c r="D100" s="19">
        <f t="shared" si="17"/>
        <v>5333.9461456899999</v>
      </c>
      <c r="E100" s="19">
        <f t="shared" si="17"/>
        <v>6271.2099212000003</v>
      </c>
      <c r="F100" s="19">
        <f t="shared" si="17"/>
        <v>2079.3200326199999</v>
      </c>
      <c r="G100" s="19">
        <f t="shared" si="17"/>
        <v>5005.8583698700004</v>
      </c>
      <c r="H100" s="19">
        <f t="shared" si="17"/>
        <v>2944.6032360899999</v>
      </c>
      <c r="I100" s="19">
        <f t="shared" si="17"/>
        <v>1505.0499120499999</v>
      </c>
      <c r="J100" s="19">
        <f t="shared" si="17"/>
        <v>7996.2894862200001</v>
      </c>
      <c r="K100" s="20">
        <f>SUM(B100:J100)</f>
        <v>34567.947355889999</v>
      </c>
    </row>
    <row r="103" spans="1:11" x14ac:dyDescent="0.2">
      <c r="A103" s="1" t="s">
        <v>35</v>
      </c>
    </row>
    <row r="104" spans="1:11" x14ac:dyDescent="0.2">
      <c r="A104" s="1" t="s">
        <v>36</v>
      </c>
    </row>
    <row r="105" spans="1:11" x14ac:dyDescent="0.2">
      <c r="A105" s="1" t="s">
        <v>37</v>
      </c>
    </row>
    <row r="106" spans="1:11" x14ac:dyDescent="0.2">
      <c r="A106" s="1" t="s">
        <v>38</v>
      </c>
    </row>
    <row r="107" spans="1:11" x14ac:dyDescent="0.2">
      <c r="A107"/>
    </row>
    <row r="108" spans="1:11" x14ac:dyDescent="0.2">
      <c r="A108"/>
    </row>
  </sheetData>
  <phoneticPr fontId="0" type="noConversion"/>
  <printOptions horizontalCentered="1" verticalCentered="1"/>
  <pageMargins left="0.47" right="0.46" top="0.51" bottom="0.79" header="0.51181102362204722" footer="0.37"/>
  <pageSetup paperSize="9" scale="95" orientation="landscape" horizontalDpi="4294967292" verticalDpi="300" r:id="rId1"/>
  <headerFooter alignWithMargins="0">
    <oddFooter>&amp;R&amp;F, &amp;A, &amp;P, &amp;D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109"/>
  <sheetViews>
    <sheetView workbookViewId="0">
      <pane xSplit="1" ySplit="4" topLeftCell="B5" activePane="bottomRight" state="frozenSplit"/>
      <selection activeCell="B5" sqref="B5"/>
      <selection pane="topRight" activeCell="B5" sqref="B5"/>
      <selection pane="bottomLeft" activeCell="B5" sqref="B5"/>
      <selection pane="bottomRight" activeCell="B5" sqref="B5"/>
    </sheetView>
  </sheetViews>
  <sheetFormatPr baseColWidth="10" defaultRowHeight="12.75" x14ac:dyDescent="0.2"/>
  <cols>
    <col min="1" max="1" width="41.28515625" style="1" customWidth="1"/>
    <col min="2" max="2" width="10.5703125" style="54" customWidth="1"/>
    <col min="3" max="10" width="11.42578125" style="3"/>
    <col min="11" max="11" width="11.42578125" style="33"/>
    <col min="12" max="16384" width="11.42578125" style="1"/>
  </cols>
  <sheetData>
    <row r="1" spans="1:11" x14ac:dyDescent="0.2">
      <c r="A1" s="2" t="s">
        <v>145</v>
      </c>
    </row>
    <row r="2" spans="1:11" x14ac:dyDescent="0.2">
      <c r="A2" s="1" t="s">
        <v>156</v>
      </c>
    </row>
    <row r="4" spans="1:11" s="3" customFormat="1" x14ac:dyDescent="0.2">
      <c r="A4" s="5"/>
      <c r="B4" s="54" t="s">
        <v>3</v>
      </c>
      <c r="C4" s="3" t="s">
        <v>4</v>
      </c>
      <c r="D4" s="3" t="s">
        <v>5</v>
      </c>
      <c r="E4" s="3" t="s">
        <v>6</v>
      </c>
      <c r="F4" s="3" t="s">
        <v>7</v>
      </c>
      <c r="G4" s="3" t="s">
        <v>8</v>
      </c>
      <c r="H4" s="3" t="s">
        <v>9</v>
      </c>
      <c r="I4" s="3" t="s">
        <v>10</v>
      </c>
      <c r="J4" s="3" t="s">
        <v>11</v>
      </c>
      <c r="K4" s="33" t="s">
        <v>12</v>
      </c>
    </row>
    <row r="6" spans="1:11" ht="15.75" x14ac:dyDescent="0.25">
      <c r="A6" s="6" t="s">
        <v>42</v>
      </c>
    </row>
    <row r="8" spans="1:11" x14ac:dyDescent="0.2">
      <c r="A8" s="2" t="s">
        <v>13</v>
      </c>
    </row>
    <row r="10" spans="1:11" x14ac:dyDescent="0.2">
      <c r="A10" s="1" t="s">
        <v>72</v>
      </c>
      <c r="B10" s="55">
        <v>46.423237999999998</v>
      </c>
      <c r="C10" s="55">
        <v>77.010000000000005</v>
      </c>
      <c r="D10" s="55">
        <v>327.19489141000003</v>
      </c>
      <c r="E10" s="55">
        <v>156.85</v>
      </c>
      <c r="F10" s="55">
        <v>33.17062</v>
      </c>
      <c r="G10" s="55">
        <v>25.96</v>
      </c>
      <c r="H10" s="55">
        <v>146.71199999999999</v>
      </c>
      <c r="I10" s="55">
        <v>90.639717610000005</v>
      </c>
      <c r="J10" s="55">
        <v>144.98975802000001</v>
      </c>
      <c r="K10" s="41">
        <f t="shared" ref="K10:K15" si="0">SUM(B10:J10)</f>
        <v>1048.9502250400001</v>
      </c>
    </row>
    <row r="11" spans="1:11" x14ac:dyDescent="0.2">
      <c r="A11" s="1" t="s">
        <v>104</v>
      </c>
      <c r="B11" s="55"/>
      <c r="C11" s="55">
        <v>0.14000000000000001</v>
      </c>
      <c r="D11" s="55"/>
      <c r="E11" s="55"/>
      <c r="F11" s="55">
        <v>87.801689999999994</v>
      </c>
      <c r="G11" s="55">
        <v>171.69</v>
      </c>
      <c r="H11" s="55"/>
      <c r="I11" s="55">
        <v>6.7005539299999999</v>
      </c>
      <c r="J11" s="55"/>
      <c r="K11" s="41">
        <f t="shared" si="0"/>
        <v>266.33224393</v>
      </c>
    </row>
    <row r="12" spans="1:11" x14ac:dyDescent="0.2">
      <c r="A12" s="1" t="s">
        <v>109</v>
      </c>
      <c r="B12" s="55">
        <v>4.6931190000000003</v>
      </c>
      <c r="C12" s="55">
        <v>5.6</v>
      </c>
      <c r="D12" s="55">
        <v>91.401167760000007</v>
      </c>
      <c r="E12" s="55">
        <v>41.64</v>
      </c>
      <c r="F12" s="55">
        <v>0.35519400000000001</v>
      </c>
      <c r="G12" s="55">
        <v>7.56</v>
      </c>
      <c r="H12" s="55">
        <v>12.013</v>
      </c>
      <c r="I12" s="55"/>
      <c r="J12" s="55">
        <v>43.561456720000002</v>
      </c>
      <c r="K12" s="41">
        <f t="shared" si="0"/>
        <v>206.82393748000001</v>
      </c>
    </row>
    <row r="13" spans="1:11" x14ac:dyDescent="0.2">
      <c r="A13" t="s">
        <v>69</v>
      </c>
      <c r="B13" s="55"/>
      <c r="C13" s="55"/>
      <c r="D13" s="55">
        <v>23.82099345</v>
      </c>
      <c r="E13" s="55">
        <v>6.48</v>
      </c>
      <c r="F13" s="55">
        <v>2.3747750000000001</v>
      </c>
      <c r="G13" s="55">
        <v>0.63</v>
      </c>
      <c r="H13" s="55">
        <v>18.138999999999999</v>
      </c>
      <c r="I13" s="55">
        <v>2.5018178299999998</v>
      </c>
      <c r="J13" s="55">
        <v>49.5139973</v>
      </c>
      <c r="K13" s="41">
        <f t="shared" si="0"/>
        <v>103.46058357999999</v>
      </c>
    </row>
    <row r="14" spans="1:11" x14ac:dyDescent="0.2">
      <c r="A14" s="1" t="s">
        <v>70</v>
      </c>
      <c r="B14" s="55"/>
      <c r="C14" s="55"/>
      <c r="D14" s="55"/>
      <c r="E14" s="55"/>
      <c r="F14" s="55"/>
      <c r="G14" s="55"/>
      <c r="H14" s="55"/>
      <c r="I14" s="55"/>
      <c r="J14" s="55"/>
      <c r="K14" s="41">
        <f t="shared" si="0"/>
        <v>0</v>
      </c>
    </row>
    <row r="15" spans="1:11" x14ac:dyDescent="0.2">
      <c r="A15" s="1" t="s">
        <v>71</v>
      </c>
      <c r="B15" s="55">
        <v>0.20331611999999999</v>
      </c>
      <c r="C15" s="55">
        <v>8.3699999999999992</v>
      </c>
      <c r="D15" s="55">
        <f>2.32685868+4.20011726</f>
        <v>6.5269759399999998</v>
      </c>
      <c r="E15" s="55">
        <f>7.11+50.21</f>
        <v>57.32</v>
      </c>
      <c r="F15" s="55">
        <v>6.852392</v>
      </c>
      <c r="G15" s="55">
        <v>18.59</v>
      </c>
      <c r="H15" s="55">
        <v>9.7530000000000001</v>
      </c>
      <c r="I15" s="55">
        <f>0.79445833+11.74364564</f>
        <v>12.53810397</v>
      </c>
      <c r="J15" s="55">
        <v>43.630187579999998</v>
      </c>
      <c r="K15" s="41">
        <f t="shared" si="0"/>
        <v>163.78397560999997</v>
      </c>
    </row>
    <row r="16" spans="1:11" x14ac:dyDescent="0.2">
      <c r="B16" s="55"/>
      <c r="C16" s="55"/>
      <c r="D16" s="55"/>
      <c r="E16" s="55"/>
      <c r="F16" s="55"/>
      <c r="G16" s="55"/>
      <c r="H16" s="55"/>
      <c r="I16" s="55"/>
      <c r="J16" s="55"/>
      <c r="K16" s="41"/>
    </row>
    <row r="17" spans="1:256" s="28" customFormat="1" x14ac:dyDescent="0.2">
      <c r="A17" s="28" t="s">
        <v>12</v>
      </c>
      <c r="B17" s="56">
        <f t="shared" ref="B17:J17" si="1">SUM(B10:B15)</f>
        <v>51.319673119999997</v>
      </c>
      <c r="C17" s="42">
        <f t="shared" si="1"/>
        <v>91.12</v>
      </c>
      <c r="D17" s="42">
        <f t="shared" si="1"/>
        <v>448.94402856000005</v>
      </c>
      <c r="E17" s="42">
        <f t="shared" si="1"/>
        <v>262.29000000000002</v>
      </c>
      <c r="F17" s="42">
        <f t="shared" si="1"/>
        <v>130.55467099999998</v>
      </c>
      <c r="G17" s="42">
        <f t="shared" si="1"/>
        <v>224.43</v>
      </c>
      <c r="H17" s="42">
        <f t="shared" si="1"/>
        <v>186.61700000000002</v>
      </c>
      <c r="I17" s="42">
        <f t="shared" si="1"/>
        <v>112.38019333999999</v>
      </c>
      <c r="J17" s="42">
        <f t="shared" si="1"/>
        <v>281.69539961999999</v>
      </c>
      <c r="K17" s="42">
        <f>SUM(B17:J17)</f>
        <v>1789.3509656399999</v>
      </c>
    </row>
    <row r="18" spans="1:256" x14ac:dyDescent="0.2">
      <c r="B18" s="55"/>
      <c r="C18" s="32"/>
      <c r="D18" s="32"/>
      <c r="E18" s="32"/>
      <c r="F18" s="32"/>
      <c r="G18" s="32"/>
      <c r="H18" s="32"/>
      <c r="I18" s="32"/>
      <c r="J18" s="32"/>
      <c r="K18" s="41"/>
    </row>
    <row r="19" spans="1:256" x14ac:dyDescent="0.2">
      <c r="B19" s="55"/>
      <c r="C19" s="32"/>
      <c r="D19" s="32"/>
      <c r="E19" s="32"/>
      <c r="F19" s="32"/>
      <c r="G19" s="32"/>
      <c r="H19" s="32"/>
      <c r="I19" s="32"/>
      <c r="J19" s="32"/>
      <c r="K19" s="41"/>
    </row>
    <row r="20" spans="1:256" x14ac:dyDescent="0.2">
      <c r="A20" s="2" t="s">
        <v>14</v>
      </c>
      <c r="B20" s="55"/>
      <c r="C20" s="32"/>
      <c r="D20" s="32"/>
      <c r="E20" s="32"/>
      <c r="F20" s="32"/>
      <c r="G20" s="32"/>
      <c r="H20" s="32"/>
      <c r="I20" s="32"/>
      <c r="J20" s="32"/>
      <c r="K20" s="41"/>
    </row>
    <row r="21" spans="1:256" x14ac:dyDescent="0.2">
      <c r="B21" s="55"/>
      <c r="C21" s="32"/>
      <c r="D21" s="32"/>
      <c r="E21" s="32"/>
      <c r="F21" s="32"/>
      <c r="G21" s="32"/>
      <c r="H21" s="32"/>
      <c r="I21" s="32"/>
      <c r="J21" s="32"/>
      <c r="K21" s="41"/>
    </row>
    <row r="22" spans="1:256" x14ac:dyDescent="0.2">
      <c r="A22" s="1" t="s">
        <v>72</v>
      </c>
      <c r="B22" s="55">
        <v>13.22064</v>
      </c>
      <c r="C22" s="55"/>
      <c r="D22" s="55">
        <v>13.852212</v>
      </c>
      <c r="E22" s="55">
        <v>2.31</v>
      </c>
      <c r="F22" s="55">
        <v>4.0853849999999996</v>
      </c>
      <c r="G22" s="55">
        <v>20.190000000000001</v>
      </c>
      <c r="H22" s="55"/>
      <c r="I22" s="55"/>
      <c r="J22" s="55">
        <v>23.009370799999999</v>
      </c>
      <c r="K22" s="41">
        <f t="shared" ref="K22:K27" si="2">SUM(B22:J22)</f>
        <v>76.667607799999999</v>
      </c>
    </row>
    <row r="23" spans="1:256" x14ac:dyDescent="0.2">
      <c r="A23" s="1" t="s">
        <v>104</v>
      </c>
      <c r="B23" s="55"/>
      <c r="C23" s="55"/>
      <c r="D23" s="55"/>
      <c r="E23" s="55"/>
      <c r="F23" s="55"/>
      <c r="G23" s="55">
        <v>5.33</v>
      </c>
      <c r="H23" s="55"/>
      <c r="I23" s="55"/>
      <c r="J23" s="55"/>
      <c r="K23" s="41">
        <f t="shared" si="2"/>
        <v>5.33</v>
      </c>
    </row>
    <row r="24" spans="1:256" x14ac:dyDescent="0.2">
      <c r="A24" s="1" t="s">
        <v>109</v>
      </c>
      <c r="B24" s="55"/>
      <c r="C24" s="55"/>
      <c r="D24" s="55">
        <v>44.084671849999999</v>
      </c>
      <c r="E24" s="55">
        <v>41.7</v>
      </c>
      <c r="F24" s="55">
        <v>6.2318309999999997</v>
      </c>
      <c r="G24" s="55">
        <v>72.25</v>
      </c>
      <c r="H24" s="55">
        <v>15.324999999999999</v>
      </c>
      <c r="I24" s="55">
        <v>22.373043289999998</v>
      </c>
      <c r="J24" s="55">
        <v>93.846715130000007</v>
      </c>
      <c r="K24" s="41">
        <f t="shared" si="2"/>
        <v>295.81126126999999</v>
      </c>
    </row>
    <row r="25" spans="1:256" x14ac:dyDescent="0.2">
      <c r="A25" t="s">
        <v>69</v>
      </c>
      <c r="B25" s="55"/>
      <c r="C25" s="55">
        <v>17.82</v>
      </c>
      <c r="D25" s="55">
        <v>1.3437999700000001</v>
      </c>
      <c r="E25" s="55"/>
      <c r="F25" s="55">
        <v>0.41098200000000001</v>
      </c>
      <c r="G25" s="55">
        <v>0.16</v>
      </c>
      <c r="H25" s="55">
        <v>8.2780000000000005</v>
      </c>
      <c r="I25" s="55">
        <v>3.2744759999999999</v>
      </c>
      <c r="J25" s="55">
        <v>66.624821420000004</v>
      </c>
      <c r="K25" s="41">
        <f t="shared" si="2"/>
        <v>97.912079390000002</v>
      </c>
    </row>
    <row r="26" spans="1:256" x14ac:dyDescent="0.2">
      <c r="A26" s="1" t="s">
        <v>70</v>
      </c>
      <c r="B26" s="55">
        <v>7.3310000000000001E-5</v>
      </c>
      <c r="C26" s="55"/>
      <c r="D26" s="55"/>
      <c r="E26" s="55"/>
      <c r="F26" s="55"/>
      <c r="G26" s="55"/>
      <c r="H26" s="55">
        <v>1.0999999999999999E-2</v>
      </c>
      <c r="I26" s="55"/>
      <c r="J26" s="55">
        <v>0.24348205000000001</v>
      </c>
      <c r="K26" s="41">
        <f t="shared" si="2"/>
        <v>0.25455536000000001</v>
      </c>
    </row>
    <row r="27" spans="1:256" x14ac:dyDescent="0.2">
      <c r="A27" s="1" t="s">
        <v>71</v>
      </c>
      <c r="B27" s="55"/>
      <c r="C27" s="55"/>
      <c r="D27" s="55">
        <f>0.75416904+0.56660775</f>
        <v>1.32077679</v>
      </c>
      <c r="E27" s="55">
        <f>0.2+0.31</f>
        <v>0.51</v>
      </c>
      <c r="F27" s="55"/>
      <c r="G27" s="55">
        <v>19.989999999999998</v>
      </c>
      <c r="H27" s="55">
        <v>0.02</v>
      </c>
      <c r="I27" s="55"/>
      <c r="J27" s="55">
        <v>5.0341729500000003</v>
      </c>
      <c r="K27" s="41">
        <f t="shared" si="2"/>
        <v>26.874949739999998</v>
      </c>
    </row>
    <row r="28" spans="1:256" x14ac:dyDescent="0.2">
      <c r="B28" s="55"/>
      <c r="C28" s="32"/>
      <c r="D28" s="32"/>
      <c r="E28" s="32"/>
      <c r="F28" s="32"/>
      <c r="G28" s="32"/>
      <c r="H28" s="32"/>
      <c r="I28" s="32"/>
      <c r="J28" s="32"/>
      <c r="K28" s="41"/>
    </row>
    <row r="29" spans="1:256" s="28" customFormat="1" x14ac:dyDescent="0.2">
      <c r="A29" s="28" t="s">
        <v>12</v>
      </c>
      <c r="B29" s="56">
        <f t="shared" ref="B29:J29" si="3">SUM(B22:B27)</f>
        <v>13.220713309999999</v>
      </c>
      <c r="C29" s="42">
        <f t="shared" si="3"/>
        <v>17.82</v>
      </c>
      <c r="D29" s="42">
        <f t="shared" si="3"/>
        <v>60.601460610000004</v>
      </c>
      <c r="E29" s="42">
        <f t="shared" si="3"/>
        <v>44.52</v>
      </c>
      <c r="F29" s="42">
        <f t="shared" si="3"/>
        <v>10.728197999999999</v>
      </c>
      <c r="G29" s="42">
        <f t="shared" si="3"/>
        <v>117.92</v>
      </c>
      <c r="H29" s="42">
        <f t="shared" si="3"/>
        <v>23.634</v>
      </c>
      <c r="I29" s="42">
        <f t="shared" si="3"/>
        <v>25.647519289999998</v>
      </c>
      <c r="J29" s="42">
        <f t="shared" si="3"/>
        <v>188.75856235000001</v>
      </c>
      <c r="K29" s="42">
        <f>SUM(B29:J29)</f>
        <v>502.85045356000001</v>
      </c>
    </row>
    <row r="30" spans="1:256" x14ac:dyDescent="0.2">
      <c r="B30" s="55"/>
      <c r="C30" s="32"/>
      <c r="D30" s="32"/>
      <c r="E30" s="32"/>
      <c r="F30" s="32"/>
      <c r="G30" s="32"/>
      <c r="H30" s="32"/>
      <c r="I30" s="32"/>
      <c r="J30" s="32"/>
      <c r="K30" s="41"/>
    </row>
    <row r="31" spans="1:256" s="34" customFormat="1" x14ac:dyDescent="0.2">
      <c r="A31" s="34" t="s">
        <v>43</v>
      </c>
      <c r="B31" s="57">
        <f t="shared" ref="B31:J31" si="4">B17+B29</f>
        <v>64.540386429999998</v>
      </c>
      <c r="C31" s="41">
        <f t="shared" si="4"/>
        <v>108.94</v>
      </c>
      <c r="D31" s="41">
        <f t="shared" si="4"/>
        <v>509.54548917000005</v>
      </c>
      <c r="E31" s="41">
        <f t="shared" si="4"/>
        <v>306.81</v>
      </c>
      <c r="F31" s="41">
        <f t="shared" si="4"/>
        <v>141.28286899999998</v>
      </c>
      <c r="G31" s="41">
        <f t="shared" si="4"/>
        <v>342.35</v>
      </c>
      <c r="H31" s="41">
        <f t="shared" si="4"/>
        <v>210.25100000000003</v>
      </c>
      <c r="I31" s="41">
        <f t="shared" si="4"/>
        <v>138.02771263</v>
      </c>
      <c r="J31" s="41">
        <f t="shared" si="4"/>
        <v>470.45396197000002</v>
      </c>
      <c r="K31" s="41">
        <f>SUM(B31:J31)</f>
        <v>2292.2014191999997</v>
      </c>
    </row>
    <row r="32" spans="1:256" x14ac:dyDescent="0.2">
      <c r="B32" s="55"/>
      <c r="C32" s="32"/>
      <c r="D32" s="32"/>
      <c r="E32" s="32"/>
      <c r="F32" s="32"/>
      <c r="G32" s="32"/>
      <c r="H32" s="32"/>
      <c r="I32" s="32"/>
      <c r="J32" s="32"/>
      <c r="K32" s="32"/>
      <c r="L32" s="32"/>
      <c r="M32" s="32"/>
      <c r="N32" s="32"/>
      <c r="O32" s="32"/>
      <c r="P32" s="32"/>
      <c r="Q32" s="32"/>
      <c r="R32" s="32"/>
      <c r="S32" s="32"/>
      <c r="T32" s="32"/>
      <c r="U32" s="32"/>
      <c r="V32" s="32"/>
      <c r="W32" s="32"/>
      <c r="X32" s="32"/>
      <c r="Y32" s="32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2"/>
      <c r="AK32" s="32"/>
      <c r="AL32" s="32"/>
      <c r="AM32" s="32"/>
      <c r="AN32" s="32"/>
      <c r="AO32" s="32"/>
      <c r="AP32" s="32"/>
      <c r="AQ32" s="32"/>
      <c r="AR32" s="32"/>
      <c r="AS32" s="32"/>
      <c r="AT32" s="32"/>
      <c r="AU32" s="32"/>
      <c r="AV32" s="32"/>
      <c r="AW32" s="32"/>
      <c r="AX32" s="32"/>
      <c r="AY32" s="32"/>
      <c r="AZ32" s="32"/>
      <c r="BA32" s="32"/>
      <c r="BB32" s="32"/>
      <c r="BC32" s="32"/>
      <c r="BD32" s="32"/>
      <c r="BE32" s="32"/>
      <c r="BF32" s="32"/>
      <c r="BG32" s="32"/>
      <c r="BH32" s="32"/>
      <c r="BI32" s="32"/>
      <c r="BJ32" s="32"/>
      <c r="BK32" s="32"/>
      <c r="BL32" s="32"/>
      <c r="BM32" s="32"/>
      <c r="BN32" s="32"/>
      <c r="BO32" s="32"/>
      <c r="BP32" s="32"/>
      <c r="BQ32" s="32"/>
      <c r="BR32" s="32"/>
      <c r="BS32" s="32"/>
      <c r="BT32" s="32"/>
      <c r="BU32" s="32"/>
      <c r="BV32" s="32"/>
      <c r="BW32" s="32"/>
      <c r="BX32" s="32"/>
      <c r="BY32" s="32"/>
      <c r="BZ32" s="32"/>
      <c r="CA32" s="32"/>
      <c r="CB32" s="32"/>
      <c r="CC32" s="32"/>
      <c r="CD32" s="32"/>
      <c r="CE32" s="32"/>
      <c r="CF32" s="32"/>
      <c r="CG32" s="32"/>
      <c r="CH32" s="32"/>
      <c r="CI32" s="32"/>
      <c r="CJ32" s="32"/>
      <c r="CK32" s="32"/>
      <c r="CL32" s="32"/>
      <c r="CM32" s="32"/>
      <c r="CN32" s="32"/>
      <c r="CO32" s="32"/>
      <c r="CP32" s="32"/>
      <c r="CQ32" s="32"/>
      <c r="CR32" s="32"/>
      <c r="CS32" s="32"/>
      <c r="CT32" s="32"/>
      <c r="CU32" s="32"/>
      <c r="CV32" s="32"/>
      <c r="CW32" s="32"/>
      <c r="CX32" s="32"/>
      <c r="CY32" s="32"/>
      <c r="CZ32" s="32"/>
      <c r="DA32" s="32"/>
      <c r="DB32" s="32"/>
      <c r="DC32" s="32"/>
      <c r="DD32" s="32"/>
      <c r="DE32" s="32"/>
      <c r="DF32" s="32"/>
      <c r="DG32" s="32"/>
      <c r="DH32" s="32"/>
      <c r="DI32" s="32"/>
      <c r="DJ32" s="32"/>
      <c r="DK32" s="32"/>
      <c r="DL32" s="32"/>
      <c r="DM32" s="32"/>
      <c r="DN32" s="32"/>
      <c r="DO32" s="32"/>
      <c r="DP32" s="32"/>
      <c r="DQ32" s="32"/>
      <c r="DR32" s="32"/>
      <c r="DS32" s="32"/>
      <c r="DT32" s="32"/>
      <c r="DU32" s="32"/>
      <c r="DV32" s="32"/>
      <c r="DW32" s="32"/>
      <c r="DX32" s="32"/>
      <c r="DY32" s="32"/>
      <c r="DZ32" s="32"/>
      <c r="EA32" s="32"/>
      <c r="EB32" s="32"/>
      <c r="EC32" s="32"/>
      <c r="ED32" s="32"/>
      <c r="EE32" s="32"/>
      <c r="EF32" s="32"/>
      <c r="EG32" s="32"/>
      <c r="EH32" s="32"/>
      <c r="EI32" s="32"/>
      <c r="EJ32" s="32"/>
      <c r="EK32" s="32"/>
      <c r="EL32" s="32"/>
      <c r="EM32" s="32"/>
      <c r="EN32" s="32"/>
      <c r="EO32" s="32"/>
      <c r="EP32" s="32"/>
      <c r="EQ32" s="32"/>
      <c r="ER32" s="32"/>
      <c r="ES32" s="32"/>
      <c r="ET32" s="32"/>
      <c r="EU32" s="32"/>
      <c r="EV32" s="32"/>
      <c r="EW32" s="32"/>
      <c r="EX32" s="32"/>
      <c r="EY32" s="32"/>
      <c r="EZ32" s="32"/>
      <c r="FA32" s="32"/>
      <c r="FB32" s="32"/>
      <c r="FC32" s="32"/>
      <c r="FD32" s="32"/>
      <c r="FE32" s="32"/>
      <c r="FF32" s="32"/>
      <c r="FG32" s="32"/>
      <c r="FH32" s="32"/>
      <c r="FI32" s="32"/>
      <c r="FJ32" s="32"/>
      <c r="FK32" s="32"/>
      <c r="FL32" s="32"/>
      <c r="FM32" s="32"/>
      <c r="FN32" s="32"/>
      <c r="FO32" s="32"/>
      <c r="FP32" s="32"/>
      <c r="FQ32" s="32"/>
      <c r="FR32" s="32"/>
      <c r="FS32" s="32"/>
      <c r="FT32" s="32"/>
      <c r="FU32" s="32"/>
      <c r="FV32" s="32"/>
      <c r="FW32" s="32"/>
      <c r="FX32" s="32"/>
      <c r="FY32" s="32"/>
      <c r="FZ32" s="32"/>
      <c r="GA32" s="32"/>
      <c r="GB32" s="32"/>
      <c r="GC32" s="32"/>
      <c r="GD32" s="32"/>
      <c r="GE32" s="32"/>
      <c r="GF32" s="32"/>
      <c r="GG32" s="32"/>
      <c r="GH32" s="32"/>
      <c r="GI32" s="32"/>
      <c r="GJ32" s="32"/>
      <c r="GK32" s="32"/>
      <c r="GL32" s="32"/>
      <c r="GM32" s="32"/>
      <c r="GN32" s="32"/>
      <c r="GO32" s="32"/>
      <c r="GP32" s="32"/>
      <c r="GQ32" s="32"/>
      <c r="GR32" s="32"/>
      <c r="GS32" s="32"/>
      <c r="GT32" s="32"/>
      <c r="GU32" s="32"/>
      <c r="GV32" s="32"/>
      <c r="GW32" s="32"/>
      <c r="GX32" s="32"/>
      <c r="GY32" s="32"/>
      <c r="GZ32" s="32"/>
      <c r="HA32" s="32"/>
      <c r="HB32" s="32"/>
      <c r="HC32" s="32"/>
      <c r="HD32" s="32"/>
      <c r="HE32" s="32"/>
      <c r="HF32" s="32"/>
      <c r="HG32" s="32"/>
      <c r="HH32" s="32"/>
      <c r="HI32" s="32"/>
      <c r="HJ32" s="32"/>
      <c r="HK32" s="32"/>
      <c r="HL32" s="32"/>
      <c r="HM32" s="32"/>
      <c r="HN32" s="32"/>
      <c r="HO32" s="32"/>
      <c r="HP32" s="32"/>
      <c r="HQ32" s="32"/>
      <c r="HR32" s="32"/>
      <c r="HS32" s="32"/>
      <c r="HT32" s="32"/>
      <c r="HU32" s="32"/>
      <c r="HV32" s="32"/>
      <c r="HW32" s="32"/>
      <c r="HX32" s="32"/>
      <c r="HY32" s="32"/>
      <c r="HZ32" s="32"/>
      <c r="IA32" s="32"/>
      <c r="IB32" s="32"/>
      <c r="IC32" s="32"/>
      <c r="ID32" s="32"/>
      <c r="IE32" s="32"/>
      <c r="IF32" s="32"/>
      <c r="IG32" s="32"/>
      <c r="IH32" s="32"/>
      <c r="II32" s="32"/>
      <c r="IJ32" s="32"/>
      <c r="IK32" s="32"/>
      <c r="IL32" s="32"/>
      <c r="IM32" s="32"/>
      <c r="IN32" s="32"/>
      <c r="IO32" s="32"/>
      <c r="IP32" s="32"/>
      <c r="IQ32" s="32"/>
      <c r="IR32" s="32"/>
      <c r="IS32" s="32"/>
      <c r="IT32" s="32"/>
      <c r="IU32" s="32"/>
      <c r="IV32" s="32"/>
    </row>
    <row r="33" spans="1:11" x14ac:dyDescent="0.2">
      <c r="B33" s="55"/>
      <c r="C33" s="32"/>
      <c r="D33" s="32"/>
      <c r="E33" s="32"/>
      <c r="F33" s="32"/>
      <c r="G33" s="32"/>
      <c r="H33" s="32"/>
      <c r="I33" s="32"/>
      <c r="J33" s="32"/>
      <c r="K33" s="41"/>
    </row>
    <row r="34" spans="1:11" ht="15" customHeight="1" x14ac:dyDescent="0.25">
      <c r="A34" s="6" t="s">
        <v>44</v>
      </c>
      <c r="B34" s="55"/>
      <c r="C34" s="32"/>
      <c r="D34" s="32"/>
      <c r="E34" s="32"/>
      <c r="F34" s="32"/>
      <c r="G34" s="32"/>
      <c r="H34" s="32"/>
      <c r="I34" s="32"/>
      <c r="J34" s="32"/>
      <c r="K34" s="41"/>
    </row>
    <row r="35" spans="1:11" ht="12" customHeight="1" x14ac:dyDescent="0.2">
      <c r="B35" s="55"/>
      <c r="C35" s="32"/>
      <c r="D35" s="32"/>
      <c r="E35" s="32"/>
      <c r="F35" s="32"/>
      <c r="G35" s="32"/>
      <c r="H35" s="32"/>
      <c r="I35" s="32"/>
      <c r="J35" s="32"/>
      <c r="K35" s="41"/>
    </row>
    <row r="36" spans="1:11" ht="12" customHeight="1" x14ac:dyDescent="0.2">
      <c r="A36" s="2" t="s">
        <v>73</v>
      </c>
      <c r="B36" s="55"/>
      <c r="C36" s="32"/>
      <c r="D36" s="32"/>
      <c r="E36" s="32"/>
      <c r="F36" s="32"/>
      <c r="G36" s="32"/>
      <c r="H36" s="32"/>
      <c r="I36" s="32"/>
      <c r="J36" s="32"/>
      <c r="K36" s="41"/>
    </row>
    <row r="37" spans="1:11" ht="12" customHeight="1" x14ac:dyDescent="0.2">
      <c r="B37" s="55"/>
      <c r="C37" s="32"/>
      <c r="D37" s="32"/>
      <c r="E37" s="32"/>
      <c r="F37" s="32"/>
      <c r="G37" s="42"/>
      <c r="H37" s="32"/>
      <c r="I37" s="32"/>
      <c r="J37" s="32"/>
      <c r="K37" s="41"/>
    </row>
    <row r="38" spans="1:11" ht="12" customHeight="1" x14ac:dyDescent="0.2">
      <c r="A38" s="1" t="s">
        <v>74</v>
      </c>
      <c r="B38" s="55">
        <v>28.14874</v>
      </c>
      <c r="C38" s="55">
        <v>81.41</v>
      </c>
      <c r="D38" s="55">
        <v>494.47968227000001</v>
      </c>
      <c r="E38" s="55">
        <v>250.63</v>
      </c>
      <c r="F38" s="55">
        <v>38.215522999999997</v>
      </c>
      <c r="G38" s="55">
        <v>38.93</v>
      </c>
      <c r="H38" s="55">
        <v>90.028999999999996</v>
      </c>
      <c r="I38" s="55"/>
      <c r="J38" s="55">
        <v>274.70450345</v>
      </c>
      <c r="K38" s="41">
        <f t="shared" ref="K38:K45" si="5">SUM(B38:J38)</f>
        <v>1296.5474487199999</v>
      </c>
    </row>
    <row r="39" spans="1:11" ht="12" customHeight="1" x14ac:dyDescent="0.2">
      <c r="A39" s="1" t="s">
        <v>75</v>
      </c>
      <c r="B39" s="55">
        <v>13.086119999999999</v>
      </c>
      <c r="C39" s="55"/>
      <c r="D39" s="55"/>
      <c r="E39" s="55">
        <v>3.9</v>
      </c>
      <c r="F39" s="55">
        <v>6.8188820000000003</v>
      </c>
      <c r="G39" s="55">
        <v>3.64</v>
      </c>
      <c r="H39" s="55"/>
      <c r="I39" s="55"/>
      <c r="J39" s="55">
        <v>67.75522282</v>
      </c>
      <c r="K39" s="41">
        <f t="shared" si="5"/>
        <v>95.200224820000003</v>
      </c>
    </row>
    <row r="40" spans="1:11" ht="12" customHeight="1" x14ac:dyDescent="0.2">
      <c r="A40" s="1" t="s">
        <v>105</v>
      </c>
      <c r="B40" s="55"/>
      <c r="C40" s="55">
        <v>64.63</v>
      </c>
      <c r="D40" s="55"/>
      <c r="E40" s="55"/>
      <c r="F40" s="55">
        <v>1406.1</v>
      </c>
      <c r="G40" s="55">
        <v>1337.31</v>
      </c>
      <c r="H40" s="55"/>
      <c r="I40" s="55"/>
      <c r="J40" s="55">
        <v>0</v>
      </c>
      <c r="K40" s="41">
        <f t="shared" si="5"/>
        <v>2808.04</v>
      </c>
    </row>
    <row r="41" spans="1:11" ht="12" customHeight="1" x14ac:dyDescent="0.2">
      <c r="A41" s="1" t="s">
        <v>107</v>
      </c>
      <c r="B41" s="55">
        <v>9.2732299999999999</v>
      </c>
      <c r="C41" s="55"/>
      <c r="D41" s="55">
        <v>1937.73924842</v>
      </c>
      <c r="E41" s="55">
        <v>145.77000000000001</v>
      </c>
      <c r="F41" s="55"/>
      <c r="G41" s="55">
        <v>67.33</v>
      </c>
      <c r="H41" s="55">
        <v>67.335999999999999</v>
      </c>
      <c r="I41" s="55"/>
      <c r="J41" s="55">
        <v>148.27444618999999</v>
      </c>
      <c r="K41" s="41">
        <f t="shared" si="5"/>
        <v>2375.7229246100001</v>
      </c>
    </row>
    <row r="42" spans="1:11" ht="12" customHeight="1" x14ac:dyDescent="0.2">
      <c r="A42" s="1" t="s">
        <v>106</v>
      </c>
      <c r="B42" s="55"/>
      <c r="C42" s="55"/>
      <c r="D42" s="55"/>
      <c r="E42" s="55"/>
      <c r="F42" s="55"/>
      <c r="G42" s="55">
        <v>17.12</v>
      </c>
      <c r="H42" s="55"/>
      <c r="I42" s="55"/>
      <c r="J42" s="55">
        <v>0</v>
      </c>
      <c r="K42" s="41">
        <f t="shared" si="5"/>
        <v>17.12</v>
      </c>
    </row>
    <row r="43" spans="1:11" ht="12" customHeight="1" x14ac:dyDescent="0.2">
      <c r="A43" s="1" t="s">
        <v>108</v>
      </c>
      <c r="B43" s="55"/>
      <c r="C43" s="55"/>
      <c r="D43" s="55">
        <v>702.34844549000002</v>
      </c>
      <c r="E43" s="55">
        <v>362.45</v>
      </c>
      <c r="F43" s="55">
        <v>13.358000000000001</v>
      </c>
      <c r="G43" s="55">
        <v>28.92</v>
      </c>
      <c r="H43" s="55">
        <v>0.79</v>
      </c>
      <c r="I43" s="55"/>
      <c r="J43" s="55">
        <v>844.35278980999999</v>
      </c>
      <c r="K43" s="41">
        <f t="shared" si="5"/>
        <v>1952.2192353</v>
      </c>
    </row>
    <row r="44" spans="1:11" ht="12" customHeight="1" x14ac:dyDescent="0.2">
      <c r="A44" s="1" t="s">
        <v>78</v>
      </c>
      <c r="B44" s="55"/>
      <c r="C44" s="55"/>
      <c r="D44" s="55">
        <v>9.1314669599999991</v>
      </c>
      <c r="E44" s="55"/>
      <c r="F44" s="55"/>
      <c r="G44" s="55"/>
      <c r="H44" s="55">
        <v>7.9390000000000001</v>
      </c>
      <c r="I44" s="55"/>
      <c r="J44" s="55">
        <v>4.0670924199999998</v>
      </c>
      <c r="K44" s="41">
        <f t="shared" si="5"/>
        <v>21.137559379999999</v>
      </c>
    </row>
    <row r="45" spans="1:11" ht="12" customHeight="1" x14ac:dyDescent="0.2">
      <c r="A45" s="1" t="s">
        <v>79</v>
      </c>
      <c r="B45" s="55"/>
      <c r="C45" s="55">
        <v>32.67</v>
      </c>
      <c r="D45" s="55"/>
      <c r="E45" s="55"/>
      <c r="F45" s="55"/>
      <c r="G45" s="55"/>
      <c r="H45" s="55">
        <v>1.9E-2</v>
      </c>
      <c r="I45" s="55"/>
      <c r="J45" s="55">
        <v>1.1807762900000001</v>
      </c>
      <c r="K45" s="41">
        <f t="shared" si="5"/>
        <v>33.869776289999997</v>
      </c>
    </row>
    <row r="46" spans="1:11" ht="12" customHeight="1" x14ac:dyDescent="0.2">
      <c r="B46" s="55"/>
      <c r="C46" s="55"/>
      <c r="D46" s="55"/>
      <c r="E46" s="55"/>
      <c r="F46" s="55"/>
      <c r="G46" s="55"/>
      <c r="H46" s="55"/>
      <c r="I46" s="55"/>
      <c r="J46" s="55"/>
      <c r="K46" s="41"/>
    </row>
    <row r="47" spans="1:11" s="2" customFormat="1" ht="12" customHeight="1" x14ac:dyDescent="0.2">
      <c r="A47" s="7" t="s">
        <v>12</v>
      </c>
      <c r="B47" s="57">
        <f t="shared" ref="B47:J47" si="6">SUM(B38:B45)</f>
        <v>50.508089999999996</v>
      </c>
      <c r="C47" s="41">
        <f t="shared" si="6"/>
        <v>178.70999999999998</v>
      </c>
      <c r="D47" s="41">
        <f t="shared" si="6"/>
        <v>3143.69884314</v>
      </c>
      <c r="E47" s="41">
        <f t="shared" si="6"/>
        <v>762.75</v>
      </c>
      <c r="F47" s="41">
        <f t="shared" si="6"/>
        <v>1464.492405</v>
      </c>
      <c r="G47" s="41">
        <f t="shared" si="6"/>
        <v>1493.2499999999998</v>
      </c>
      <c r="H47" s="41">
        <f t="shared" si="6"/>
        <v>166.113</v>
      </c>
      <c r="I47" s="41">
        <f t="shared" si="6"/>
        <v>0</v>
      </c>
      <c r="J47" s="41">
        <f t="shared" si="6"/>
        <v>1340.3348309800001</v>
      </c>
      <c r="K47" s="41">
        <f>SUM(B47:J47)</f>
        <v>8599.8571691199995</v>
      </c>
    </row>
    <row r="48" spans="1:11" ht="12" customHeight="1" x14ac:dyDescent="0.2">
      <c r="B48" s="55"/>
      <c r="C48" s="32"/>
      <c r="D48" s="32"/>
      <c r="E48" s="32"/>
      <c r="F48" s="32"/>
      <c r="G48" s="32"/>
      <c r="H48" s="32"/>
      <c r="I48" s="32"/>
      <c r="J48" s="32"/>
      <c r="K48" s="41"/>
    </row>
    <row r="49" spans="1:11" ht="12" customHeight="1" x14ac:dyDescent="0.2">
      <c r="A49" s="2" t="s">
        <v>45</v>
      </c>
      <c r="B49" s="55"/>
      <c r="C49" s="32"/>
      <c r="D49" s="32"/>
      <c r="E49" s="32"/>
      <c r="F49" s="32"/>
      <c r="G49" s="32"/>
      <c r="H49" s="32"/>
      <c r="I49" s="32"/>
      <c r="J49" s="32"/>
      <c r="K49" s="41"/>
    </row>
    <row r="50" spans="1:11" ht="12" customHeight="1" x14ac:dyDescent="0.2">
      <c r="B50" s="55"/>
      <c r="C50" s="32"/>
      <c r="D50" s="32"/>
      <c r="E50" s="32"/>
      <c r="F50" s="32"/>
      <c r="G50" s="32"/>
      <c r="H50" s="32"/>
      <c r="I50" s="32"/>
      <c r="J50" s="32"/>
      <c r="K50" s="41"/>
    </row>
    <row r="51" spans="1:11" ht="12" customHeight="1" x14ac:dyDescent="0.2">
      <c r="A51" s="1" t="s">
        <v>46</v>
      </c>
      <c r="B51" s="55">
        <v>911.086816</v>
      </c>
      <c r="C51" s="64">
        <v>1007.54</v>
      </c>
      <c r="D51" s="55">
        <v>1306.6818447400001</v>
      </c>
      <c r="E51" s="55">
        <v>675.43</v>
      </c>
      <c r="F51" s="55">
        <v>952.34208599999999</v>
      </c>
      <c r="G51" s="55">
        <v>1618.29</v>
      </c>
      <c r="H51" s="55">
        <v>2593.4740000000002</v>
      </c>
      <c r="I51" s="55">
        <v>1669.2426933700001</v>
      </c>
      <c r="J51" s="55">
        <v>2638.0404473899998</v>
      </c>
      <c r="K51" s="41">
        <f>SUM(B51:J51)</f>
        <v>13372.127887500001</v>
      </c>
    </row>
    <row r="52" spans="1:11" ht="12" customHeight="1" x14ac:dyDescent="0.2">
      <c r="A52" s="1" t="s">
        <v>47</v>
      </c>
      <c r="B52" s="55">
        <v>114.33446000000001</v>
      </c>
      <c r="C52" s="55">
        <v>0</v>
      </c>
      <c r="D52" s="55"/>
      <c r="E52" s="55">
        <v>3.8</v>
      </c>
      <c r="F52" s="55">
        <v>36.003746999999997</v>
      </c>
      <c r="G52" s="55">
        <v>242.93</v>
      </c>
      <c r="H52" s="55">
        <v>54.511000000000003</v>
      </c>
      <c r="I52" s="55">
        <v>1.29915325</v>
      </c>
      <c r="J52" s="55">
        <v>69.323215500000003</v>
      </c>
      <c r="K52" s="41">
        <f>SUM(B52:J52)</f>
        <v>522.20157575000007</v>
      </c>
    </row>
    <row r="53" spans="1:11" ht="12" customHeight="1" x14ac:dyDescent="0.2">
      <c r="B53" s="55"/>
      <c r="C53" s="32"/>
      <c r="D53" s="32"/>
      <c r="E53" s="32"/>
      <c r="F53" s="32"/>
      <c r="G53" s="32"/>
      <c r="H53" s="32"/>
      <c r="I53" s="32"/>
      <c r="J53" s="32"/>
      <c r="K53" s="41"/>
    </row>
    <row r="54" spans="1:11" s="34" customFormat="1" ht="12" customHeight="1" x14ac:dyDescent="0.2">
      <c r="A54" s="34" t="s">
        <v>12</v>
      </c>
      <c r="B54" s="57">
        <f t="shared" ref="B54:J54" si="7">SUM(B51:B52)</f>
        <v>1025.421276</v>
      </c>
      <c r="C54" s="41">
        <f t="shared" si="7"/>
        <v>1007.54</v>
      </c>
      <c r="D54" s="41">
        <f t="shared" si="7"/>
        <v>1306.6818447400001</v>
      </c>
      <c r="E54" s="41">
        <f t="shared" si="7"/>
        <v>679.2299999999999</v>
      </c>
      <c r="F54" s="41">
        <f t="shared" si="7"/>
        <v>988.34583299999997</v>
      </c>
      <c r="G54" s="41">
        <f t="shared" si="7"/>
        <v>1861.22</v>
      </c>
      <c r="H54" s="41">
        <f t="shared" si="7"/>
        <v>2647.9850000000001</v>
      </c>
      <c r="I54" s="41">
        <f t="shared" si="7"/>
        <v>1670.5418466200001</v>
      </c>
      <c r="J54" s="41">
        <f t="shared" si="7"/>
        <v>2707.3636628899999</v>
      </c>
      <c r="K54" s="41">
        <f>SUM(B54:J54)</f>
        <v>13894.329463250002</v>
      </c>
    </row>
    <row r="55" spans="1:11" ht="12" customHeight="1" x14ac:dyDescent="0.2">
      <c r="B55" s="55"/>
      <c r="C55" s="32"/>
      <c r="D55" s="32"/>
      <c r="E55" s="32"/>
      <c r="F55" s="32"/>
      <c r="G55" s="32"/>
      <c r="H55" s="32"/>
      <c r="I55" s="32"/>
      <c r="J55" s="32"/>
      <c r="K55" s="41"/>
    </row>
    <row r="56" spans="1:11" s="2" customFormat="1" ht="12" customHeight="1" x14ac:dyDescent="0.2">
      <c r="A56" s="2" t="s">
        <v>48</v>
      </c>
      <c r="B56" s="55">
        <v>83.563835999999995</v>
      </c>
      <c r="C56" s="70">
        <v>24.89</v>
      </c>
      <c r="D56" s="55">
        <v>296.97347010999999</v>
      </c>
      <c r="E56" s="55">
        <v>0.01</v>
      </c>
      <c r="F56" s="55">
        <v>53.044474000000001</v>
      </c>
      <c r="G56" s="55">
        <v>140.69999999999999</v>
      </c>
      <c r="H56" s="55">
        <v>0</v>
      </c>
      <c r="I56" s="55">
        <v>0</v>
      </c>
      <c r="J56" s="55">
        <v>404.54506959999998</v>
      </c>
      <c r="K56" s="41">
        <f>SUM(B56:J56)</f>
        <v>1003.7268497099999</v>
      </c>
    </row>
    <row r="57" spans="1:11" ht="12" customHeight="1" x14ac:dyDescent="0.2">
      <c r="B57" s="55"/>
      <c r="C57" s="32"/>
      <c r="D57" s="32"/>
      <c r="E57" s="32"/>
      <c r="F57" s="32"/>
      <c r="G57" s="32"/>
      <c r="H57" s="32"/>
      <c r="I57" s="32"/>
      <c r="J57" s="32"/>
      <c r="K57" s="41"/>
    </row>
    <row r="58" spans="1:11" ht="12" customHeight="1" x14ac:dyDescent="0.2">
      <c r="A58" s="2" t="s">
        <v>49</v>
      </c>
      <c r="B58" s="55"/>
      <c r="C58" s="32"/>
      <c r="D58" s="32"/>
      <c r="E58" s="32"/>
      <c r="F58" s="32"/>
      <c r="G58" s="32"/>
      <c r="H58" s="32"/>
      <c r="I58" s="32"/>
      <c r="J58" s="32"/>
      <c r="K58" s="41"/>
    </row>
    <row r="59" spans="1:11" ht="12" customHeight="1" x14ac:dyDescent="0.2">
      <c r="B59" s="55"/>
      <c r="C59" s="32"/>
      <c r="D59" s="32"/>
      <c r="E59" s="32"/>
      <c r="F59" s="32"/>
      <c r="G59" s="32"/>
      <c r="H59" s="32"/>
      <c r="I59" s="32"/>
      <c r="J59" s="32"/>
      <c r="K59" s="41"/>
    </row>
    <row r="60" spans="1:11" ht="12" customHeight="1" x14ac:dyDescent="0.2">
      <c r="A60" s="34" t="s">
        <v>117</v>
      </c>
      <c r="B60" s="55"/>
      <c r="C60" s="32"/>
      <c r="D60" s="32"/>
      <c r="E60" s="32"/>
      <c r="F60" s="32"/>
      <c r="G60" s="32"/>
      <c r="H60" s="32"/>
      <c r="I60" s="32"/>
      <c r="J60" s="32"/>
      <c r="K60" s="41"/>
    </row>
    <row r="61" spans="1:11" ht="12" customHeight="1" x14ac:dyDescent="0.2">
      <c r="A61" s="1" t="s">
        <v>50</v>
      </c>
      <c r="B61" s="55">
        <v>51.176763000000001</v>
      </c>
      <c r="C61" s="55">
        <v>114.64</v>
      </c>
      <c r="D61" s="55">
        <v>297.59131940999998</v>
      </c>
      <c r="E61" s="55">
        <v>285.92</v>
      </c>
      <c r="F61" s="55">
        <v>110.99534300000001</v>
      </c>
      <c r="G61" s="55">
        <v>241.14</v>
      </c>
      <c r="H61" s="55">
        <v>137.58699999999999</v>
      </c>
      <c r="I61" s="55">
        <v>74.781925999999999</v>
      </c>
      <c r="J61" s="55">
        <v>467.05002999999999</v>
      </c>
      <c r="K61" s="41">
        <f>SUM(B61:J61)</f>
        <v>1780.8823814100001</v>
      </c>
    </row>
    <row r="62" spans="1:11" ht="12" customHeight="1" x14ac:dyDescent="0.2">
      <c r="A62" s="1" t="s">
        <v>81</v>
      </c>
      <c r="B62" s="55">
        <v>0.272837</v>
      </c>
      <c r="C62" s="55">
        <v>0.61</v>
      </c>
      <c r="D62" s="55">
        <v>146.94714936</v>
      </c>
      <c r="E62" s="55">
        <v>334.63</v>
      </c>
      <c r="F62" s="55">
        <v>0.59462499999999996</v>
      </c>
      <c r="G62" s="55">
        <v>1.26</v>
      </c>
      <c r="H62" s="55">
        <v>0</v>
      </c>
      <c r="I62" s="55">
        <v>8.5399744399999999</v>
      </c>
      <c r="J62" s="55">
        <v>2.46208764</v>
      </c>
      <c r="K62" s="41">
        <f>SUM(B62:J62)</f>
        <v>495.31667343999999</v>
      </c>
    </row>
    <row r="63" spans="1:11" ht="12" customHeight="1" x14ac:dyDescent="0.2">
      <c r="A63" s="1" t="s">
        <v>110</v>
      </c>
      <c r="B63" s="55"/>
      <c r="C63" s="55"/>
      <c r="D63" s="55"/>
      <c r="E63" s="55"/>
      <c r="F63" s="55"/>
      <c r="G63" s="55"/>
      <c r="H63" s="55"/>
      <c r="I63" s="55"/>
      <c r="J63" s="55"/>
      <c r="K63" s="41"/>
    </row>
    <row r="64" spans="1:11" ht="12" customHeight="1" x14ac:dyDescent="0.2">
      <c r="A64" s="1" t="s">
        <v>111</v>
      </c>
      <c r="B64" s="55"/>
      <c r="C64" s="55">
        <v>-5.99</v>
      </c>
      <c r="D64" s="55"/>
      <c r="E64" s="55"/>
      <c r="F64" s="55"/>
      <c r="G64" s="55">
        <v>-14.95</v>
      </c>
      <c r="H64" s="55"/>
      <c r="I64" s="55"/>
      <c r="J64" s="55">
        <v>-12.643105889999999</v>
      </c>
      <c r="K64" s="41">
        <f t="shared" ref="K64:K73" si="8">SUM(B64:J64)</f>
        <v>-33.583105889999999</v>
      </c>
    </row>
    <row r="65" spans="1:11" ht="12" customHeight="1" x14ac:dyDescent="0.2">
      <c r="A65" s="1" t="s">
        <v>112</v>
      </c>
      <c r="B65" s="55"/>
      <c r="C65" s="55"/>
      <c r="D65" s="55">
        <v>-0.38491071999999998</v>
      </c>
      <c r="E65" s="55"/>
      <c r="F65" s="62">
        <v>-0.39557900000000001</v>
      </c>
      <c r="G65" s="55">
        <v>-0.12</v>
      </c>
      <c r="H65" s="55"/>
      <c r="I65" s="55"/>
      <c r="J65" s="55">
        <v>-0.76869443000000004</v>
      </c>
      <c r="K65" s="41">
        <f t="shared" si="8"/>
        <v>-1.66918415</v>
      </c>
    </row>
    <row r="66" spans="1:11" ht="12" customHeight="1" x14ac:dyDescent="0.2">
      <c r="A66" s="1" t="s">
        <v>113</v>
      </c>
      <c r="B66" s="55"/>
      <c r="C66" s="55"/>
      <c r="D66" s="55">
        <v>-0.436</v>
      </c>
      <c r="E66" s="55">
        <v>-8.7200000000000006</v>
      </c>
      <c r="F66" s="55"/>
      <c r="G66" s="55">
        <v>-39.549999999999997</v>
      </c>
      <c r="H66" s="55"/>
      <c r="I66" s="55"/>
      <c r="J66" s="55"/>
      <c r="K66" s="41">
        <f t="shared" si="8"/>
        <v>-48.705999999999996</v>
      </c>
    </row>
    <row r="67" spans="1:11" ht="12" customHeight="1" x14ac:dyDescent="0.2">
      <c r="A67" s="1" t="s">
        <v>114</v>
      </c>
      <c r="B67" s="55"/>
      <c r="C67" s="55">
        <v>-5.84</v>
      </c>
      <c r="D67" s="55"/>
      <c r="E67" s="55"/>
      <c r="F67" s="55"/>
      <c r="G67" s="55"/>
      <c r="H67" s="55"/>
      <c r="I67" s="55"/>
      <c r="J67" s="55"/>
      <c r="K67" s="41">
        <f t="shared" si="8"/>
        <v>-5.84</v>
      </c>
    </row>
    <row r="68" spans="1:11" ht="12" customHeight="1" x14ac:dyDescent="0.2">
      <c r="A68" s="1" t="s">
        <v>115</v>
      </c>
      <c r="B68" s="55">
        <v>-20.738669999999999</v>
      </c>
      <c r="C68" s="70">
        <f>24.89092239-29.79982239</f>
        <v>-4.9088999999999992</v>
      </c>
      <c r="D68" s="55"/>
      <c r="E68" s="55">
        <v>-294.79000000000002</v>
      </c>
      <c r="F68" s="55">
        <v>-7.2672829999999999</v>
      </c>
      <c r="G68" s="55">
        <v>-453.65065299999998</v>
      </c>
      <c r="H68" s="55"/>
      <c r="I68" s="55"/>
      <c r="J68" s="55"/>
      <c r="K68" s="41">
        <f t="shared" si="8"/>
        <v>-781.35550599999999</v>
      </c>
    </row>
    <row r="69" spans="1:11" ht="12" customHeight="1" x14ac:dyDescent="0.2">
      <c r="A69" s="1" t="s">
        <v>116</v>
      </c>
      <c r="B69" s="55">
        <f>-0.04279723</f>
        <v>-4.2797229999999999E-2</v>
      </c>
      <c r="C69" s="58">
        <f>6.41+0.18-0.28-4.26-1+1.5-4.07-0.36-2.18</f>
        <v>-4.0600000000000005</v>
      </c>
      <c r="D69" s="55">
        <v>-0.12067293</v>
      </c>
      <c r="E69" s="55"/>
      <c r="F69" s="55"/>
      <c r="G69" s="55"/>
      <c r="H69" s="55"/>
      <c r="I69" s="55"/>
      <c r="J69" s="51">
        <v>-25.324062820000002</v>
      </c>
      <c r="K69" s="41">
        <f t="shared" si="8"/>
        <v>-29.54753298</v>
      </c>
    </row>
    <row r="70" spans="1:11" ht="12" customHeight="1" x14ac:dyDescent="0.2">
      <c r="A70" s="1" t="s">
        <v>52</v>
      </c>
      <c r="B70" s="55">
        <v>1.9798E-2</v>
      </c>
      <c r="C70" s="55">
        <v>0.69</v>
      </c>
      <c r="D70" s="55"/>
      <c r="E70" s="55"/>
      <c r="F70" s="55">
        <v>1.0038560000000001</v>
      </c>
      <c r="G70" s="55">
        <v>5.57</v>
      </c>
      <c r="H70" s="55">
        <v>0.33800000000000002</v>
      </c>
      <c r="I70" s="55"/>
      <c r="J70" s="55"/>
      <c r="K70" s="41">
        <f t="shared" si="8"/>
        <v>7.6216540000000004</v>
      </c>
    </row>
    <row r="71" spans="1:11" ht="12" customHeight="1" x14ac:dyDescent="0.2">
      <c r="A71" s="1" t="s">
        <v>53</v>
      </c>
      <c r="B71" s="55">
        <f>44.316438+0.372147</f>
        <v>44.688584999999996</v>
      </c>
      <c r="C71" s="55">
        <v>16.11</v>
      </c>
      <c r="D71" s="55">
        <v>12.58383551</v>
      </c>
      <c r="E71" s="55">
        <v>8.8699999999999992</v>
      </c>
      <c r="F71" s="55">
        <f>37.699597+1.407462+8.632467+0.037886+0.481881</f>
        <v>48.259293</v>
      </c>
      <c r="G71" s="55">
        <f>152.04+453.650653</f>
        <v>605.690653</v>
      </c>
      <c r="H71" s="55">
        <f>70.539+2.088</f>
        <v>72.626999999999995</v>
      </c>
      <c r="I71" s="55">
        <v>56.122920809999997</v>
      </c>
      <c r="J71" s="55">
        <v>173.29913253999999</v>
      </c>
      <c r="K71" s="41">
        <f t="shared" si="8"/>
        <v>1038.2514198599999</v>
      </c>
    </row>
    <row r="72" spans="1:11" ht="12" customHeight="1" x14ac:dyDescent="0.2">
      <c r="A72" s="1" t="s">
        <v>60</v>
      </c>
      <c r="B72" s="73">
        <f>-(12.552838-0.04279723)</f>
        <v>-12.51004077</v>
      </c>
      <c r="C72" s="55">
        <f>-0.15-0.17</f>
        <v>-0.32</v>
      </c>
      <c r="D72" s="55"/>
      <c r="E72" s="48">
        <v>-8.1</v>
      </c>
      <c r="F72" s="62">
        <v>-0.29979600000000001</v>
      </c>
      <c r="G72" s="55"/>
      <c r="H72" s="55"/>
      <c r="I72" s="55"/>
      <c r="J72" s="55"/>
      <c r="K72" s="41">
        <f t="shared" si="8"/>
        <v>-21.229836769999999</v>
      </c>
    </row>
    <row r="73" spans="1:11" s="34" customFormat="1" ht="12" customHeight="1" x14ac:dyDescent="0.2">
      <c r="A73" s="34" t="s">
        <v>12</v>
      </c>
      <c r="B73" s="57">
        <f t="shared" ref="B73:J73" si="9">SUM(B61:B72)</f>
        <v>62.866474999999994</v>
      </c>
      <c r="C73" s="41">
        <f t="shared" si="9"/>
        <v>110.9311</v>
      </c>
      <c r="D73" s="41">
        <f t="shared" si="9"/>
        <v>456.18072063</v>
      </c>
      <c r="E73" s="41">
        <f t="shared" si="9"/>
        <v>317.80999999999989</v>
      </c>
      <c r="F73" s="41">
        <f t="shared" si="9"/>
        <v>152.89045899999999</v>
      </c>
      <c r="G73" s="57">
        <f t="shared" si="9"/>
        <v>345.39</v>
      </c>
      <c r="H73" s="41">
        <f t="shared" si="9"/>
        <v>210.55199999999996</v>
      </c>
      <c r="I73" s="41">
        <f t="shared" si="9"/>
        <v>139.44482124999999</v>
      </c>
      <c r="J73" s="41">
        <f t="shared" si="9"/>
        <v>604.07538704000001</v>
      </c>
      <c r="K73" s="41">
        <f t="shared" si="8"/>
        <v>2400.1409629199998</v>
      </c>
    </row>
    <row r="74" spans="1:11" ht="12" customHeight="1" x14ac:dyDescent="0.2">
      <c r="B74" s="55"/>
      <c r="C74" s="32"/>
      <c r="D74" s="32"/>
      <c r="E74" s="32"/>
      <c r="F74" s="32"/>
      <c r="G74" s="55"/>
      <c r="H74" s="32"/>
      <c r="I74" s="32"/>
      <c r="J74" s="32"/>
      <c r="K74" s="41"/>
    </row>
    <row r="75" spans="1:11" ht="12" customHeight="1" x14ac:dyDescent="0.2">
      <c r="A75" s="34" t="s">
        <v>42</v>
      </c>
      <c r="B75" s="55"/>
      <c r="C75" s="32"/>
      <c r="D75" s="32"/>
      <c r="E75" s="32"/>
      <c r="F75" s="32"/>
      <c r="G75" s="55"/>
      <c r="H75" s="32"/>
      <c r="I75" s="32"/>
      <c r="J75" s="32"/>
      <c r="K75" s="41"/>
    </row>
    <row r="76" spans="1:11" ht="12" customHeight="1" x14ac:dyDescent="0.2">
      <c r="A76" s="1" t="s">
        <v>118</v>
      </c>
      <c r="B76" s="55">
        <f t="shared" ref="B76:J76" si="10">B17</f>
        <v>51.319673119999997</v>
      </c>
      <c r="C76" s="55">
        <f t="shared" si="10"/>
        <v>91.12</v>
      </c>
      <c r="D76" s="55">
        <f t="shared" si="10"/>
        <v>448.94402856000005</v>
      </c>
      <c r="E76" s="55">
        <f t="shared" si="10"/>
        <v>262.29000000000002</v>
      </c>
      <c r="F76" s="55">
        <f t="shared" si="10"/>
        <v>130.55467099999998</v>
      </c>
      <c r="G76" s="55">
        <f t="shared" si="10"/>
        <v>224.43</v>
      </c>
      <c r="H76" s="55">
        <f t="shared" si="10"/>
        <v>186.61700000000002</v>
      </c>
      <c r="I76" s="55">
        <f t="shared" si="10"/>
        <v>112.38019333999999</v>
      </c>
      <c r="J76" s="55">
        <f t="shared" si="10"/>
        <v>281.69539961999999</v>
      </c>
      <c r="K76" s="41">
        <f t="shared" ref="K76:K81" si="11">SUM(B76:J76)</f>
        <v>1789.3509656399999</v>
      </c>
    </row>
    <row r="77" spans="1:11" ht="12" customHeight="1" x14ac:dyDescent="0.2">
      <c r="A77" s="1" t="s">
        <v>47</v>
      </c>
      <c r="B77" s="55">
        <f t="shared" ref="B77:J77" si="12">B29</f>
        <v>13.220713309999999</v>
      </c>
      <c r="C77" s="55">
        <f t="shared" si="12"/>
        <v>17.82</v>
      </c>
      <c r="D77" s="55">
        <f t="shared" si="12"/>
        <v>60.601460610000004</v>
      </c>
      <c r="E77" s="55">
        <f t="shared" si="12"/>
        <v>44.52</v>
      </c>
      <c r="F77" s="55">
        <f t="shared" si="12"/>
        <v>10.728197999999999</v>
      </c>
      <c r="G77" s="55">
        <f t="shared" si="12"/>
        <v>117.92</v>
      </c>
      <c r="H77" s="55">
        <f t="shared" si="12"/>
        <v>23.634</v>
      </c>
      <c r="I77" s="55">
        <f t="shared" si="12"/>
        <v>25.647519289999998</v>
      </c>
      <c r="J77" s="63">
        <f t="shared" si="12"/>
        <v>188.75856235000001</v>
      </c>
      <c r="K77" s="41">
        <f t="shared" si="11"/>
        <v>502.85045356000001</v>
      </c>
    </row>
    <row r="78" spans="1:11" ht="12" customHeight="1" x14ac:dyDescent="0.2">
      <c r="A78" s="1" t="s">
        <v>119</v>
      </c>
      <c r="B78" s="55"/>
      <c r="C78" s="55"/>
      <c r="D78" s="55"/>
      <c r="E78" s="55">
        <v>11.03</v>
      </c>
      <c r="F78" s="55"/>
      <c r="G78" s="55"/>
      <c r="H78" s="55"/>
      <c r="I78" s="55"/>
      <c r="J78" s="55">
        <v>7.5608329899999998</v>
      </c>
      <c r="K78" s="41">
        <f t="shared" si="11"/>
        <v>18.590832989999999</v>
      </c>
    </row>
    <row r="79" spans="1:11" ht="12" customHeight="1" x14ac:dyDescent="0.2">
      <c r="A79" s="1" t="s">
        <v>120</v>
      </c>
      <c r="B79" s="55"/>
      <c r="C79" s="55"/>
      <c r="D79" s="55"/>
      <c r="E79" s="48"/>
      <c r="F79" s="55"/>
      <c r="G79" s="55"/>
      <c r="H79" s="55"/>
      <c r="I79" s="55"/>
      <c r="J79" s="55">
        <v>139.86113205999999</v>
      </c>
      <c r="K79" s="41">
        <f t="shared" si="11"/>
        <v>139.86113205999999</v>
      </c>
    </row>
    <row r="80" spans="1:11" ht="12" customHeight="1" x14ac:dyDescent="0.2">
      <c r="A80" s="1" t="s">
        <v>121</v>
      </c>
      <c r="B80" s="55"/>
      <c r="C80" s="55"/>
      <c r="D80" s="55"/>
      <c r="E80" s="55"/>
      <c r="F80" s="55"/>
      <c r="G80" s="55"/>
      <c r="H80" s="55"/>
      <c r="I80" s="55"/>
      <c r="J80" s="55"/>
      <c r="K80" s="41">
        <f t="shared" si="11"/>
        <v>0</v>
      </c>
    </row>
    <row r="81" spans="1:11" ht="12" customHeight="1" x14ac:dyDescent="0.2">
      <c r="A81" s="34" t="s">
        <v>12</v>
      </c>
      <c r="B81" s="61">
        <f t="shared" ref="B81:J81" si="13">SUM(B76:B80)</f>
        <v>64.540386429999998</v>
      </c>
      <c r="C81" s="41">
        <f t="shared" si="13"/>
        <v>108.94</v>
      </c>
      <c r="D81" s="41">
        <f t="shared" si="13"/>
        <v>509.54548917000005</v>
      </c>
      <c r="E81" s="41">
        <f t="shared" si="13"/>
        <v>317.83999999999997</v>
      </c>
      <c r="F81" s="41">
        <f t="shared" si="13"/>
        <v>141.28286899999998</v>
      </c>
      <c r="G81" s="57">
        <f t="shared" si="13"/>
        <v>342.35</v>
      </c>
      <c r="H81" s="41">
        <f t="shared" si="13"/>
        <v>210.25100000000003</v>
      </c>
      <c r="I81" s="41">
        <f t="shared" si="13"/>
        <v>138.02771263</v>
      </c>
      <c r="J81" s="41">
        <f t="shared" si="13"/>
        <v>617.87592702000006</v>
      </c>
      <c r="K81" s="41">
        <f t="shared" si="11"/>
        <v>2450.6533842500003</v>
      </c>
    </row>
    <row r="82" spans="1:11" ht="12" customHeight="1" x14ac:dyDescent="0.2">
      <c r="B82" s="55"/>
      <c r="C82" s="32"/>
      <c r="D82" s="32"/>
      <c r="E82" s="32"/>
      <c r="F82" s="32"/>
      <c r="G82" s="55"/>
      <c r="H82" s="32"/>
      <c r="I82" s="32"/>
      <c r="J82" s="32"/>
      <c r="K82" s="41"/>
    </row>
    <row r="83" spans="1:11" s="2" customFormat="1" ht="12" customHeight="1" x14ac:dyDescent="0.2">
      <c r="A83" s="7" t="s">
        <v>122</v>
      </c>
      <c r="B83" s="55">
        <f t="shared" ref="B83:J83" si="14">B73-B81</f>
        <v>-1.673911430000004</v>
      </c>
      <c r="C83" s="32">
        <f t="shared" si="14"/>
        <v>1.991100000000003</v>
      </c>
      <c r="D83" s="32">
        <f t="shared" si="14"/>
        <v>-53.364768540000057</v>
      </c>
      <c r="E83" s="32">
        <f t="shared" si="14"/>
        <v>-3.0000000000086402E-2</v>
      </c>
      <c r="F83" s="32">
        <f t="shared" si="14"/>
        <v>11.607590000000016</v>
      </c>
      <c r="G83" s="55">
        <f t="shared" si="14"/>
        <v>3.0399999999999636</v>
      </c>
      <c r="H83" s="32">
        <f t="shared" si="14"/>
        <v>0.30099999999993088</v>
      </c>
      <c r="I83" s="32">
        <f t="shared" si="14"/>
        <v>1.4171086199999934</v>
      </c>
      <c r="J83" s="32">
        <f t="shared" si="14"/>
        <v>-13.800539980000053</v>
      </c>
      <c r="K83" s="41">
        <f>SUM(B83:J83)</f>
        <v>-50.512421330000294</v>
      </c>
    </row>
    <row r="84" spans="1:11" s="2" customFormat="1" ht="12" customHeight="1" x14ac:dyDescent="0.2">
      <c r="A84" s="7"/>
      <c r="B84" s="55"/>
      <c r="C84" s="32"/>
      <c r="D84" s="32"/>
      <c r="E84" s="32"/>
      <c r="F84" s="32"/>
      <c r="G84" s="55"/>
      <c r="H84" s="32"/>
      <c r="I84" s="32"/>
      <c r="J84" s="32"/>
      <c r="K84" s="41"/>
    </row>
    <row r="85" spans="1:11" s="2" customFormat="1" ht="12" customHeight="1" x14ac:dyDescent="0.2">
      <c r="A85" s="7" t="s">
        <v>123</v>
      </c>
      <c r="B85" s="55"/>
      <c r="C85" s="55"/>
      <c r="D85" s="55"/>
      <c r="E85" s="55"/>
      <c r="F85" s="55"/>
      <c r="G85" s="55"/>
      <c r="H85" s="55"/>
      <c r="I85" s="55"/>
      <c r="J85" s="55"/>
      <c r="K85" s="41"/>
    </row>
    <row r="86" spans="1:11" s="2" customFormat="1" ht="12" customHeight="1" x14ac:dyDescent="0.2">
      <c r="A86" s="7" t="s">
        <v>124</v>
      </c>
      <c r="B86" s="55">
        <v>25.865576000000001</v>
      </c>
      <c r="C86" s="55">
        <v>0.15</v>
      </c>
      <c r="D86" s="55"/>
      <c r="E86" s="55"/>
      <c r="F86" s="55"/>
      <c r="G86" s="55">
        <v>34.33</v>
      </c>
      <c r="H86" s="55">
        <v>0</v>
      </c>
      <c r="I86" s="55"/>
      <c r="J86" s="55"/>
      <c r="K86" s="41">
        <f>SUM(B86:J86)</f>
        <v>60.345575999999994</v>
      </c>
    </row>
    <row r="87" spans="1:11" s="2" customFormat="1" ht="12" customHeight="1" x14ac:dyDescent="0.2">
      <c r="A87" s="7" t="s">
        <v>125</v>
      </c>
      <c r="B87" s="55"/>
      <c r="C87" s="55"/>
      <c r="D87" s="55"/>
      <c r="E87" s="55"/>
      <c r="F87" s="55"/>
      <c r="G87" s="55">
        <f>81.73+453.650653</f>
        <v>535.38065299999994</v>
      </c>
      <c r="H87" s="55">
        <v>0</v>
      </c>
      <c r="I87" s="55"/>
      <c r="J87" s="55">
        <v>67.764803549999996</v>
      </c>
      <c r="K87" s="41">
        <f>SUM(B87:J87)</f>
        <v>603.14545654999995</v>
      </c>
    </row>
    <row r="88" spans="1:11" ht="12" customHeight="1" x14ac:dyDescent="0.2"/>
    <row r="89" spans="1:11" ht="12" customHeight="1" x14ac:dyDescent="0.2">
      <c r="A89" s="52"/>
    </row>
    <row r="90" spans="1:11" ht="12" customHeight="1" x14ac:dyDescent="0.2">
      <c r="A90" s="52"/>
    </row>
    <row r="91" spans="1:11" ht="12" customHeight="1" x14ac:dyDescent="0.2">
      <c r="A91" s="53" t="s">
        <v>157</v>
      </c>
    </row>
    <row r="92" spans="1:11" ht="12" customHeight="1" x14ac:dyDescent="0.2">
      <c r="A92" s="53" t="s">
        <v>148</v>
      </c>
    </row>
    <row r="93" spans="1:11" ht="12" customHeight="1" x14ac:dyDescent="0.2">
      <c r="A93" s="53" t="s">
        <v>147</v>
      </c>
      <c r="B93" s="55"/>
    </row>
    <row r="94" spans="1:11" ht="12" customHeight="1" x14ac:dyDescent="0.2">
      <c r="A94" s="53" t="s">
        <v>141</v>
      </c>
    </row>
    <row r="95" spans="1:11" ht="12" customHeight="1" x14ac:dyDescent="0.2">
      <c r="A95" s="53" t="s">
        <v>146</v>
      </c>
    </row>
    <row r="96" spans="1:11" ht="12" customHeight="1" x14ac:dyDescent="0.2">
      <c r="A96" s="53" t="s">
        <v>139</v>
      </c>
    </row>
    <row r="97" spans="1:11" ht="12" customHeight="1" x14ac:dyDescent="0.2">
      <c r="A97" s="67" t="s">
        <v>153</v>
      </c>
    </row>
    <row r="98" spans="1:11" ht="12" customHeight="1" x14ac:dyDescent="0.2">
      <c r="A98" s="53"/>
    </row>
    <row r="99" spans="1:11" ht="12" customHeight="1" x14ac:dyDescent="0.2">
      <c r="B99" s="55"/>
    </row>
    <row r="100" spans="1:11" s="3" customFormat="1" ht="10.5" customHeight="1" x14ac:dyDescent="0.2">
      <c r="B100" s="54"/>
      <c r="D100" s="39"/>
      <c r="K100" s="33"/>
    </row>
    <row r="101" spans="1:11" x14ac:dyDescent="0.2">
      <c r="D101" s="39"/>
    </row>
    <row r="102" spans="1:11" x14ac:dyDescent="0.2">
      <c r="D102" s="39"/>
    </row>
    <row r="109" spans="1:11" x14ac:dyDescent="0.2">
      <c r="C109" s="27"/>
      <c r="D109" s="39"/>
    </row>
  </sheetData>
  <phoneticPr fontId="0" type="noConversion"/>
  <printOptions horizontalCentered="1"/>
  <pageMargins left="0.28999999999999998" right="0.34" top="0.9" bottom="0.19685039370078741" header="0.45" footer="0.19"/>
  <pageSetup paperSize="9" scale="90" orientation="landscape" horizontalDpi="4294967292" verticalDpi="3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98"/>
  <sheetViews>
    <sheetView workbookViewId="0">
      <pane xSplit="1" ySplit="4" topLeftCell="B5" activePane="bottomRight" state="frozenSplit"/>
      <selection activeCell="B5" sqref="B5"/>
      <selection pane="topRight" activeCell="B5" sqref="B5"/>
      <selection pane="bottomLeft" activeCell="B5" sqref="B5"/>
      <selection pane="bottomRight" activeCell="B5" sqref="B5"/>
    </sheetView>
  </sheetViews>
  <sheetFormatPr baseColWidth="10" defaultRowHeight="12.75" x14ac:dyDescent="0.2"/>
  <cols>
    <col min="1" max="1" width="41.28515625" style="1" customWidth="1"/>
    <col min="2" max="2" width="10.5703125" style="54" customWidth="1"/>
    <col min="3" max="10" width="11.42578125" style="3"/>
    <col min="11" max="11" width="11.42578125" style="33"/>
    <col min="12" max="16384" width="11.42578125" style="1"/>
  </cols>
  <sheetData>
    <row r="1" spans="1:11" x14ac:dyDescent="0.2">
      <c r="A1" s="2" t="s">
        <v>149</v>
      </c>
    </row>
    <row r="2" spans="1:11" x14ac:dyDescent="0.2">
      <c r="A2" s="1" t="s">
        <v>156</v>
      </c>
    </row>
    <row r="4" spans="1:11" s="3" customFormat="1" x14ac:dyDescent="0.2">
      <c r="A4" s="5"/>
      <c r="B4" s="54" t="s">
        <v>3</v>
      </c>
      <c r="C4" s="3" t="s">
        <v>4</v>
      </c>
      <c r="D4" s="3" t="s">
        <v>5</v>
      </c>
      <c r="E4" s="3" t="s">
        <v>6</v>
      </c>
      <c r="F4" s="3" t="s">
        <v>7</v>
      </c>
      <c r="G4" s="3" t="s">
        <v>8</v>
      </c>
      <c r="H4" s="3" t="s">
        <v>9</v>
      </c>
      <c r="I4" s="3" t="s">
        <v>10</v>
      </c>
      <c r="J4" s="3" t="s">
        <v>11</v>
      </c>
      <c r="K4" s="33" t="s">
        <v>12</v>
      </c>
    </row>
    <row r="6" spans="1:11" ht="15.75" x14ac:dyDescent="0.25">
      <c r="A6" s="6" t="s">
        <v>42</v>
      </c>
    </row>
    <row r="8" spans="1:11" x14ac:dyDescent="0.2">
      <c r="A8" s="2" t="s">
        <v>13</v>
      </c>
    </row>
    <row r="10" spans="1:11" x14ac:dyDescent="0.2">
      <c r="A10" s="1" t="s">
        <v>72</v>
      </c>
      <c r="B10" s="55">
        <v>44.292773480000001</v>
      </c>
      <c r="C10" s="55">
        <v>86.23</v>
      </c>
      <c r="D10" s="55">
        <v>369.85692078</v>
      </c>
      <c r="E10" s="55">
        <v>156.69999999999999</v>
      </c>
      <c r="F10" s="55">
        <v>61.710509999999999</v>
      </c>
      <c r="G10" s="55">
        <v>25.27</v>
      </c>
      <c r="H10" s="55">
        <v>157.66300000000001</v>
      </c>
      <c r="I10" s="55">
        <v>90.991152200000002</v>
      </c>
      <c r="J10" s="55">
        <v>160.14408974</v>
      </c>
      <c r="K10" s="41">
        <f t="shared" ref="K10:K15" si="0">SUM(B10:J10)</f>
        <v>1152.8584461999999</v>
      </c>
    </row>
    <row r="11" spans="1:11" x14ac:dyDescent="0.2">
      <c r="A11" s="1" t="s">
        <v>104</v>
      </c>
      <c r="B11" s="55"/>
      <c r="C11" s="55">
        <v>0.56999999999999995</v>
      </c>
      <c r="D11" s="55"/>
      <c r="E11" s="55"/>
      <c r="F11" s="55">
        <v>77.727742000000006</v>
      </c>
      <c r="G11" s="55">
        <v>189.06</v>
      </c>
      <c r="H11" s="55"/>
      <c r="I11" s="55">
        <v>7.4750102600000004</v>
      </c>
      <c r="J11" s="55">
        <v>0</v>
      </c>
      <c r="K11" s="41">
        <f t="shared" si="0"/>
        <v>274.83275226000001</v>
      </c>
    </row>
    <row r="12" spans="1:11" x14ac:dyDescent="0.2">
      <c r="A12" s="1" t="s">
        <v>109</v>
      </c>
      <c r="B12" s="55">
        <v>11.9242908</v>
      </c>
      <c r="C12" s="55">
        <v>6.35</v>
      </c>
      <c r="D12" s="55">
        <v>80.600356849999997</v>
      </c>
      <c r="E12" s="55">
        <v>32.81</v>
      </c>
      <c r="F12" s="55">
        <v>0.35565799999999997</v>
      </c>
      <c r="G12" s="55">
        <v>6.76</v>
      </c>
      <c r="H12" s="55">
        <v>14.128</v>
      </c>
      <c r="I12" s="55"/>
      <c r="J12" s="55">
        <v>40.276279959999997</v>
      </c>
      <c r="K12" s="41">
        <f t="shared" si="0"/>
        <v>193.20458560999998</v>
      </c>
    </row>
    <row r="13" spans="1:11" x14ac:dyDescent="0.2">
      <c r="A13" t="s">
        <v>69</v>
      </c>
      <c r="B13" s="55"/>
      <c r="C13" s="55"/>
      <c r="D13" s="55"/>
      <c r="E13" s="55">
        <v>6.41</v>
      </c>
      <c r="F13" s="55"/>
      <c r="G13" s="55">
        <v>1.96</v>
      </c>
      <c r="H13" s="55">
        <v>15.125</v>
      </c>
      <c r="I13" s="55">
        <v>2.7858847</v>
      </c>
      <c r="J13" s="55">
        <v>16.05066652</v>
      </c>
      <c r="K13" s="41">
        <f t="shared" si="0"/>
        <v>42.331551220000001</v>
      </c>
    </row>
    <row r="14" spans="1:11" x14ac:dyDescent="0.2">
      <c r="A14" s="1" t="s">
        <v>70</v>
      </c>
      <c r="B14" s="55"/>
      <c r="C14" s="55"/>
      <c r="D14" s="55"/>
      <c r="E14" s="55"/>
      <c r="F14" s="55"/>
      <c r="G14" s="55"/>
      <c r="H14" s="55"/>
      <c r="I14" s="55"/>
      <c r="J14" s="55">
        <v>0</v>
      </c>
      <c r="K14" s="41">
        <f t="shared" si="0"/>
        <v>0</v>
      </c>
    </row>
    <row r="15" spans="1:11" x14ac:dyDescent="0.2">
      <c r="A15" s="1" t="s">
        <v>71</v>
      </c>
      <c r="B15" s="55">
        <v>0.21100540000000001</v>
      </c>
      <c r="C15" s="55">
        <v>8.7899999999999991</v>
      </c>
      <c r="D15" s="55">
        <f>2.83053621+27.89397764</f>
        <v>30.724513850000001</v>
      </c>
      <c r="E15" s="55">
        <f>5.9+54.6</f>
        <v>60.5</v>
      </c>
      <c r="F15" s="55">
        <v>6.2363580000000001</v>
      </c>
      <c r="G15" s="55">
        <v>26.36</v>
      </c>
      <c r="H15" s="55">
        <v>8.9149999999999991</v>
      </c>
      <c r="I15" s="55">
        <f>0.66601397+12.15538419</f>
        <v>12.821398159999999</v>
      </c>
      <c r="J15" s="55">
        <f>46.6246263</f>
        <v>46.624626300000003</v>
      </c>
      <c r="K15" s="41">
        <f t="shared" si="0"/>
        <v>201.18290171000001</v>
      </c>
    </row>
    <row r="16" spans="1:11" x14ac:dyDescent="0.2">
      <c r="B16" s="55"/>
      <c r="C16" s="55"/>
      <c r="D16" s="55"/>
      <c r="E16" s="55"/>
      <c r="F16" s="55"/>
      <c r="G16" s="55"/>
      <c r="H16" s="55"/>
      <c r="I16" s="55"/>
      <c r="J16" s="55"/>
      <c r="K16" s="41"/>
    </row>
    <row r="17" spans="1:256" s="28" customFormat="1" x14ac:dyDescent="0.2">
      <c r="A17" s="28" t="s">
        <v>12</v>
      </c>
      <c r="B17" s="56">
        <f t="shared" ref="B17:J17" si="1">SUM(B10:B15)</f>
        <v>56.42806968</v>
      </c>
      <c r="C17" s="42">
        <f t="shared" si="1"/>
        <v>101.94</v>
      </c>
      <c r="D17" s="42">
        <f t="shared" si="1"/>
        <v>481.18179148000002</v>
      </c>
      <c r="E17" s="42">
        <f t="shared" si="1"/>
        <v>256.41999999999996</v>
      </c>
      <c r="F17" s="42">
        <f t="shared" si="1"/>
        <v>146.03026800000001</v>
      </c>
      <c r="G17" s="42">
        <f t="shared" si="1"/>
        <v>249.41000000000003</v>
      </c>
      <c r="H17" s="42">
        <f t="shared" si="1"/>
        <v>195.83099999999999</v>
      </c>
      <c r="I17" s="42">
        <f t="shared" si="1"/>
        <v>114.07344532</v>
      </c>
      <c r="J17" s="42">
        <f t="shared" si="1"/>
        <v>263.09566251999996</v>
      </c>
      <c r="K17" s="42">
        <f>SUM(B17:J17)</f>
        <v>1864.4102369999998</v>
      </c>
    </row>
    <row r="18" spans="1:256" x14ac:dyDescent="0.2">
      <c r="B18" s="55"/>
      <c r="C18" s="32"/>
      <c r="D18" s="32"/>
      <c r="E18" s="32"/>
      <c r="F18" s="32"/>
      <c r="G18" s="32"/>
      <c r="H18" s="32"/>
      <c r="I18" s="32"/>
      <c r="J18" s="32"/>
      <c r="K18" s="41"/>
    </row>
    <row r="19" spans="1:256" x14ac:dyDescent="0.2">
      <c r="B19" s="55"/>
      <c r="C19" s="32"/>
      <c r="D19" s="32"/>
      <c r="E19" s="32"/>
      <c r="F19" s="32"/>
      <c r="G19" s="32"/>
      <c r="H19" s="32"/>
      <c r="I19" s="32"/>
      <c r="J19" s="32"/>
      <c r="K19" s="41"/>
    </row>
    <row r="20" spans="1:256" x14ac:dyDescent="0.2">
      <c r="A20" s="2" t="s">
        <v>14</v>
      </c>
      <c r="B20" s="55"/>
      <c r="C20" s="32"/>
      <c r="D20" s="32"/>
      <c r="E20" s="32"/>
      <c r="F20" s="32"/>
      <c r="G20" s="32"/>
      <c r="H20" s="32"/>
      <c r="I20" s="32"/>
      <c r="J20" s="32"/>
      <c r="K20" s="41"/>
    </row>
    <row r="21" spans="1:256" x14ac:dyDescent="0.2">
      <c r="B21" s="55"/>
      <c r="C21" s="32"/>
      <c r="D21" s="32"/>
      <c r="E21" s="32"/>
      <c r="F21" s="32"/>
      <c r="G21" s="32"/>
      <c r="H21" s="32"/>
      <c r="I21" s="32"/>
      <c r="J21" s="32"/>
      <c r="K21" s="41"/>
    </row>
    <row r="22" spans="1:256" x14ac:dyDescent="0.2">
      <c r="A22" s="1" t="s">
        <v>72</v>
      </c>
      <c r="B22" s="55">
        <v>13.065493979999999</v>
      </c>
      <c r="C22" s="55"/>
      <c r="D22" s="55">
        <v>9.2398826500000002</v>
      </c>
      <c r="E22" s="55">
        <v>2.75</v>
      </c>
      <c r="F22" s="55">
        <v>9.3449449999999992</v>
      </c>
      <c r="G22" s="55">
        <v>20.91</v>
      </c>
      <c r="H22" s="55"/>
      <c r="I22" s="55"/>
      <c r="J22" s="55">
        <v>61.492886949999999</v>
      </c>
      <c r="K22" s="41">
        <f t="shared" ref="K22:K27" si="2">SUM(B22:J22)</f>
        <v>116.80320857999999</v>
      </c>
    </row>
    <row r="23" spans="1:256" x14ac:dyDescent="0.2">
      <c r="A23" s="1" t="s">
        <v>104</v>
      </c>
      <c r="B23" s="55"/>
      <c r="C23" s="55"/>
      <c r="D23" s="55"/>
      <c r="E23" s="55"/>
      <c r="F23" s="55"/>
      <c r="G23" s="55">
        <v>8.32</v>
      </c>
      <c r="H23" s="55"/>
      <c r="I23" s="55"/>
      <c r="J23" s="55">
        <v>0</v>
      </c>
      <c r="K23" s="41">
        <f t="shared" si="2"/>
        <v>8.32</v>
      </c>
    </row>
    <row r="24" spans="1:256" x14ac:dyDescent="0.2">
      <c r="A24" s="1" t="s">
        <v>109</v>
      </c>
      <c r="B24" s="55"/>
      <c r="C24" s="55">
        <v>0.34</v>
      </c>
      <c r="D24" s="55">
        <v>57.744190330000002</v>
      </c>
      <c r="E24" s="55">
        <v>41.62</v>
      </c>
      <c r="F24" s="55">
        <v>5.1842220000000001</v>
      </c>
      <c r="G24" s="55">
        <v>67.97</v>
      </c>
      <c r="H24" s="55">
        <v>14.66</v>
      </c>
      <c r="I24" s="55">
        <v>21.37380366</v>
      </c>
      <c r="J24" s="55">
        <v>89.258047570000002</v>
      </c>
      <c r="K24" s="41">
        <f t="shared" si="2"/>
        <v>298.15026355999998</v>
      </c>
    </row>
    <row r="25" spans="1:256" x14ac:dyDescent="0.2">
      <c r="A25" t="s">
        <v>69</v>
      </c>
      <c r="B25" s="55"/>
      <c r="C25" s="55">
        <v>16.899999999999999</v>
      </c>
      <c r="D25" s="55"/>
      <c r="E25" s="55"/>
      <c r="F25" s="55">
        <v>0.40417399999999998</v>
      </c>
      <c r="G25" s="55">
        <v>0.91</v>
      </c>
      <c r="H25" s="55">
        <v>11.994999999999999</v>
      </c>
      <c r="I25" s="55">
        <v>3.4667379999999999</v>
      </c>
      <c r="J25" s="55">
        <v>54.212701109999998</v>
      </c>
      <c r="K25" s="41">
        <f t="shared" si="2"/>
        <v>87.888613109999994</v>
      </c>
    </row>
    <row r="26" spans="1:256" x14ac:dyDescent="0.2">
      <c r="A26" s="1" t="s">
        <v>70</v>
      </c>
      <c r="B26" s="55"/>
      <c r="C26" s="55"/>
      <c r="D26" s="55"/>
      <c r="E26" s="55"/>
      <c r="F26" s="55"/>
      <c r="G26" s="55"/>
      <c r="H26" s="55">
        <v>8.9999999999999993E-3</v>
      </c>
      <c r="I26" s="55"/>
      <c r="J26" s="55">
        <v>0</v>
      </c>
      <c r="K26" s="41">
        <f t="shared" si="2"/>
        <v>8.9999999999999993E-3</v>
      </c>
    </row>
    <row r="27" spans="1:256" x14ac:dyDescent="0.2">
      <c r="A27" s="1" t="s">
        <v>71</v>
      </c>
      <c r="B27" s="55"/>
      <c r="C27" s="55"/>
      <c r="D27" s="55">
        <f>1.24949629+1.58800876</f>
        <v>2.8375050499999999</v>
      </c>
      <c r="E27" s="55">
        <f>0.09+0.1</f>
        <v>0.19</v>
      </c>
      <c r="F27" s="55"/>
      <c r="G27" s="55">
        <v>14.37</v>
      </c>
      <c r="H27" s="55">
        <v>1.6E-2</v>
      </c>
      <c r="I27" s="55"/>
      <c r="J27" s="55">
        <v>5.76742723</v>
      </c>
      <c r="K27" s="41">
        <f t="shared" si="2"/>
        <v>23.180932279999997</v>
      </c>
    </row>
    <row r="28" spans="1:256" x14ac:dyDescent="0.2">
      <c r="B28" s="55"/>
      <c r="C28" s="32"/>
      <c r="D28" s="32"/>
      <c r="E28" s="32"/>
      <c r="F28" s="32"/>
      <c r="G28" s="32"/>
      <c r="H28" s="32"/>
      <c r="I28" s="32"/>
      <c r="J28" s="32"/>
      <c r="K28" s="41"/>
    </row>
    <row r="29" spans="1:256" s="28" customFormat="1" x14ac:dyDescent="0.2">
      <c r="A29" s="28" t="s">
        <v>12</v>
      </c>
      <c r="B29" s="56">
        <f t="shared" ref="B29:J29" si="3">SUM(B22:B27)</f>
        <v>13.065493979999999</v>
      </c>
      <c r="C29" s="42">
        <f t="shared" si="3"/>
        <v>17.239999999999998</v>
      </c>
      <c r="D29" s="42">
        <f t="shared" si="3"/>
        <v>69.821578030000012</v>
      </c>
      <c r="E29" s="42">
        <f t="shared" si="3"/>
        <v>44.559999999999995</v>
      </c>
      <c r="F29" s="42">
        <f t="shared" si="3"/>
        <v>14.933340999999999</v>
      </c>
      <c r="G29" s="42">
        <f t="shared" si="3"/>
        <v>112.48</v>
      </c>
      <c r="H29" s="42">
        <f t="shared" si="3"/>
        <v>26.68</v>
      </c>
      <c r="I29" s="42">
        <f t="shared" si="3"/>
        <v>24.84054166</v>
      </c>
      <c r="J29" s="42">
        <f t="shared" si="3"/>
        <v>210.73106286000001</v>
      </c>
      <c r="K29" s="42">
        <f>SUM(B29:J29)</f>
        <v>534.35201753000001</v>
      </c>
    </row>
    <row r="30" spans="1:256" x14ac:dyDescent="0.2">
      <c r="B30" s="55"/>
      <c r="C30" s="32"/>
      <c r="D30" s="32"/>
      <c r="E30" s="32"/>
      <c r="F30" s="32"/>
      <c r="G30" s="32"/>
      <c r="H30" s="32"/>
      <c r="I30" s="32"/>
      <c r="J30" s="32"/>
      <c r="K30" s="41"/>
    </row>
    <row r="31" spans="1:256" s="34" customFormat="1" x14ac:dyDescent="0.2">
      <c r="A31" s="34" t="s">
        <v>43</v>
      </c>
      <c r="B31" s="57">
        <f t="shared" ref="B31:J31" si="4">B17+B29</f>
        <v>69.493563660000007</v>
      </c>
      <c r="C31" s="41">
        <f t="shared" si="4"/>
        <v>119.17999999999999</v>
      </c>
      <c r="D31" s="41">
        <f t="shared" si="4"/>
        <v>551.00336951000008</v>
      </c>
      <c r="E31" s="41">
        <f t="shared" si="4"/>
        <v>300.97999999999996</v>
      </c>
      <c r="F31" s="41">
        <f t="shared" si="4"/>
        <v>160.96360900000002</v>
      </c>
      <c r="G31" s="41">
        <f t="shared" si="4"/>
        <v>361.89000000000004</v>
      </c>
      <c r="H31" s="41">
        <f t="shared" si="4"/>
        <v>222.511</v>
      </c>
      <c r="I31" s="41">
        <f t="shared" si="4"/>
        <v>138.91398698</v>
      </c>
      <c r="J31" s="41">
        <f t="shared" si="4"/>
        <v>473.82672537999997</v>
      </c>
      <c r="K31" s="41">
        <f>SUM(B31:J31)</f>
        <v>2398.7622545300001</v>
      </c>
    </row>
    <row r="32" spans="1:256" x14ac:dyDescent="0.2">
      <c r="B32" s="55"/>
      <c r="C32" s="32"/>
      <c r="D32" s="32"/>
      <c r="E32" s="32"/>
      <c r="F32" s="32"/>
      <c r="G32" s="32"/>
      <c r="H32" s="32"/>
      <c r="I32" s="32"/>
      <c r="J32" s="32"/>
      <c r="K32" s="32"/>
      <c r="L32" s="32"/>
      <c r="M32" s="32"/>
      <c r="N32" s="32"/>
      <c r="O32" s="32"/>
      <c r="P32" s="32"/>
      <c r="Q32" s="32"/>
      <c r="R32" s="32"/>
      <c r="S32" s="32"/>
      <c r="T32" s="32"/>
      <c r="U32" s="32"/>
      <c r="V32" s="32"/>
      <c r="W32" s="32"/>
      <c r="X32" s="32"/>
      <c r="Y32" s="32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2"/>
      <c r="AK32" s="32"/>
      <c r="AL32" s="32"/>
      <c r="AM32" s="32"/>
      <c r="AN32" s="32"/>
      <c r="AO32" s="32"/>
      <c r="AP32" s="32"/>
      <c r="AQ32" s="32"/>
      <c r="AR32" s="32"/>
      <c r="AS32" s="32"/>
      <c r="AT32" s="32"/>
      <c r="AU32" s="32"/>
      <c r="AV32" s="32"/>
      <c r="AW32" s="32"/>
      <c r="AX32" s="32"/>
      <c r="AY32" s="32"/>
      <c r="AZ32" s="32"/>
      <c r="BA32" s="32"/>
      <c r="BB32" s="32"/>
      <c r="BC32" s="32"/>
      <c r="BD32" s="32"/>
      <c r="BE32" s="32"/>
      <c r="BF32" s="32"/>
      <c r="BG32" s="32"/>
      <c r="BH32" s="32"/>
      <c r="BI32" s="32"/>
      <c r="BJ32" s="32"/>
      <c r="BK32" s="32"/>
      <c r="BL32" s="32"/>
      <c r="BM32" s="32"/>
      <c r="BN32" s="32"/>
      <c r="BO32" s="32"/>
      <c r="BP32" s="32"/>
      <c r="BQ32" s="32"/>
      <c r="BR32" s="32"/>
      <c r="BS32" s="32"/>
      <c r="BT32" s="32"/>
      <c r="BU32" s="32"/>
      <c r="BV32" s="32"/>
      <c r="BW32" s="32"/>
      <c r="BX32" s="32"/>
      <c r="BY32" s="32"/>
      <c r="BZ32" s="32"/>
      <c r="CA32" s="32"/>
      <c r="CB32" s="32"/>
      <c r="CC32" s="32"/>
      <c r="CD32" s="32"/>
      <c r="CE32" s="32"/>
      <c r="CF32" s="32"/>
      <c r="CG32" s="32"/>
      <c r="CH32" s="32"/>
      <c r="CI32" s="32"/>
      <c r="CJ32" s="32"/>
      <c r="CK32" s="32"/>
      <c r="CL32" s="32"/>
      <c r="CM32" s="32"/>
      <c r="CN32" s="32"/>
      <c r="CO32" s="32"/>
      <c r="CP32" s="32"/>
      <c r="CQ32" s="32"/>
      <c r="CR32" s="32"/>
      <c r="CS32" s="32"/>
      <c r="CT32" s="32"/>
      <c r="CU32" s="32"/>
      <c r="CV32" s="32"/>
      <c r="CW32" s="32"/>
      <c r="CX32" s="32"/>
      <c r="CY32" s="32"/>
      <c r="CZ32" s="32"/>
      <c r="DA32" s="32"/>
      <c r="DB32" s="32"/>
      <c r="DC32" s="32"/>
      <c r="DD32" s="32"/>
      <c r="DE32" s="32"/>
      <c r="DF32" s="32"/>
      <c r="DG32" s="32"/>
      <c r="DH32" s="32"/>
      <c r="DI32" s="32"/>
      <c r="DJ32" s="32"/>
      <c r="DK32" s="32"/>
      <c r="DL32" s="32"/>
      <c r="DM32" s="32"/>
      <c r="DN32" s="32"/>
      <c r="DO32" s="32"/>
      <c r="DP32" s="32"/>
      <c r="DQ32" s="32"/>
      <c r="DR32" s="32"/>
      <c r="DS32" s="32"/>
      <c r="DT32" s="32"/>
      <c r="DU32" s="32"/>
      <c r="DV32" s="32"/>
      <c r="DW32" s="32"/>
      <c r="DX32" s="32"/>
      <c r="DY32" s="32"/>
      <c r="DZ32" s="32"/>
      <c r="EA32" s="32"/>
      <c r="EB32" s="32"/>
      <c r="EC32" s="32"/>
      <c r="ED32" s="32"/>
      <c r="EE32" s="32"/>
      <c r="EF32" s="32"/>
      <c r="EG32" s="32"/>
      <c r="EH32" s="32"/>
      <c r="EI32" s="32"/>
      <c r="EJ32" s="32"/>
      <c r="EK32" s="32"/>
      <c r="EL32" s="32"/>
      <c r="EM32" s="32"/>
      <c r="EN32" s="32"/>
      <c r="EO32" s="32"/>
      <c r="EP32" s="32"/>
      <c r="EQ32" s="32"/>
      <c r="ER32" s="32"/>
      <c r="ES32" s="32"/>
      <c r="ET32" s="32"/>
      <c r="EU32" s="32"/>
      <c r="EV32" s="32"/>
      <c r="EW32" s="32"/>
      <c r="EX32" s="32"/>
      <c r="EY32" s="32"/>
      <c r="EZ32" s="32"/>
      <c r="FA32" s="32"/>
      <c r="FB32" s="32"/>
      <c r="FC32" s="32"/>
      <c r="FD32" s="32"/>
      <c r="FE32" s="32"/>
      <c r="FF32" s="32"/>
      <c r="FG32" s="32"/>
      <c r="FH32" s="32"/>
      <c r="FI32" s="32"/>
      <c r="FJ32" s="32"/>
      <c r="FK32" s="32"/>
      <c r="FL32" s="32"/>
      <c r="FM32" s="32"/>
      <c r="FN32" s="32"/>
      <c r="FO32" s="32"/>
      <c r="FP32" s="32"/>
      <c r="FQ32" s="32"/>
      <c r="FR32" s="32"/>
      <c r="FS32" s="32"/>
      <c r="FT32" s="32"/>
      <c r="FU32" s="32"/>
      <c r="FV32" s="32"/>
      <c r="FW32" s="32"/>
      <c r="FX32" s="32"/>
      <c r="FY32" s="32"/>
      <c r="FZ32" s="32"/>
      <c r="GA32" s="32"/>
      <c r="GB32" s="32"/>
      <c r="GC32" s="32"/>
      <c r="GD32" s="32"/>
      <c r="GE32" s="32"/>
      <c r="GF32" s="32"/>
      <c r="GG32" s="32"/>
      <c r="GH32" s="32"/>
      <c r="GI32" s="32"/>
      <c r="GJ32" s="32"/>
      <c r="GK32" s="32"/>
      <c r="GL32" s="32"/>
      <c r="GM32" s="32"/>
      <c r="GN32" s="32"/>
      <c r="GO32" s="32"/>
      <c r="GP32" s="32"/>
      <c r="GQ32" s="32"/>
      <c r="GR32" s="32"/>
      <c r="GS32" s="32"/>
      <c r="GT32" s="32"/>
      <c r="GU32" s="32"/>
      <c r="GV32" s="32"/>
      <c r="GW32" s="32"/>
      <c r="GX32" s="32"/>
      <c r="GY32" s="32"/>
      <c r="GZ32" s="32"/>
      <c r="HA32" s="32"/>
      <c r="HB32" s="32"/>
      <c r="HC32" s="32"/>
      <c r="HD32" s="32"/>
      <c r="HE32" s="32"/>
      <c r="HF32" s="32"/>
      <c r="HG32" s="32"/>
      <c r="HH32" s="32"/>
      <c r="HI32" s="32"/>
      <c r="HJ32" s="32"/>
      <c r="HK32" s="32"/>
      <c r="HL32" s="32"/>
      <c r="HM32" s="32"/>
      <c r="HN32" s="32"/>
      <c r="HO32" s="32"/>
      <c r="HP32" s="32"/>
      <c r="HQ32" s="32"/>
      <c r="HR32" s="32"/>
      <c r="HS32" s="32"/>
      <c r="HT32" s="32"/>
      <c r="HU32" s="32"/>
      <c r="HV32" s="32"/>
      <c r="HW32" s="32"/>
      <c r="HX32" s="32"/>
      <c r="HY32" s="32"/>
      <c r="HZ32" s="32"/>
      <c r="IA32" s="32"/>
      <c r="IB32" s="32"/>
      <c r="IC32" s="32"/>
      <c r="ID32" s="32"/>
      <c r="IE32" s="32"/>
      <c r="IF32" s="32"/>
      <c r="IG32" s="32"/>
      <c r="IH32" s="32"/>
      <c r="II32" s="32"/>
      <c r="IJ32" s="32"/>
      <c r="IK32" s="32"/>
      <c r="IL32" s="32"/>
      <c r="IM32" s="32"/>
      <c r="IN32" s="32"/>
      <c r="IO32" s="32"/>
      <c r="IP32" s="32"/>
      <c r="IQ32" s="32"/>
      <c r="IR32" s="32"/>
      <c r="IS32" s="32"/>
      <c r="IT32" s="32"/>
      <c r="IU32" s="32"/>
      <c r="IV32" s="32"/>
    </row>
    <row r="33" spans="1:11" x14ac:dyDescent="0.2">
      <c r="B33" s="55"/>
      <c r="C33" s="32"/>
      <c r="D33" s="32"/>
      <c r="E33" s="32"/>
      <c r="F33" s="32"/>
      <c r="G33" s="32"/>
      <c r="H33" s="32"/>
      <c r="I33" s="32"/>
      <c r="J33" s="32"/>
      <c r="K33" s="41"/>
    </row>
    <row r="34" spans="1:11" ht="15" customHeight="1" x14ac:dyDescent="0.25">
      <c r="A34" s="6" t="s">
        <v>44</v>
      </c>
      <c r="B34" s="55"/>
      <c r="C34" s="32"/>
      <c r="D34" s="32"/>
      <c r="E34" s="32"/>
      <c r="F34" s="32"/>
      <c r="G34" s="32"/>
      <c r="H34" s="32"/>
      <c r="I34" s="32"/>
      <c r="J34" s="32"/>
      <c r="K34" s="41"/>
    </row>
    <row r="35" spans="1:11" ht="12" customHeight="1" x14ac:dyDescent="0.2">
      <c r="B35" s="55"/>
      <c r="C35" s="32"/>
      <c r="D35" s="32"/>
      <c r="E35" s="32"/>
      <c r="F35" s="32"/>
      <c r="G35" s="32"/>
      <c r="H35" s="32"/>
      <c r="I35" s="32"/>
      <c r="J35" s="32"/>
      <c r="K35" s="41"/>
    </row>
    <row r="36" spans="1:11" ht="12" customHeight="1" x14ac:dyDescent="0.2">
      <c r="A36" s="2" t="s">
        <v>73</v>
      </c>
      <c r="B36" s="55"/>
      <c r="C36" s="32"/>
      <c r="D36" s="32"/>
      <c r="E36" s="32"/>
      <c r="F36" s="32"/>
      <c r="G36" s="32"/>
      <c r="H36" s="32"/>
      <c r="I36" s="32"/>
      <c r="J36" s="32"/>
      <c r="K36" s="41"/>
    </row>
    <row r="37" spans="1:11" ht="12" customHeight="1" x14ac:dyDescent="0.2">
      <c r="B37" s="55"/>
      <c r="C37" s="32"/>
      <c r="D37" s="32"/>
      <c r="E37" s="32"/>
      <c r="F37" s="32"/>
      <c r="G37" s="42"/>
      <c r="H37" s="32"/>
      <c r="I37" s="32"/>
      <c r="J37" s="32"/>
      <c r="K37" s="41"/>
    </row>
    <row r="38" spans="1:11" ht="12" customHeight="1" x14ac:dyDescent="0.2">
      <c r="A38" s="1" t="s">
        <v>74</v>
      </c>
      <c r="B38" s="55">
        <v>49.56424457</v>
      </c>
      <c r="C38" s="55">
        <v>58.87</v>
      </c>
      <c r="D38" s="63">
        <v>576.09554545000003</v>
      </c>
      <c r="E38" s="55">
        <v>231.07</v>
      </c>
      <c r="F38" s="55">
        <v>17.016082999999998</v>
      </c>
      <c r="G38" s="55">
        <v>39.54</v>
      </c>
      <c r="H38" s="55">
        <v>74.539000000000001</v>
      </c>
      <c r="I38" s="55"/>
      <c r="J38" s="55">
        <v>338.34883803000002</v>
      </c>
      <c r="K38" s="41">
        <f t="shared" ref="K38:K45" si="5">SUM(B38:J38)</f>
        <v>1385.04371105</v>
      </c>
    </row>
    <row r="39" spans="1:11" ht="12" customHeight="1" x14ac:dyDescent="0.2">
      <c r="A39" s="1" t="s">
        <v>75</v>
      </c>
      <c r="B39" s="55">
        <v>16.893505829999999</v>
      </c>
      <c r="C39" s="55"/>
      <c r="D39" s="55"/>
      <c r="E39" s="55">
        <v>1.1000000000000001</v>
      </c>
      <c r="F39" s="55">
        <v>7.9339360000000001</v>
      </c>
      <c r="G39" s="55">
        <v>0</v>
      </c>
      <c r="H39" s="55">
        <v>0</v>
      </c>
      <c r="I39" s="55"/>
      <c r="J39" s="55">
        <v>67.757059479999995</v>
      </c>
      <c r="K39" s="41">
        <f t="shared" si="5"/>
        <v>93.684501310000002</v>
      </c>
    </row>
    <row r="40" spans="1:11" ht="12" customHeight="1" x14ac:dyDescent="0.2">
      <c r="A40" s="1" t="s">
        <v>105</v>
      </c>
      <c r="B40" s="55"/>
      <c r="C40" s="55">
        <v>3.54</v>
      </c>
      <c r="D40" s="55"/>
      <c r="E40" s="55"/>
      <c r="F40" s="55"/>
      <c r="G40" s="55">
        <v>1443.02</v>
      </c>
      <c r="H40" s="55">
        <v>0</v>
      </c>
      <c r="I40" s="55"/>
      <c r="J40" s="55">
        <v>0</v>
      </c>
      <c r="K40" s="41">
        <f t="shared" si="5"/>
        <v>1446.56</v>
      </c>
    </row>
    <row r="41" spans="1:11" ht="12" customHeight="1" x14ac:dyDescent="0.2">
      <c r="A41" s="1" t="s">
        <v>107</v>
      </c>
      <c r="B41" s="55">
        <v>10.21942649</v>
      </c>
      <c r="C41" s="55">
        <v>11.05</v>
      </c>
      <c r="D41" s="55">
        <v>1930.4980288199999</v>
      </c>
      <c r="E41" s="55">
        <f>152.2+16.43</f>
        <v>168.63</v>
      </c>
      <c r="F41" s="55">
        <v>14.89</v>
      </c>
      <c r="G41" s="55">
        <v>64.08</v>
      </c>
      <c r="H41" s="55">
        <v>52.033999999999999</v>
      </c>
      <c r="I41" s="55"/>
      <c r="J41" s="55">
        <v>110.24295752</v>
      </c>
      <c r="K41" s="41">
        <f t="shared" si="5"/>
        <v>2361.64441283</v>
      </c>
    </row>
    <row r="42" spans="1:11" ht="12" customHeight="1" x14ac:dyDescent="0.2">
      <c r="A42" s="1" t="s">
        <v>106</v>
      </c>
      <c r="B42" s="55"/>
      <c r="C42" s="55"/>
      <c r="D42" s="55"/>
      <c r="E42" s="55"/>
      <c r="F42" s="55"/>
      <c r="G42" s="55">
        <v>16.72</v>
      </c>
      <c r="H42" s="55">
        <v>0</v>
      </c>
      <c r="I42" s="55"/>
      <c r="J42" s="55">
        <v>0</v>
      </c>
      <c r="K42" s="41">
        <f t="shared" si="5"/>
        <v>16.72</v>
      </c>
    </row>
    <row r="43" spans="1:11" ht="12" customHeight="1" x14ac:dyDescent="0.2">
      <c r="A43" s="1" t="s">
        <v>108</v>
      </c>
      <c r="B43" s="55"/>
      <c r="C43" s="55"/>
      <c r="D43" s="55">
        <v>744.43053989999999</v>
      </c>
      <c r="E43" s="55">
        <v>414.8</v>
      </c>
      <c r="F43" s="55"/>
      <c r="G43" s="55">
        <v>35.49</v>
      </c>
      <c r="H43" s="55">
        <v>69.989999999999995</v>
      </c>
      <c r="I43" s="55"/>
      <c r="J43" s="55">
        <v>903.14008049999995</v>
      </c>
      <c r="K43" s="41">
        <f t="shared" si="5"/>
        <v>2167.8506204</v>
      </c>
    </row>
    <row r="44" spans="1:11" ht="12" customHeight="1" x14ac:dyDescent="0.2">
      <c r="A44" s="1" t="s">
        <v>78</v>
      </c>
      <c r="B44" s="55"/>
      <c r="C44" s="55"/>
      <c r="D44" s="55"/>
      <c r="E44" s="55"/>
      <c r="F44" s="55"/>
      <c r="G44" s="55"/>
      <c r="H44" s="55">
        <v>3.0750000000000002</v>
      </c>
      <c r="I44" s="55"/>
      <c r="J44" s="55">
        <v>1.95367954</v>
      </c>
      <c r="K44" s="41">
        <f t="shared" si="5"/>
        <v>5.0286795400000006</v>
      </c>
    </row>
    <row r="45" spans="1:11" ht="12" customHeight="1" x14ac:dyDescent="0.2">
      <c r="A45" s="1" t="s">
        <v>79</v>
      </c>
      <c r="B45" s="55"/>
      <c r="C45" s="55">
        <v>131.41</v>
      </c>
      <c r="D45" s="55"/>
      <c r="E45" s="55"/>
      <c r="F45" s="55"/>
      <c r="G45" s="55"/>
      <c r="H45" s="55">
        <v>0</v>
      </c>
      <c r="I45" s="55"/>
      <c r="J45" s="55">
        <v>0</v>
      </c>
      <c r="K45" s="41">
        <f t="shared" si="5"/>
        <v>131.41</v>
      </c>
    </row>
    <row r="46" spans="1:11" ht="12" customHeight="1" x14ac:dyDescent="0.2">
      <c r="B46" s="55"/>
      <c r="C46" s="55"/>
      <c r="D46" s="55"/>
      <c r="E46" s="55"/>
      <c r="F46" s="55"/>
      <c r="G46" s="55"/>
      <c r="H46" s="55"/>
      <c r="I46" s="55"/>
      <c r="J46" s="55"/>
      <c r="K46" s="41"/>
    </row>
    <row r="47" spans="1:11" s="2" customFormat="1" ht="12" customHeight="1" x14ac:dyDescent="0.2">
      <c r="A47" s="7" t="s">
        <v>12</v>
      </c>
      <c r="B47" s="57">
        <f t="shared" ref="B47:J47" si="6">SUM(B38:B45)</f>
        <v>76.677176889999998</v>
      </c>
      <c r="C47" s="41">
        <f t="shared" si="6"/>
        <v>204.87</v>
      </c>
      <c r="D47" s="41">
        <f t="shared" si="6"/>
        <v>3251.0241141699998</v>
      </c>
      <c r="E47" s="41">
        <f t="shared" si="6"/>
        <v>815.59999999999991</v>
      </c>
      <c r="F47" s="41">
        <f t="shared" si="6"/>
        <v>39.840018999999998</v>
      </c>
      <c r="G47" s="41">
        <f t="shared" si="6"/>
        <v>1598.85</v>
      </c>
      <c r="H47" s="41">
        <f t="shared" si="6"/>
        <v>199.63799999999998</v>
      </c>
      <c r="I47" s="41">
        <f t="shared" si="6"/>
        <v>0</v>
      </c>
      <c r="J47" s="41">
        <f t="shared" si="6"/>
        <v>1421.4426150700001</v>
      </c>
      <c r="K47" s="41">
        <f>SUM(B47:J47)</f>
        <v>7607.9419251299996</v>
      </c>
    </row>
    <row r="48" spans="1:11" ht="12" customHeight="1" x14ac:dyDescent="0.2">
      <c r="B48" s="55"/>
      <c r="C48" s="32"/>
      <c r="D48" s="32"/>
      <c r="E48" s="32"/>
      <c r="F48" s="32"/>
      <c r="G48" s="32"/>
      <c r="H48" s="32"/>
      <c r="I48" s="32"/>
      <c r="J48" s="32"/>
      <c r="K48" s="41"/>
    </row>
    <row r="49" spans="1:11" ht="12" customHeight="1" x14ac:dyDescent="0.2">
      <c r="A49" s="2" t="s">
        <v>45</v>
      </c>
      <c r="B49" s="55"/>
      <c r="C49" s="32"/>
      <c r="D49" s="32"/>
      <c r="E49" s="32"/>
      <c r="F49" s="32"/>
      <c r="G49" s="32"/>
      <c r="H49" s="32"/>
      <c r="I49" s="32"/>
      <c r="J49" s="32"/>
      <c r="K49" s="41"/>
    </row>
    <row r="50" spans="1:11" ht="12" customHeight="1" x14ac:dyDescent="0.2">
      <c r="B50" s="55"/>
      <c r="C50" s="32"/>
      <c r="D50" s="32"/>
      <c r="E50" s="32"/>
      <c r="F50" s="32"/>
      <c r="G50" s="32"/>
      <c r="H50" s="32"/>
      <c r="I50" s="32"/>
      <c r="J50" s="32"/>
      <c r="K50" s="41"/>
    </row>
    <row r="51" spans="1:11" ht="12" customHeight="1" x14ac:dyDescent="0.2">
      <c r="A51" s="1" t="s">
        <v>46</v>
      </c>
      <c r="B51" s="55">
        <v>923.47006553999995</v>
      </c>
      <c r="C51" s="55">
        <v>1082.8699999999999</v>
      </c>
      <c r="D51" s="63">
        <v>1673.40683279</v>
      </c>
      <c r="E51" s="55">
        <v>826.47</v>
      </c>
      <c r="F51" s="55">
        <v>985.83069599999999</v>
      </c>
      <c r="G51" s="55">
        <v>1710.07</v>
      </c>
      <c r="H51" s="55">
        <v>2693.33</v>
      </c>
      <c r="I51" s="55">
        <v>1715.16874009</v>
      </c>
      <c r="J51" s="55">
        <v>2591.2197779899998</v>
      </c>
      <c r="K51" s="41">
        <f>SUM(B51:J51)</f>
        <v>14201.836112409999</v>
      </c>
    </row>
    <row r="52" spans="1:11" ht="12" customHeight="1" x14ac:dyDescent="0.2">
      <c r="A52" s="1" t="s">
        <v>47</v>
      </c>
      <c r="B52" s="55">
        <v>124.66709856999999</v>
      </c>
      <c r="C52" s="55"/>
      <c r="D52" s="55"/>
      <c r="E52" s="55">
        <v>6.39</v>
      </c>
      <c r="F52" s="55">
        <v>42.876984</v>
      </c>
      <c r="G52" s="55">
        <v>259.83</v>
      </c>
      <c r="H52" s="55">
        <v>51.991</v>
      </c>
      <c r="I52" s="55">
        <v>1.0083166800000001</v>
      </c>
      <c r="J52" s="55">
        <v>128.07663252</v>
      </c>
      <c r="K52" s="41">
        <f>SUM(B52:J52)</f>
        <v>614.84003177</v>
      </c>
    </row>
    <row r="53" spans="1:11" ht="12" customHeight="1" x14ac:dyDescent="0.2">
      <c r="B53" s="55"/>
      <c r="C53" s="32"/>
      <c r="D53" s="32"/>
      <c r="E53" s="32"/>
      <c r="F53" s="32"/>
      <c r="G53" s="32"/>
      <c r="H53" s="32"/>
      <c r="I53" s="32"/>
      <c r="J53" s="32"/>
      <c r="K53" s="41"/>
    </row>
    <row r="54" spans="1:11" s="34" customFormat="1" ht="12" customHeight="1" x14ac:dyDescent="0.2">
      <c r="A54" s="34" t="s">
        <v>12</v>
      </c>
      <c r="B54" s="57">
        <f t="shared" ref="B54:J54" si="7">SUM(B51:B52)</f>
        <v>1048.13716411</v>
      </c>
      <c r="C54" s="41">
        <f t="shared" si="7"/>
        <v>1082.8699999999999</v>
      </c>
      <c r="D54" s="41">
        <f t="shared" si="7"/>
        <v>1673.40683279</v>
      </c>
      <c r="E54" s="41">
        <f t="shared" si="7"/>
        <v>832.86</v>
      </c>
      <c r="F54" s="41">
        <f t="shared" si="7"/>
        <v>1028.70768</v>
      </c>
      <c r="G54" s="41">
        <f t="shared" si="7"/>
        <v>1969.8999999999999</v>
      </c>
      <c r="H54" s="41">
        <f t="shared" si="7"/>
        <v>2745.3209999999999</v>
      </c>
      <c r="I54" s="41">
        <f t="shared" si="7"/>
        <v>1716.17705677</v>
      </c>
      <c r="J54" s="41">
        <f t="shared" si="7"/>
        <v>2719.29641051</v>
      </c>
      <c r="K54" s="41">
        <f>SUM(B54:J54)</f>
        <v>14816.676144179999</v>
      </c>
    </row>
    <row r="55" spans="1:11" ht="12" customHeight="1" x14ac:dyDescent="0.2">
      <c r="B55" s="55"/>
      <c r="C55" s="32"/>
      <c r="D55" s="32"/>
      <c r="E55" s="32"/>
      <c r="F55" s="32"/>
      <c r="G55" s="32"/>
      <c r="H55" s="32"/>
      <c r="I55" s="32"/>
      <c r="J55" s="32"/>
      <c r="K55" s="41"/>
    </row>
    <row r="56" spans="1:11" s="2" customFormat="1" ht="12" customHeight="1" x14ac:dyDescent="0.2">
      <c r="A56" s="2" t="s">
        <v>48</v>
      </c>
      <c r="B56" s="55">
        <v>75.987114030000001</v>
      </c>
      <c r="C56" s="55">
        <v>18.16</v>
      </c>
      <c r="D56" s="55">
        <v>224.40188286</v>
      </c>
      <c r="E56" s="55">
        <v>0</v>
      </c>
      <c r="F56" s="55">
        <v>41.297061999999997</v>
      </c>
      <c r="G56" s="55">
        <v>211.88</v>
      </c>
      <c r="H56" s="55">
        <v>0</v>
      </c>
      <c r="I56" s="55">
        <v>0</v>
      </c>
      <c r="J56" s="55">
        <v>404.15406838000001</v>
      </c>
      <c r="K56" s="41">
        <f>SUM(B56:J56)</f>
        <v>975.88012727</v>
      </c>
    </row>
    <row r="57" spans="1:11" ht="12" customHeight="1" x14ac:dyDescent="0.2">
      <c r="B57" s="55"/>
      <c r="C57" s="32"/>
      <c r="D57" s="32"/>
      <c r="E57" s="32"/>
      <c r="F57" s="32"/>
      <c r="G57" s="32"/>
      <c r="H57" s="32"/>
      <c r="I57" s="32"/>
      <c r="J57" s="32"/>
      <c r="K57" s="41"/>
    </row>
    <row r="58" spans="1:11" ht="12" customHeight="1" x14ac:dyDescent="0.2">
      <c r="A58" s="2" t="s">
        <v>49</v>
      </c>
      <c r="B58" s="55"/>
      <c r="C58" s="32"/>
      <c r="D58" s="32"/>
      <c r="E58" s="32"/>
      <c r="F58" s="32"/>
      <c r="G58" s="32"/>
      <c r="H58" s="32"/>
      <c r="I58" s="32"/>
      <c r="J58" s="32"/>
      <c r="K58" s="41"/>
    </row>
    <row r="59" spans="1:11" ht="12" customHeight="1" x14ac:dyDescent="0.2">
      <c r="B59" s="55"/>
      <c r="C59" s="32"/>
      <c r="D59" s="32"/>
      <c r="E59" s="32"/>
      <c r="F59" s="32"/>
      <c r="G59" s="32"/>
      <c r="H59" s="32"/>
      <c r="I59" s="32"/>
      <c r="J59" s="32"/>
      <c r="K59" s="41"/>
    </row>
    <row r="60" spans="1:11" ht="12" customHeight="1" x14ac:dyDescent="0.2">
      <c r="A60" s="34" t="s">
        <v>117</v>
      </c>
      <c r="B60" s="55"/>
      <c r="C60" s="32"/>
      <c r="D60" s="32"/>
      <c r="E60" s="32"/>
      <c r="F60" s="32"/>
      <c r="G60" s="32"/>
      <c r="H60" s="32"/>
      <c r="I60" s="32"/>
      <c r="J60" s="32"/>
      <c r="K60" s="41"/>
    </row>
    <row r="61" spans="1:11" ht="12" customHeight="1" x14ac:dyDescent="0.2">
      <c r="A61" s="1" t="s">
        <v>50</v>
      </c>
      <c r="B61" s="55">
        <v>51.208565999999998</v>
      </c>
      <c r="C61" s="55">
        <v>114.48</v>
      </c>
      <c r="D61" s="55">
        <v>299.79036000000002</v>
      </c>
      <c r="E61" s="55">
        <v>285.69</v>
      </c>
      <c r="F61" s="55">
        <v>112.559128</v>
      </c>
      <c r="G61" s="55">
        <v>238.17</v>
      </c>
      <c r="H61" s="55">
        <v>138.93199999999999</v>
      </c>
      <c r="I61" s="55">
        <v>75.886801000000006</v>
      </c>
      <c r="J61" s="55">
        <v>464.34580449999999</v>
      </c>
      <c r="K61" s="41">
        <f>SUM(B61:J61)</f>
        <v>1781.0626595000001</v>
      </c>
    </row>
    <row r="62" spans="1:11" ht="12" customHeight="1" x14ac:dyDescent="0.2">
      <c r="A62" s="1" t="s">
        <v>81</v>
      </c>
      <c r="B62" s="55">
        <v>0.22048847999999999</v>
      </c>
      <c r="C62" s="55">
        <v>0.49</v>
      </c>
      <c r="D62" s="55">
        <v>159.47673209000001</v>
      </c>
      <c r="E62" s="55">
        <v>318.89999999999998</v>
      </c>
      <c r="F62" s="55">
        <v>0.47695900000000002</v>
      </c>
      <c r="G62" s="55">
        <v>1.04</v>
      </c>
      <c r="H62" s="55">
        <v>0</v>
      </c>
      <c r="I62" s="55">
        <v>8.46211454</v>
      </c>
      <c r="J62" s="55">
        <v>1.7118623100000001</v>
      </c>
      <c r="K62" s="41">
        <f>SUM(B62:J62)</f>
        <v>490.77815642000007</v>
      </c>
    </row>
    <row r="63" spans="1:11" ht="12" customHeight="1" x14ac:dyDescent="0.2">
      <c r="A63" s="1" t="s">
        <v>110</v>
      </c>
      <c r="B63" s="55"/>
      <c r="C63" s="55"/>
      <c r="D63" s="55"/>
      <c r="E63" s="55"/>
      <c r="F63" s="55"/>
      <c r="G63" s="55"/>
      <c r="H63" s="55"/>
      <c r="I63" s="55"/>
      <c r="J63" s="55"/>
      <c r="K63" s="41"/>
    </row>
    <row r="64" spans="1:11" ht="12" customHeight="1" x14ac:dyDescent="0.2">
      <c r="A64" s="1" t="s">
        <v>111</v>
      </c>
      <c r="B64" s="55"/>
      <c r="C64" s="55">
        <v>-6.3</v>
      </c>
      <c r="D64" s="55"/>
      <c r="E64" s="55"/>
      <c r="F64" s="55"/>
      <c r="G64" s="55">
        <v>-23.13</v>
      </c>
      <c r="H64" s="55"/>
      <c r="I64" s="55"/>
      <c r="J64" s="55">
        <v>-16.582632790000002</v>
      </c>
      <c r="K64" s="41">
        <f t="shared" ref="K64:K73" si="8">SUM(B64:J64)</f>
        <v>-46.012632789999998</v>
      </c>
    </row>
    <row r="65" spans="1:11" ht="12" customHeight="1" x14ac:dyDescent="0.2">
      <c r="A65" s="1" t="s">
        <v>112</v>
      </c>
      <c r="B65" s="55"/>
      <c r="C65" s="55"/>
      <c r="D65" s="55">
        <v>-0.60117847000000002</v>
      </c>
      <c r="E65" s="55"/>
      <c r="F65" s="55">
        <v>-0.28642099999999998</v>
      </c>
      <c r="G65" s="55">
        <v>-0.11</v>
      </c>
      <c r="H65" s="55"/>
      <c r="I65" s="55"/>
      <c r="J65" s="55">
        <v>-1.09762011</v>
      </c>
      <c r="K65" s="41">
        <f t="shared" si="8"/>
        <v>-2.0952195800000002</v>
      </c>
    </row>
    <row r="66" spans="1:11" ht="12" customHeight="1" x14ac:dyDescent="0.2">
      <c r="A66" s="1" t="s">
        <v>113</v>
      </c>
      <c r="B66" s="55"/>
      <c r="C66" s="55"/>
      <c r="D66" s="55">
        <v>-0.436</v>
      </c>
      <c r="E66" s="55">
        <v>-5.89</v>
      </c>
      <c r="F66" s="55"/>
      <c r="G66" s="55">
        <v>-13.64</v>
      </c>
      <c r="H66" s="55"/>
      <c r="I66" s="55"/>
      <c r="J66" s="55"/>
      <c r="K66" s="41">
        <f t="shared" si="8"/>
        <v>-19.966000000000001</v>
      </c>
    </row>
    <row r="67" spans="1:11" ht="12" customHeight="1" x14ac:dyDescent="0.2">
      <c r="A67" s="1" t="s">
        <v>114</v>
      </c>
      <c r="B67" s="55"/>
      <c r="C67" s="55">
        <v>-6.07</v>
      </c>
      <c r="D67" s="55"/>
      <c r="E67" s="55"/>
      <c r="F67" s="55"/>
      <c r="G67" s="55"/>
      <c r="H67" s="55"/>
      <c r="I67" s="55">
        <v>-1.3040292</v>
      </c>
      <c r="J67" s="55"/>
      <c r="K67" s="41">
        <f t="shared" si="8"/>
        <v>-7.3740292000000007</v>
      </c>
    </row>
    <row r="68" spans="1:11" ht="12" customHeight="1" x14ac:dyDescent="0.2">
      <c r="A68" s="1" t="s">
        <v>115</v>
      </c>
      <c r="B68" s="55">
        <v>-19.997915679999998</v>
      </c>
      <c r="C68" s="55">
        <v>-2.2999999999999998</v>
      </c>
      <c r="D68" s="55"/>
      <c r="E68" s="55">
        <v>-295.10000000000002</v>
      </c>
      <c r="F68" s="55">
        <v>-7.2670000000000003</v>
      </c>
      <c r="G68" s="55"/>
      <c r="H68" s="55"/>
      <c r="I68" s="65">
        <f>-3.1024-8.17412466</f>
        <v>-11.27652466</v>
      </c>
      <c r="J68" s="55"/>
      <c r="K68" s="41">
        <f t="shared" si="8"/>
        <v>-335.94144034000004</v>
      </c>
    </row>
    <row r="69" spans="1:11" ht="12" customHeight="1" x14ac:dyDescent="0.2">
      <c r="A69" s="1" t="s">
        <v>116</v>
      </c>
      <c r="B69" s="55">
        <v>-0.10164656</v>
      </c>
      <c r="C69" s="58">
        <f>-0.03-0.02-4.07-0.36-1.2-1-0.01</f>
        <v>-6.69</v>
      </c>
      <c r="D69" s="55">
        <v>-0.36900741999999997</v>
      </c>
      <c r="E69" s="55">
        <v>-2.4700000000000002</v>
      </c>
      <c r="F69" s="55">
        <v>-4.3999999999999999E-5</v>
      </c>
      <c r="G69" s="55"/>
      <c r="H69" s="55"/>
      <c r="I69" s="55"/>
      <c r="J69" s="66">
        <v>-14.63761684</v>
      </c>
      <c r="K69" s="41">
        <f t="shared" si="8"/>
        <v>-24.268314820000001</v>
      </c>
    </row>
    <row r="70" spans="1:11" ht="12" customHeight="1" x14ac:dyDescent="0.2">
      <c r="A70" s="1" t="s">
        <v>52</v>
      </c>
      <c r="B70" s="55">
        <v>1.1200000000000001E-6</v>
      </c>
      <c r="C70" s="55">
        <v>0.81</v>
      </c>
      <c r="D70" s="55"/>
      <c r="E70" s="55"/>
      <c r="F70" s="55">
        <v>1.018934</v>
      </c>
      <c r="G70" s="55">
        <v>6.12</v>
      </c>
      <c r="H70" s="55">
        <v>0.18</v>
      </c>
      <c r="I70" s="55"/>
      <c r="J70" s="55"/>
      <c r="K70" s="41">
        <f t="shared" si="8"/>
        <v>8.1289351199999995</v>
      </c>
    </row>
    <row r="71" spans="1:11" ht="12" customHeight="1" x14ac:dyDescent="0.2">
      <c r="A71" s="1" t="s">
        <v>53</v>
      </c>
      <c r="B71" s="55">
        <f>38.17851571+0.68173696</f>
        <v>38.860252670000001</v>
      </c>
      <c r="C71" s="55">
        <v>20.21</v>
      </c>
      <c r="D71" s="55">
        <v>20.57087606</v>
      </c>
      <c r="E71" s="55">
        <v>9.31</v>
      </c>
      <c r="F71" s="55">
        <f>1.227502+32.312311+8.777+0.12667+0.271272</f>
        <v>42.714755000000004</v>
      </c>
      <c r="G71" s="55">
        <v>224.62</v>
      </c>
      <c r="H71" s="55">
        <f>80.417+3.625</f>
        <v>84.042000000000002</v>
      </c>
      <c r="I71" s="55">
        <v>65.591584269999998</v>
      </c>
      <c r="J71" s="55">
        <v>182.05451191</v>
      </c>
      <c r="K71" s="41">
        <f t="shared" si="8"/>
        <v>687.97397991000003</v>
      </c>
    </row>
    <row r="72" spans="1:11" ht="12" customHeight="1" x14ac:dyDescent="0.2">
      <c r="A72" s="1" t="s">
        <v>60</v>
      </c>
      <c r="B72" s="73">
        <v>-8.2733045500000006</v>
      </c>
      <c r="C72" s="55"/>
      <c r="D72" s="55"/>
      <c r="E72" s="55"/>
      <c r="F72" s="55"/>
      <c r="G72" s="55"/>
      <c r="H72" s="55"/>
      <c r="I72" s="55"/>
      <c r="J72" s="55"/>
      <c r="K72" s="41">
        <f t="shared" si="8"/>
        <v>-8.2733045500000006</v>
      </c>
    </row>
    <row r="73" spans="1:11" s="34" customFormat="1" ht="12" customHeight="1" x14ac:dyDescent="0.2">
      <c r="A73" s="34" t="s">
        <v>12</v>
      </c>
      <c r="B73" s="57">
        <f t="shared" ref="B73:J73" si="9">SUM(B61:B72)</f>
        <v>61.91644148000001</v>
      </c>
      <c r="C73" s="41">
        <f t="shared" si="9"/>
        <v>114.63</v>
      </c>
      <c r="D73" s="41">
        <f t="shared" si="9"/>
        <v>478.43178226000003</v>
      </c>
      <c r="E73" s="41">
        <f t="shared" si="9"/>
        <v>310.43999999999988</v>
      </c>
      <c r="F73" s="41">
        <f t="shared" si="9"/>
        <v>149.21631099999999</v>
      </c>
      <c r="G73" s="41">
        <f t="shared" si="9"/>
        <v>433.07</v>
      </c>
      <c r="H73" s="41">
        <f t="shared" si="9"/>
        <v>223.154</v>
      </c>
      <c r="I73" s="41">
        <f t="shared" si="9"/>
        <v>137.35994595</v>
      </c>
      <c r="J73" s="41">
        <f t="shared" si="9"/>
        <v>615.79430897999998</v>
      </c>
      <c r="K73" s="41">
        <f t="shared" si="8"/>
        <v>2524.0127896699996</v>
      </c>
    </row>
    <row r="74" spans="1:11" ht="12" customHeight="1" x14ac:dyDescent="0.2">
      <c r="B74" s="55"/>
      <c r="C74" s="32"/>
      <c r="D74" s="32"/>
      <c r="E74" s="32"/>
      <c r="F74" s="32"/>
      <c r="G74" s="32"/>
      <c r="H74" s="32"/>
      <c r="I74" s="32"/>
      <c r="J74" s="32"/>
      <c r="K74" s="41"/>
    </row>
    <row r="75" spans="1:11" ht="12" customHeight="1" x14ac:dyDescent="0.2">
      <c r="A75" s="34" t="s">
        <v>42</v>
      </c>
      <c r="B75" s="55"/>
      <c r="C75" s="32"/>
      <c r="D75" s="32"/>
      <c r="E75" s="32"/>
      <c r="F75" s="32"/>
      <c r="G75" s="32"/>
      <c r="H75" s="32"/>
      <c r="I75" s="32"/>
      <c r="J75" s="32"/>
      <c r="K75" s="41"/>
    </row>
    <row r="76" spans="1:11" ht="12" customHeight="1" x14ac:dyDescent="0.2">
      <c r="A76" s="1" t="s">
        <v>118</v>
      </c>
      <c r="B76" s="55">
        <f t="shared" ref="B76:J76" si="10">B17</f>
        <v>56.42806968</v>
      </c>
      <c r="C76" s="55">
        <f t="shared" si="10"/>
        <v>101.94</v>
      </c>
      <c r="D76" s="55">
        <f t="shared" si="10"/>
        <v>481.18179148000002</v>
      </c>
      <c r="E76" s="55">
        <f t="shared" si="10"/>
        <v>256.41999999999996</v>
      </c>
      <c r="F76" s="55">
        <f t="shared" si="10"/>
        <v>146.03026800000001</v>
      </c>
      <c r="G76" s="55">
        <f t="shared" si="10"/>
        <v>249.41000000000003</v>
      </c>
      <c r="H76" s="55">
        <f t="shared" si="10"/>
        <v>195.83099999999999</v>
      </c>
      <c r="I76" s="55">
        <f t="shared" si="10"/>
        <v>114.07344532</v>
      </c>
      <c r="J76" s="55">
        <f t="shared" si="10"/>
        <v>263.09566251999996</v>
      </c>
      <c r="K76" s="41">
        <f t="shared" ref="K76:K81" si="11">SUM(B76:J76)</f>
        <v>1864.4102369999998</v>
      </c>
    </row>
    <row r="77" spans="1:11" ht="12" customHeight="1" x14ac:dyDescent="0.2">
      <c r="A77" s="1" t="s">
        <v>47</v>
      </c>
      <c r="B77" s="55">
        <f t="shared" ref="B77:J77" si="12">B29</f>
        <v>13.065493979999999</v>
      </c>
      <c r="C77" s="55">
        <f t="shared" si="12"/>
        <v>17.239999999999998</v>
      </c>
      <c r="D77" s="55">
        <f t="shared" si="12"/>
        <v>69.821578030000012</v>
      </c>
      <c r="E77" s="55">
        <f t="shared" si="12"/>
        <v>44.559999999999995</v>
      </c>
      <c r="F77" s="55">
        <f t="shared" si="12"/>
        <v>14.933340999999999</v>
      </c>
      <c r="G77" s="55">
        <f t="shared" si="12"/>
        <v>112.48</v>
      </c>
      <c r="H77" s="55">
        <f t="shared" si="12"/>
        <v>26.68</v>
      </c>
      <c r="I77" s="55">
        <f t="shared" si="12"/>
        <v>24.84054166</v>
      </c>
      <c r="J77" s="62">
        <f t="shared" si="12"/>
        <v>210.73106286000001</v>
      </c>
      <c r="K77" s="41">
        <f t="shared" si="11"/>
        <v>534.35201753000001</v>
      </c>
    </row>
    <row r="78" spans="1:11" ht="12" customHeight="1" x14ac:dyDescent="0.2">
      <c r="A78" s="1" t="s">
        <v>119</v>
      </c>
      <c r="B78" s="55"/>
      <c r="C78" s="55"/>
      <c r="D78" s="55"/>
      <c r="E78" s="55">
        <v>9.4700000000000006</v>
      </c>
      <c r="F78" s="55"/>
      <c r="G78" s="55"/>
      <c r="H78" s="55"/>
      <c r="I78" s="55"/>
      <c r="J78" s="55">
        <v>7.1591196999999998</v>
      </c>
      <c r="K78" s="41">
        <f t="shared" si="11"/>
        <v>16.6291197</v>
      </c>
    </row>
    <row r="79" spans="1:11" ht="12" customHeight="1" x14ac:dyDescent="0.2">
      <c r="A79" s="1" t="s">
        <v>120</v>
      </c>
      <c r="B79" s="55"/>
      <c r="C79" s="55"/>
      <c r="D79" s="55"/>
      <c r="E79" s="55"/>
      <c r="F79" s="55"/>
      <c r="G79" s="55"/>
      <c r="H79" s="55"/>
      <c r="I79" s="55"/>
      <c r="J79" s="55">
        <v>135.19946512000001</v>
      </c>
      <c r="K79" s="41">
        <f t="shared" si="11"/>
        <v>135.19946512000001</v>
      </c>
    </row>
    <row r="80" spans="1:11" ht="12" customHeight="1" x14ac:dyDescent="0.2">
      <c r="A80" s="1" t="s">
        <v>121</v>
      </c>
      <c r="B80" s="55"/>
      <c r="C80" s="55">
        <v>1.72</v>
      </c>
      <c r="D80" s="55"/>
      <c r="E80" s="55"/>
      <c r="F80" s="55"/>
      <c r="G80" s="55"/>
      <c r="H80" s="55"/>
      <c r="I80" s="55"/>
      <c r="J80" s="55"/>
      <c r="K80" s="41">
        <f t="shared" si="11"/>
        <v>1.72</v>
      </c>
    </row>
    <row r="81" spans="1:11" ht="12" customHeight="1" x14ac:dyDescent="0.2">
      <c r="A81" s="34" t="s">
        <v>12</v>
      </c>
      <c r="B81" s="57">
        <f t="shared" ref="B81:J81" si="13">SUM(B76:B80)</f>
        <v>69.493563660000007</v>
      </c>
      <c r="C81" s="41">
        <f t="shared" si="13"/>
        <v>120.89999999999999</v>
      </c>
      <c r="D81" s="41">
        <f t="shared" si="13"/>
        <v>551.00336951000008</v>
      </c>
      <c r="E81" s="41">
        <f t="shared" si="13"/>
        <v>310.45</v>
      </c>
      <c r="F81" s="41">
        <f t="shared" si="13"/>
        <v>160.96360900000002</v>
      </c>
      <c r="G81" s="41">
        <f t="shared" si="13"/>
        <v>361.89000000000004</v>
      </c>
      <c r="H81" s="41">
        <f t="shared" si="13"/>
        <v>222.511</v>
      </c>
      <c r="I81" s="41">
        <f t="shared" si="13"/>
        <v>138.91398698</v>
      </c>
      <c r="J81" s="41">
        <f t="shared" si="13"/>
        <v>616.1853102</v>
      </c>
      <c r="K81" s="41">
        <f t="shared" si="11"/>
        <v>2552.3108393500002</v>
      </c>
    </row>
    <row r="82" spans="1:11" ht="12" customHeight="1" x14ac:dyDescent="0.2">
      <c r="A82" s="55"/>
      <c r="B82" s="55"/>
      <c r="C82" s="32"/>
      <c r="D82" s="32"/>
      <c r="E82" s="32"/>
      <c r="F82" s="32"/>
      <c r="G82" s="32"/>
      <c r="H82" s="32"/>
      <c r="I82" s="32"/>
      <c r="J82" s="32"/>
      <c r="K82" s="41"/>
    </row>
    <row r="83" spans="1:11" s="2" customFormat="1" ht="12" customHeight="1" x14ac:dyDescent="0.2">
      <c r="A83" s="7" t="s">
        <v>122</v>
      </c>
      <c r="B83" s="55">
        <f t="shared" ref="B83:J83" si="14">B73-B81</f>
        <v>-7.5771221799999964</v>
      </c>
      <c r="C83" s="32">
        <f t="shared" si="14"/>
        <v>-6.269999999999996</v>
      </c>
      <c r="D83" s="32">
        <f t="shared" si="14"/>
        <v>-72.57158725000005</v>
      </c>
      <c r="E83" s="32">
        <f t="shared" si="14"/>
        <v>-1.0000000000104592E-2</v>
      </c>
      <c r="F83" s="32">
        <f t="shared" si="14"/>
        <v>-11.747298000000029</v>
      </c>
      <c r="G83" s="32">
        <f t="shared" si="14"/>
        <v>71.17999999999995</v>
      </c>
      <c r="H83" s="32">
        <f t="shared" si="14"/>
        <v>0.64300000000000068</v>
      </c>
      <c r="I83" s="32">
        <f t="shared" si="14"/>
        <v>-1.5540410300000076</v>
      </c>
      <c r="J83" s="32">
        <f t="shared" si="14"/>
        <v>-0.39100122000002102</v>
      </c>
      <c r="K83" s="41">
        <f>SUM(B83:J83)</f>
        <v>-28.298049680000247</v>
      </c>
    </row>
    <row r="84" spans="1:11" s="2" customFormat="1" ht="12" customHeight="1" x14ac:dyDescent="0.2">
      <c r="A84" s="7"/>
      <c r="B84" s="55"/>
      <c r="C84" s="32"/>
      <c r="D84" s="32"/>
      <c r="E84" s="32"/>
      <c r="F84" s="32"/>
      <c r="G84" s="32"/>
      <c r="H84" s="32"/>
      <c r="I84" s="32"/>
      <c r="J84" s="32"/>
      <c r="K84" s="41"/>
    </row>
    <row r="85" spans="1:11" s="2" customFormat="1" ht="12" customHeight="1" x14ac:dyDescent="0.2">
      <c r="A85" s="7" t="s">
        <v>123</v>
      </c>
      <c r="B85" s="55"/>
      <c r="C85" s="55"/>
      <c r="D85" s="55"/>
      <c r="E85" s="55"/>
      <c r="F85" s="55"/>
      <c r="G85" s="55"/>
      <c r="H85" s="55"/>
      <c r="I85" s="55"/>
      <c r="J85" s="55"/>
      <c r="K85" s="41"/>
    </row>
    <row r="86" spans="1:11" s="2" customFormat="1" ht="12" customHeight="1" x14ac:dyDescent="0.2">
      <c r="A86" s="7" t="s">
        <v>124</v>
      </c>
      <c r="B86" s="55">
        <v>18.261085659999999</v>
      </c>
      <c r="C86" s="55"/>
      <c r="D86" s="55"/>
      <c r="E86" s="55"/>
      <c r="F86" s="55"/>
      <c r="G86" s="55">
        <v>49.07</v>
      </c>
      <c r="H86" s="55">
        <v>0</v>
      </c>
      <c r="I86" s="55"/>
      <c r="J86" s="55"/>
      <c r="K86" s="41">
        <f>SUM(B86:J86)</f>
        <v>67.331085659999999</v>
      </c>
    </row>
    <row r="87" spans="1:11" s="2" customFormat="1" ht="12" customHeight="1" x14ac:dyDescent="0.2">
      <c r="A87" s="7" t="s">
        <v>125</v>
      </c>
      <c r="B87" s="55"/>
      <c r="C87" s="55">
        <v>0.09</v>
      </c>
      <c r="D87" s="55"/>
      <c r="E87" s="55"/>
      <c r="F87" s="55"/>
      <c r="G87" s="55">
        <v>112.14</v>
      </c>
      <c r="H87" s="55">
        <v>0</v>
      </c>
      <c r="I87" s="55"/>
      <c r="J87" s="55">
        <v>48.920580270000002</v>
      </c>
      <c r="K87" s="41">
        <f>SUM(B87:J87)</f>
        <v>161.15058027000001</v>
      </c>
    </row>
    <row r="88" spans="1:11" ht="12" customHeight="1" x14ac:dyDescent="0.2"/>
    <row r="89" spans="1:11" ht="12" customHeight="1" x14ac:dyDescent="0.2">
      <c r="A89" s="52"/>
    </row>
    <row r="90" spans="1:11" ht="12" customHeight="1" x14ac:dyDescent="0.2">
      <c r="A90" s="52"/>
    </row>
    <row r="91" spans="1:11" ht="12" customHeight="1" x14ac:dyDescent="0.2">
      <c r="A91" s="53" t="s">
        <v>158</v>
      </c>
    </row>
    <row r="92" spans="1:11" ht="12" customHeight="1" x14ac:dyDescent="0.2">
      <c r="A92" s="53" t="s">
        <v>150</v>
      </c>
    </row>
    <row r="93" spans="1:11" ht="12" customHeight="1" x14ac:dyDescent="0.2">
      <c r="A93" s="67" t="s">
        <v>151</v>
      </c>
      <c r="B93" s="55"/>
    </row>
    <row r="94" spans="1:11" ht="12" customHeight="1" x14ac:dyDescent="0.2">
      <c r="A94" s="53" t="s">
        <v>141</v>
      </c>
    </row>
    <row r="95" spans="1:11" s="69" customFormat="1" ht="12" customHeight="1" x14ac:dyDescent="0.2">
      <c r="A95" s="67" t="s">
        <v>152</v>
      </c>
      <c r="B95" s="54"/>
      <c r="C95" s="54"/>
      <c r="D95" s="54"/>
      <c r="E95" s="54"/>
      <c r="F95" s="54"/>
      <c r="G95" s="54"/>
      <c r="H95" s="54"/>
      <c r="I95" s="54"/>
      <c r="J95" s="54"/>
      <c r="K95" s="68"/>
    </row>
    <row r="96" spans="1:11" s="69" customFormat="1" ht="12" customHeight="1" x14ac:dyDescent="0.2">
      <c r="A96" s="69" t="s">
        <v>159</v>
      </c>
      <c r="B96" s="54"/>
      <c r="C96" s="54"/>
      <c r="D96" s="54"/>
      <c r="E96" s="54"/>
      <c r="F96" s="54"/>
      <c r="G96" s="54"/>
      <c r="H96" s="54"/>
      <c r="I96" s="54"/>
      <c r="J96" s="54"/>
      <c r="K96" s="68"/>
    </row>
    <row r="97" spans="1:1" ht="12" customHeight="1" x14ac:dyDescent="0.2">
      <c r="A97" s="53"/>
    </row>
    <row r="98" spans="1:1" ht="12" customHeight="1" x14ac:dyDescent="0.2">
      <c r="A98" s="53"/>
    </row>
  </sheetData>
  <phoneticPr fontId="0" type="noConversion"/>
  <printOptions horizontalCentered="1"/>
  <pageMargins left="0.28999999999999998" right="0.34" top="0.9" bottom="0.19685039370078741" header="0.45" footer="0.19"/>
  <pageSetup paperSize="9" scale="90" orientation="landscape" horizontalDpi="4294967292" verticalDpi="3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103"/>
  <sheetViews>
    <sheetView workbookViewId="0">
      <pane xSplit="1" ySplit="4" topLeftCell="B5" activePane="bottomRight" state="frozenSplit"/>
      <selection activeCell="B5" sqref="B5"/>
      <selection pane="topRight" activeCell="B5" sqref="B5"/>
      <selection pane="bottomLeft" activeCell="B5" sqref="B5"/>
      <selection pane="bottomRight" activeCell="B5" sqref="B5"/>
    </sheetView>
  </sheetViews>
  <sheetFormatPr baseColWidth="10" defaultRowHeight="12.75" x14ac:dyDescent="0.2"/>
  <cols>
    <col min="1" max="1" width="41.28515625" style="1" customWidth="1"/>
    <col min="2" max="8" width="11.5703125" style="54" customWidth="1"/>
    <col min="9" max="9" width="11.5703125" style="74" customWidth="1"/>
    <col min="10" max="10" width="11.5703125" style="54" customWidth="1"/>
    <col min="11" max="11" width="11.5703125" style="33" customWidth="1"/>
    <col min="12" max="16384" width="11.42578125" style="1"/>
  </cols>
  <sheetData>
    <row r="1" spans="1:11" x14ac:dyDescent="0.2">
      <c r="A1" s="2" t="s">
        <v>160</v>
      </c>
    </row>
    <row r="2" spans="1:11" x14ac:dyDescent="0.2">
      <c r="A2" s="1" t="s">
        <v>156</v>
      </c>
    </row>
    <row r="3" spans="1:11" x14ac:dyDescent="0.2">
      <c r="A3" s="69"/>
    </row>
    <row r="4" spans="1:11" s="3" customFormat="1" x14ac:dyDescent="0.2">
      <c r="A4" s="5"/>
      <c r="B4" s="54" t="s">
        <v>3</v>
      </c>
      <c r="C4" s="54" t="s">
        <v>4</v>
      </c>
      <c r="D4" s="54" t="s">
        <v>5</v>
      </c>
      <c r="E4" s="54" t="s">
        <v>6</v>
      </c>
      <c r="F4" s="54" t="s">
        <v>7</v>
      </c>
      <c r="G4" s="54" t="s">
        <v>8</v>
      </c>
      <c r="H4" s="54" t="s">
        <v>9</v>
      </c>
      <c r="I4" s="74" t="s">
        <v>10</v>
      </c>
      <c r="J4" s="54" t="s">
        <v>11</v>
      </c>
      <c r="K4" s="33" t="s">
        <v>12</v>
      </c>
    </row>
    <row r="6" spans="1:11" ht="15.75" x14ac:dyDescent="0.25">
      <c r="A6" s="6" t="s">
        <v>42</v>
      </c>
    </row>
    <row r="8" spans="1:11" x14ac:dyDescent="0.2">
      <c r="A8" s="2" t="s">
        <v>13</v>
      </c>
      <c r="D8" s="55"/>
    </row>
    <row r="10" spans="1:11" x14ac:dyDescent="0.2">
      <c r="A10" s="1" t="s">
        <v>72</v>
      </c>
      <c r="B10" s="55">
        <v>73.635429400000007</v>
      </c>
      <c r="C10" s="55">
        <v>86.89</v>
      </c>
      <c r="D10" s="55">
        <v>228.22472603999998</v>
      </c>
      <c r="E10" s="55">
        <v>132.19999999999999</v>
      </c>
      <c r="F10" s="55">
        <v>24.140056000000001</v>
      </c>
      <c r="G10" s="55">
        <v>19.899999999999999</v>
      </c>
      <c r="H10" s="55">
        <v>164.227</v>
      </c>
      <c r="I10" s="64">
        <v>75.779883600000005</v>
      </c>
      <c r="J10" s="55">
        <v>205.09</v>
      </c>
      <c r="K10" s="41">
        <f t="shared" ref="K10:K15" si="0">SUM(B10:J10)</f>
        <v>1010.0870950399998</v>
      </c>
    </row>
    <row r="11" spans="1:11" x14ac:dyDescent="0.2">
      <c r="A11" s="1" t="s">
        <v>104</v>
      </c>
      <c r="B11" s="55"/>
      <c r="C11" s="55">
        <v>0.99</v>
      </c>
      <c r="D11" s="55"/>
      <c r="E11" s="55"/>
      <c r="F11" s="55">
        <v>77.316883000000004</v>
      </c>
      <c r="G11" s="55">
        <v>199.24</v>
      </c>
      <c r="H11" s="55"/>
      <c r="I11" s="64">
        <v>14.30387107</v>
      </c>
      <c r="J11" s="55">
        <v>0</v>
      </c>
      <c r="K11" s="41">
        <f t="shared" si="0"/>
        <v>291.85075406999999</v>
      </c>
    </row>
    <row r="12" spans="1:11" x14ac:dyDescent="0.2">
      <c r="A12" s="1" t="s">
        <v>109</v>
      </c>
      <c r="B12" s="55">
        <v>13.890471059999999</v>
      </c>
      <c r="C12" s="55">
        <v>6.76</v>
      </c>
      <c r="D12" s="55">
        <v>98.192728000000002</v>
      </c>
      <c r="E12" s="55">
        <v>34.700000000000003</v>
      </c>
      <c r="F12" s="55">
        <v>0.31756899999999999</v>
      </c>
      <c r="G12" s="55">
        <v>5.92</v>
      </c>
      <c r="H12" s="55">
        <v>14.632999999999999</v>
      </c>
      <c r="I12" s="64"/>
      <c r="J12" s="55">
        <v>33.271000000000001</v>
      </c>
      <c r="K12" s="41">
        <f t="shared" si="0"/>
        <v>207.68476806000001</v>
      </c>
    </row>
    <row r="13" spans="1:11" x14ac:dyDescent="0.2">
      <c r="A13" t="s">
        <v>69</v>
      </c>
      <c r="B13" s="55"/>
      <c r="C13" s="55"/>
      <c r="D13" s="55"/>
      <c r="E13" s="55">
        <v>10.25</v>
      </c>
      <c r="F13" s="55"/>
      <c r="G13" s="55">
        <v>4.97</v>
      </c>
      <c r="H13" s="55">
        <v>14.448</v>
      </c>
      <c r="I13" s="64">
        <v>3.12695575</v>
      </c>
      <c r="J13" s="55">
        <v>7.141</v>
      </c>
      <c r="K13" s="41">
        <f t="shared" si="0"/>
        <v>39.935955749999998</v>
      </c>
    </row>
    <row r="14" spans="1:11" x14ac:dyDescent="0.2">
      <c r="A14" s="1" t="s">
        <v>70</v>
      </c>
      <c r="B14" s="55"/>
      <c r="C14" s="55"/>
      <c r="D14" s="55"/>
      <c r="E14" s="55"/>
      <c r="F14" s="55"/>
      <c r="G14" s="55"/>
      <c r="H14" s="55"/>
      <c r="I14" s="64"/>
      <c r="J14" s="55">
        <v>0</v>
      </c>
      <c r="K14" s="41">
        <f t="shared" si="0"/>
        <v>0</v>
      </c>
    </row>
    <row r="15" spans="1:11" x14ac:dyDescent="0.2">
      <c r="A15" s="1" t="s">
        <v>71</v>
      </c>
      <c r="B15" s="55">
        <v>0.38735093999999998</v>
      </c>
      <c r="C15" s="55">
        <v>8.93</v>
      </c>
      <c r="D15" s="55">
        <v>30.989230020000001</v>
      </c>
      <c r="E15" s="55">
        <f>5+60</f>
        <v>65</v>
      </c>
      <c r="F15" s="55">
        <v>6.419816</v>
      </c>
      <c r="G15" s="55">
        <v>8.9499999999999993</v>
      </c>
      <c r="H15" s="55">
        <v>8.9309999999999992</v>
      </c>
      <c r="I15" s="64">
        <f>0.55538128+13.32908859</f>
        <v>13.88446987</v>
      </c>
      <c r="J15" s="55">
        <v>49.506999999999998</v>
      </c>
      <c r="K15" s="41">
        <f t="shared" si="0"/>
        <v>192.99886683</v>
      </c>
    </row>
    <row r="16" spans="1:11" x14ac:dyDescent="0.2">
      <c r="B16" s="55"/>
      <c r="C16" s="55"/>
      <c r="D16" s="55"/>
      <c r="E16" s="55"/>
      <c r="F16" s="55"/>
      <c r="G16" s="55"/>
      <c r="H16" s="55"/>
      <c r="I16" s="64"/>
      <c r="J16" s="55"/>
      <c r="K16" s="41"/>
    </row>
    <row r="17" spans="1:256" s="28" customFormat="1" x14ac:dyDescent="0.2">
      <c r="A17" s="28" t="s">
        <v>12</v>
      </c>
      <c r="B17" s="56">
        <f t="shared" ref="B17:J17" si="1">SUM(B10:B15)</f>
        <v>87.913251400000007</v>
      </c>
      <c r="C17" s="56">
        <f t="shared" si="1"/>
        <v>103.57</v>
      </c>
      <c r="D17" s="56">
        <f t="shared" si="1"/>
        <v>357.40668405999998</v>
      </c>
      <c r="E17" s="56">
        <f t="shared" si="1"/>
        <v>242.14999999999998</v>
      </c>
      <c r="F17" s="56">
        <f t="shared" si="1"/>
        <v>108.19432400000001</v>
      </c>
      <c r="G17" s="56">
        <f t="shared" si="1"/>
        <v>238.98</v>
      </c>
      <c r="H17" s="56">
        <f t="shared" si="1"/>
        <v>202.23900000000003</v>
      </c>
      <c r="I17" s="75">
        <f t="shared" si="1"/>
        <v>107.09518029</v>
      </c>
      <c r="J17" s="56">
        <f t="shared" si="1"/>
        <v>295.00899999999996</v>
      </c>
      <c r="K17" s="42">
        <f>SUM(B17:J17)</f>
        <v>1742.55743975</v>
      </c>
    </row>
    <row r="18" spans="1:256" x14ac:dyDescent="0.2">
      <c r="B18" s="55"/>
      <c r="C18" s="55"/>
      <c r="D18" s="55"/>
      <c r="E18" s="55"/>
      <c r="F18" s="55"/>
      <c r="G18" s="55"/>
      <c r="H18" s="55"/>
      <c r="I18" s="64"/>
      <c r="J18" s="55"/>
      <c r="K18" s="41"/>
    </row>
    <row r="19" spans="1:256" x14ac:dyDescent="0.2">
      <c r="B19" s="55"/>
      <c r="C19" s="55"/>
      <c r="D19" s="55"/>
      <c r="E19" s="55"/>
      <c r="F19" s="55"/>
      <c r="G19" s="55"/>
      <c r="H19" s="55"/>
      <c r="I19" s="64"/>
      <c r="J19" s="55"/>
      <c r="K19" s="41"/>
    </row>
    <row r="20" spans="1:256" x14ac:dyDescent="0.2">
      <c r="A20" s="2" t="s">
        <v>14</v>
      </c>
      <c r="B20" s="55"/>
      <c r="C20" s="55"/>
      <c r="D20" s="55"/>
      <c r="E20" s="55"/>
      <c r="F20" s="55"/>
      <c r="G20" s="55"/>
      <c r="H20" s="55"/>
      <c r="I20" s="64"/>
      <c r="J20" s="55"/>
      <c r="K20" s="41"/>
    </row>
    <row r="21" spans="1:256" x14ac:dyDescent="0.2">
      <c r="B21" s="55"/>
      <c r="C21" s="55"/>
      <c r="D21" s="55"/>
      <c r="E21" s="55"/>
      <c r="F21" s="55"/>
      <c r="G21" s="55"/>
      <c r="H21" s="55"/>
      <c r="I21" s="64"/>
      <c r="J21" s="55"/>
      <c r="K21" s="41"/>
    </row>
    <row r="22" spans="1:256" x14ac:dyDescent="0.2">
      <c r="A22" s="1" t="s">
        <v>72</v>
      </c>
      <c r="B22" s="55">
        <v>10.944962930000001</v>
      </c>
      <c r="C22" s="55"/>
      <c r="D22" s="55">
        <v>17.867536999999999</v>
      </c>
      <c r="E22" s="55">
        <v>0.45</v>
      </c>
      <c r="F22" s="55">
        <v>7.3279399999999999</v>
      </c>
      <c r="G22" s="55">
        <v>27.68</v>
      </c>
      <c r="H22" s="55"/>
      <c r="I22" s="64"/>
      <c r="J22" s="55">
        <v>61.944000000000003</v>
      </c>
      <c r="K22" s="41">
        <f t="shared" ref="K22:K27" si="2">SUM(B22:J22)</f>
        <v>126.21443993000001</v>
      </c>
    </row>
    <row r="23" spans="1:256" x14ac:dyDescent="0.2">
      <c r="A23" s="1" t="s">
        <v>104</v>
      </c>
      <c r="B23" s="55"/>
      <c r="C23" s="55"/>
      <c r="D23" s="55"/>
      <c r="E23" s="55"/>
      <c r="F23" s="55"/>
      <c r="G23" s="55">
        <v>8.2899999999999991</v>
      </c>
      <c r="H23" s="55"/>
      <c r="I23" s="64"/>
      <c r="J23" s="55">
        <v>0</v>
      </c>
      <c r="K23" s="41">
        <f t="shared" si="2"/>
        <v>8.2899999999999991</v>
      </c>
    </row>
    <row r="24" spans="1:256" x14ac:dyDescent="0.2">
      <c r="A24" s="1" t="s">
        <v>109</v>
      </c>
      <c r="B24" s="55">
        <v>1.04631553</v>
      </c>
      <c r="C24" s="55"/>
      <c r="D24" s="76">
        <v>61.701960540000002</v>
      </c>
      <c r="E24" s="55">
        <v>41.6</v>
      </c>
      <c r="F24" s="55">
        <v>4.5498789999999998</v>
      </c>
      <c r="G24" s="55">
        <v>65.2</v>
      </c>
      <c r="H24" s="55">
        <v>14.176</v>
      </c>
      <c r="I24" s="64">
        <v>20.253708620000001</v>
      </c>
      <c r="J24" s="55">
        <v>94.983000000000004</v>
      </c>
      <c r="K24" s="41">
        <f t="shared" si="2"/>
        <v>303.51086369000001</v>
      </c>
    </row>
    <row r="25" spans="1:256" x14ac:dyDescent="0.2">
      <c r="A25" t="s">
        <v>69</v>
      </c>
      <c r="B25" s="55"/>
      <c r="C25" s="55">
        <v>18.36</v>
      </c>
      <c r="D25" s="55"/>
      <c r="E25" s="55"/>
      <c r="F25" s="55">
        <v>0.18987799999999999</v>
      </c>
      <c r="G25" s="55">
        <v>0.83</v>
      </c>
      <c r="H25" s="55">
        <v>14.957000000000001</v>
      </c>
      <c r="I25" s="64">
        <v>3.4959470000000001</v>
      </c>
      <c r="J25" s="55">
        <v>57.179000000000002</v>
      </c>
      <c r="K25" s="41">
        <f t="shared" si="2"/>
        <v>95.011825000000002</v>
      </c>
    </row>
    <row r="26" spans="1:256" x14ac:dyDescent="0.2">
      <c r="A26" s="1" t="s">
        <v>70</v>
      </c>
      <c r="B26" s="55"/>
      <c r="C26" s="55"/>
      <c r="D26" s="55"/>
      <c r="E26" s="55"/>
      <c r="F26" s="55"/>
      <c r="G26" s="55"/>
      <c r="H26" s="55"/>
      <c r="I26" s="64"/>
      <c r="J26" s="55"/>
      <c r="K26" s="41">
        <f t="shared" si="2"/>
        <v>0</v>
      </c>
    </row>
    <row r="27" spans="1:256" x14ac:dyDescent="0.2">
      <c r="A27" s="1" t="s">
        <v>71</v>
      </c>
      <c r="B27" s="55"/>
      <c r="C27" s="55"/>
      <c r="D27" s="55">
        <v>2.9145064300000003</v>
      </c>
      <c r="E27" s="55">
        <f>0.1</f>
        <v>0.1</v>
      </c>
      <c r="F27" s="55"/>
      <c r="G27" s="55">
        <v>14.93</v>
      </c>
      <c r="H27" s="55">
        <v>5.0000000000000001E-3</v>
      </c>
      <c r="I27" s="64"/>
      <c r="J27" s="55">
        <v>6.0629999999999997</v>
      </c>
      <c r="K27" s="41">
        <f t="shared" si="2"/>
        <v>24.012506429999998</v>
      </c>
    </row>
    <row r="28" spans="1:256" x14ac:dyDescent="0.2">
      <c r="B28" s="55"/>
      <c r="C28" s="55"/>
      <c r="D28" s="55"/>
      <c r="E28" s="55"/>
      <c r="F28" s="55"/>
      <c r="G28" s="55"/>
      <c r="H28" s="55"/>
      <c r="I28" s="64"/>
      <c r="J28" s="55"/>
      <c r="K28" s="41"/>
    </row>
    <row r="29" spans="1:256" s="28" customFormat="1" x14ac:dyDescent="0.2">
      <c r="A29" s="28" t="s">
        <v>12</v>
      </c>
      <c r="B29" s="56">
        <f t="shared" ref="B29:J29" si="3">SUM(B22:B27)</f>
        <v>11.99127846</v>
      </c>
      <c r="C29" s="56">
        <f t="shared" si="3"/>
        <v>18.36</v>
      </c>
      <c r="D29" s="56">
        <f t="shared" si="3"/>
        <v>82.484003970000003</v>
      </c>
      <c r="E29" s="56">
        <f t="shared" si="3"/>
        <v>42.150000000000006</v>
      </c>
      <c r="F29" s="56">
        <f t="shared" si="3"/>
        <v>12.067696999999999</v>
      </c>
      <c r="G29" s="56">
        <f t="shared" si="3"/>
        <v>116.93</v>
      </c>
      <c r="H29" s="56">
        <f t="shared" si="3"/>
        <v>29.138000000000002</v>
      </c>
      <c r="I29" s="75">
        <f t="shared" si="3"/>
        <v>23.749655620000002</v>
      </c>
      <c r="J29" s="56">
        <f t="shared" si="3"/>
        <v>220.16900000000001</v>
      </c>
      <c r="K29" s="42">
        <f>SUM(B29:J29)</f>
        <v>557.03963505000002</v>
      </c>
    </row>
    <row r="30" spans="1:256" x14ac:dyDescent="0.2">
      <c r="B30" s="55"/>
      <c r="C30" s="55"/>
      <c r="D30" s="55"/>
      <c r="E30" s="55"/>
      <c r="F30" s="55"/>
      <c r="G30" s="55"/>
      <c r="H30" s="55"/>
      <c r="I30" s="64"/>
      <c r="J30" s="55"/>
      <c r="K30" s="41"/>
    </row>
    <row r="31" spans="1:256" s="34" customFormat="1" x14ac:dyDescent="0.2">
      <c r="A31" s="34" t="s">
        <v>43</v>
      </c>
      <c r="B31" s="57">
        <f t="shared" ref="B31:J31" si="4">B17+B29</f>
        <v>99.904529860000011</v>
      </c>
      <c r="C31" s="57">
        <f t="shared" si="4"/>
        <v>121.92999999999999</v>
      </c>
      <c r="D31" s="57">
        <f t="shared" si="4"/>
        <v>439.89068802999998</v>
      </c>
      <c r="E31" s="57">
        <f t="shared" si="4"/>
        <v>284.29999999999995</v>
      </c>
      <c r="F31" s="57">
        <f t="shared" si="4"/>
        <v>120.262021</v>
      </c>
      <c r="G31" s="57">
        <f t="shared" si="4"/>
        <v>355.90999999999997</v>
      </c>
      <c r="H31" s="57">
        <f t="shared" si="4"/>
        <v>231.37700000000004</v>
      </c>
      <c r="I31" s="77">
        <f t="shared" si="4"/>
        <v>130.84483591</v>
      </c>
      <c r="J31" s="57">
        <f t="shared" si="4"/>
        <v>515.178</v>
      </c>
      <c r="K31" s="41">
        <f>SUM(B31:J31)</f>
        <v>2299.5970748</v>
      </c>
    </row>
    <row r="32" spans="1:256" x14ac:dyDescent="0.2">
      <c r="B32" s="55"/>
      <c r="C32" s="55"/>
      <c r="D32" s="55"/>
      <c r="E32" s="55"/>
      <c r="F32" s="55"/>
      <c r="G32" s="55"/>
      <c r="H32" s="55"/>
      <c r="I32" s="64"/>
      <c r="J32" s="55"/>
      <c r="K32" s="32"/>
      <c r="L32" s="32"/>
      <c r="M32" s="32"/>
      <c r="N32" s="32"/>
      <c r="O32" s="32"/>
      <c r="P32" s="32"/>
      <c r="Q32" s="32"/>
      <c r="R32" s="32"/>
      <c r="S32" s="32"/>
      <c r="T32" s="32"/>
      <c r="U32" s="32"/>
      <c r="V32" s="32"/>
      <c r="W32" s="32"/>
      <c r="X32" s="32"/>
      <c r="Y32" s="32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2"/>
      <c r="AK32" s="32"/>
      <c r="AL32" s="32"/>
      <c r="AM32" s="32"/>
      <c r="AN32" s="32"/>
      <c r="AO32" s="32"/>
      <c r="AP32" s="32"/>
      <c r="AQ32" s="32"/>
      <c r="AR32" s="32"/>
      <c r="AS32" s="32"/>
      <c r="AT32" s="32"/>
      <c r="AU32" s="32"/>
      <c r="AV32" s="32"/>
      <c r="AW32" s="32"/>
      <c r="AX32" s="32"/>
      <c r="AY32" s="32"/>
      <c r="AZ32" s="32"/>
      <c r="BA32" s="32"/>
      <c r="BB32" s="32"/>
      <c r="BC32" s="32"/>
      <c r="BD32" s="32"/>
      <c r="BE32" s="32"/>
      <c r="BF32" s="32"/>
      <c r="BG32" s="32"/>
      <c r="BH32" s="32"/>
      <c r="BI32" s="32"/>
      <c r="BJ32" s="32"/>
      <c r="BK32" s="32"/>
      <c r="BL32" s="32"/>
      <c r="BM32" s="32"/>
      <c r="BN32" s="32"/>
      <c r="BO32" s="32"/>
      <c r="BP32" s="32"/>
      <c r="BQ32" s="32"/>
      <c r="BR32" s="32"/>
      <c r="BS32" s="32"/>
      <c r="BT32" s="32"/>
      <c r="BU32" s="32"/>
      <c r="BV32" s="32"/>
      <c r="BW32" s="32"/>
      <c r="BX32" s="32"/>
      <c r="BY32" s="32"/>
      <c r="BZ32" s="32"/>
      <c r="CA32" s="32"/>
      <c r="CB32" s="32"/>
      <c r="CC32" s="32"/>
      <c r="CD32" s="32"/>
      <c r="CE32" s="32"/>
      <c r="CF32" s="32"/>
      <c r="CG32" s="32"/>
      <c r="CH32" s="32"/>
      <c r="CI32" s="32"/>
      <c r="CJ32" s="32"/>
      <c r="CK32" s="32"/>
      <c r="CL32" s="32"/>
      <c r="CM32" s="32"/>
      <c r="CN32" s="32"/>
      <c r="CO32" s="32"/>
      <c r="CP32" s="32"/>
      <c r="CQ32" s="32"/>
      <c r="CR32" s="32"/>
      <c r="CS32" s="32"/>
      <c r="CT32" s="32"/>
      <c r="CU32" s="32"/>
      <c r="CV32" s="32"/>
      <c r="CW32" s="32"/>
      <c r="CX32" s="32"/>
      <c r="CY32" s="32"/>
      <c r="CZ32" s="32"/>
      <c r="DA32" s="32"/>
      <c r="DB32" s="32"/>
      <c r="DC32" s="32"/>
      <c r="DD32" s="32"/>
      <c r="DE32" s="32"/>
      <c r="DF32" s="32"/>
      <c r="DG32" s="32"/>
      <c r="DH32" s="32"/>
      <c r="DI32" s="32"/>
      <c r="DJ32" s="32"/>
      <c r="DK32" s="32"/>
      <c r="DL32" s="32"/>
      <c r="DM32" s="32"/>
      <c r="DN32" s="32"/>
      <c r="DO32" s="32"/>
      <c r="DP32" s="32"/>
      <c r="DQ32" s="32"/>
      <c r="DR32" s="32"/>
      <c r="DS32" s="32"/>
      <c r="DT32" s="32"/>
      <c r="DU32" s="32"/>
      <c r="DV32" s="32"/>
      <c r="DW32" s="32"/>
      <c r="DX32" s="32"/>
      <c r="DY32" s="32"/>
      <c r="DZ32" s="32"/>
      <c r="EA32" s="32"/>
      <c r="EB32" s="32"/>
      <c r="EC32" s="32"/>
      <c r="ED32" s="32"/>
      <c r="EE32" s="32"/>
      <c r="EF32" s="32"/>
      <c r="EG32" s="32"/>
      <c r="EH32" s="32"/>
      <c r="EI32" s="32"/>
      <c r="EJ32" s="32"/>
      <c r="EK32" s="32"/>
      <c r="EL32" s="32"/>
      <c r="EM32" s="32"/>
      <c r="EN32" s="32"/>
      <c r="EO32" s="32"/>
      <c r="EP32" s="32"/>
      <c r="EQ32" s="32"/>
      <c r="ER32" s="32"/>
      <c r="ES32" s="32"/>
      <c r="ET32" s="32"/>
      <c r="EU32" s="32"/>
      <c r="EV32" s="32"/>
      <c r="EW32" s="32"/>
      <c r="EX32" s="32"/>
      <c r="EY32" s="32"/>
      <c r="EZ32" s="32"/>
      <c r="FA32" s="32"/>
      <c r="FB32" s="32"/>
      <c r="FC32" s="32"/>
      <c r="FD32" s="32"/>
      <c r="FE32" s="32"/>
      <c r="FF32" s="32"/>
      <c r="FG32" s="32"/>
      <c r="FH32" s="32"/>
      <c r="FI32" s="32"/>
      <c r="FJ32" s="32"/>
      <c r="FK32" s="32"/>
      <c r="FL32" s="32"/>
      <c r="FM32" s="32"/>
      <c r="FN32" s="32"/>
      <c r="FO32" s="32"/>
      <c r="FP32" s="32"/>
      <c r="FQ32" s="32"/>
      <c r="FR32" s="32"/>
      <c r="FS32" s="32"/>
      <c r="FT32" s="32"/>
      <c r="FU32" s="32"/>
      <c r="FV32" s="32"/>
      <c r="FW32" s="32"/>
      <c r="FX32" s="32"/>
      <c r="FY32" s="32"/>
      <c r="FZ32" s="32"/>
      <c r="GA32" s="32"/>
      <c r="GB32" s="32"/>
      <c r="GC32" s="32"/>
      <c r="GD32" s="32"/>
      <c r="GE32" s="32"/>
      <c r="GF32" s="32"/>
      <c r="GG32" s="32"/>
      <c r="GH32" s="32"/>
      <c r="GI32" s="32"/>
      <c r="GJ32" s="32"/>
      <c r="GK32" s="32"/>
      <c r="GL32" s="32"/>
      <c r="GM32" s="32"/>
      <c r="GN32" s="32"/>
      <c r="GO32" s="32"/>
      <c r="GP32" s="32"/>
      <c r="GQ32" s="32"/>
      <c r="GR32" s="32"/>
      <c r="GS32" s="32"/>
      <c r="GT32" s="32"/>
      <c r="GU32" s="32"/>
      <c r="GV32" s="32"/>
      <c r="GW32" s="32"/>
      <c r="GX32" s="32"/>
      <c r="GY32" s="32"/>
      <c r="GZ32" s="32"/>
      <c r="HA32" s="32"/>
      <c r="HB32" s="32"/>
      <c r="HC32" s="32"/>
      <c r="HD32" s="32"/>
      <c r="HE32" s="32"/>
      <c r="HF32" s="32"/>
      <c r="HG32" s="32"/>
      <c r="HH32" s="32"/>
      <c r="HI32" s="32"/>
      <c r="HJ32" s="32"/>
      <c r="HK32" s="32"/>
      <c r="HL32" s="32"/>
      <c r="HM32" s="32"/>
      <c r="HN32" s="32"/>
      <c r="HO32" s="32"/>
      <c r="HP32" s="32"/>
      <c r="HQ32" s="32"/>
      <c r="HR32" s="32"/>
      <c r="HS32" s="32"/>
      <c r="HT32" s="32"/>
      <c r="HU32" s="32"/>
      <c r="HV32" s="32"/>
      <c r="HW32" s="32"/>
      <c r="HX32" s="32"/>
      <c r="HY32" s="32"/>
      <c r="HZ32" s="32"/>
      <c r="IA32" s="32"/>
      <c r="IB32" s="32"/>
      <c r="IC32" s="32"/>
      <c r="ID32" s="32"/>
      <c r="IE32" s="32"/>
      <c r="IF32" s="32"/>
      <c r="IG32" s="32"/>
      <c r="IH32" s="32"/>
      <c r="II32" s="32"/>
      <c r="IJ32" s="32"/>
      <c r="IK32" s="32"/>
      <c r="IL32" s="32"/>
      <c r="IM32" s="32"/>
      <c r="IN32" s="32"/>
      <c r="IO32" s="32"/>
      <c r="IP32" s="32"/>
      <c r="IQ32" s="32"/>
      <c r="IR32" s="32"/>
      <c r="IS32" s="32"/>
      <c r="IT32" s="32"/>
      <c r="IU32" s="32"/>
      <c r="IV32" s="32"/>
    </row>
    <row r="33" spans="1:11" x14ac:dyDescent="0.2">
      <c r="B33" s="55"/>
      <c r="C33" s="55"/>
      <c r="D33" s="55"/>
      <c r="E33" s="55"/>
      <c r="F33" s="55"/>
      <c r="G33" s="55"/>
      <c r="H33" s="55"/>
      <c r="I33" s="64"/>
      <c r="J33" s="55"/>
      <c r="K33" s="41"/>
    </row>
    <row r="34" spans="1:11" ht="15" customHeight="1" x14ac:dyDescent="0.25">
      <c r="A34" s="6" t="s">
        <v>44</v>
      </c>
      <c r="B34" s="55"/>
      <c r="C34" s="55"/>
      <c r="D34" s="55"/>
      <c r="E34" s="55"/>
      <c r="F34" s="55"/>
      <c r="G34" s="55"/>
      <c r="H34" s="55"/>
      <c r="I34" s="64"/>
      <c r="J34" s="55"/>
      <c r="K34" s="41"/>
    </row>
    <row r="35" spans="1:11" ht="12" customHeight="1" x14ac:dyDescent="0.2">
      <c r="B35" s="55"/>
      <c r="C35" s="55"/>
      <c r="D35" s="55"/>
      <c r="E35" s="55"/>
      <c r="F35" s="55"/>
      <c r="G35" s="55"/>
      <c r="H35" s="55"/>
      <c r="I35" s="64"/>
      <c r="J35" s="55"/>
      <c r="K35" s="41"/>
    </row>
    <row r="36" spans="1:11" ht="12" customHeight="1" x14ac:dyDescent="0.2">
      <c r="A36" s="2" t="s">
        <v>73</v>
      </c>
      <c r="B36" s="55"/>
      <c r="C36" s="55"/>
      <c r="D36" s="55"/>
      <c r="E36" s="55"/>
      <c r="F36" s="55"/>
      <c r="G36" s="55"/>
      <c r="H36" s="55"/>
      <c r="I36" s="64"/>
      <c r="J36" s="55"/>
      <c r="K36" s="41"/>
    </row>
    <row r="37" spans="1:11" ht="12" customHeight="1" x14ac:dyDescent="0.2">
      <c r="B37" s="55"/>
      <c r="C37" s="55"/>
      <c r="D37" s="55"/>
      <c r="E37" s="55"/>
      <c r="F37" s="55"/>
      <c r="G37" s="56"/>
      <c r="H37" s="55"/>
      <c r="I37" s="64"/>
      <c r="J37" s="55"/>
      <c r="K37" s="41"/>
    </row>
    <row r="38" spans="1:11" ht="12" customHeight="1" x14ac:dyDescent="0.2">
      <c r="A38" s="1" t="s">
        <v>74</v>
      </c>
      <c r="B38" s="55">
        <v>36.36769615</v>
      </c>
      <c r="C38" s="55">
        <v>42.05</v>
      </c>
      <c r="D38" s="63">
        <v>697.82544111857158</v>
      </c>
      <c r="E38" s="55">
        <v>219.6</v>
      </c>
      <c r="F38" s="55">
        <v>46.449862000000003</v>
      </c>
      <c r="G38" s="55">
        <v>37.97</v>
      </c>
      <c r="H38" s="55">
        <v>102.206</v>
      </c>
      <c r="I38" s="64"/>
      <c r="J38" s="55">
        <v>356.56105391</v>
      </c>
      <c r="K38" s="41">
        <f t="shared" ref="K38:K45" si="5">SUM(B38:J38)</f>
        <v>1539.0300531785715</v>
      </c>
    </row>
    <row r="39" spans="1:11" ht="12" customHeight="1" x14ac:dyDescent="0.2">
      <c r="A39" s="1" t="s">
        <v>75</v>
      </c>
      <c r="B39" s="55">
        <v>15.12509983</v>
      </c>
      <c r="C39" s="55"/>
      <c r="D39" s="55"/>
      <c r="E39" s="55">
        <v>0.3</v>
      </c>
      <c r="F39" s="55">
        <v>16.535995</v>
      </c>
      <c r="G39" s="55">
        <v>6.75</v>
      </c>
      <c r="H39" s="55">
        <v>0</v>
      </c>
      <c r="I39" s="64"/>
      <c r="J39" s="55">
        <v>65.113330320000003</v>
      </c>
      <c r="K39" s="41">
        <f t="shared" si="5"/>
        <v>103.82442515</v>
      </c>
    </row>
    <row r="40" spans="1:11" ht="12" customHeight="1" x14ac:dyDescent="0.2">
      <c r="A40" s="1" t="s">
        <v>105</v>
      </c>
      <c r="B40" s="55"/>
      <c r="C40" s="55">
        <v>4.93</v>
      </c>
      <c r="D40" s="55"/>
      <c r="E40" s="55">
        <v>29</v>
      </c>
      <c r="F40" s="55"/>
      <c r="G40" s="55">
        <v>1484.16</v>
      </c>
      <c r="H40" s="55">
        <v>0</v>
      </c>
      <c r="I40" s="64"/>
      <c r="J40" s="55">
        <v>0</v>
      </c>
      <c r="K40" s="41">
        <f t="shared" si="5"/>
        <v>1518.0900000000001</v>
      </c>
    </row>
    <row r="41" spans="1:11" ht="12" customHeight="1" x14ac:dyDescent="0.2">
      <c r="A41" s="1" t="s">
        <v>107</v>
      </c>
      <c r="B41" s="55">
        <v>15.66238706</v>
      </c>
      <c r="C41" s="55">
        <v>13.1</v>
      </c>
      <c r="D41" s="55">
        <v>1898.0942865699999</v>
      </c>
      <c r="E41" s="55">
        <v>156.1</v>
      </c>
      <c r="F41" s="55">
        <v>14.472</v>
      </c>
      <c r="G41" s="55">
        <v>61.71</v>
      </c>
      <c r="H41" s="55">
        <v>52.622</v>
      </c>
      <c r="I41" s="64"/>
      <c r="J41" s="55">
        <v>82.347579319999994</v>
      </c>
      <c r="K41" s="41">
        <f t="shared" si="5"/>
        <v>2294.10825295</v>
      </c>
    </row>
    <row r="42" spans="1:11" ht="12" customHeight="1" x14ac:dyDescent="0.2">
      <c r="A42" s="1" t="s">
        <v>106</v>
      </c>
      <c r="B42" s="55"/>
      <c r="C42" s="55"/>
      <c r="D42" s="55"/>
      <c r="E42" s="55"/>
      <c r="F42" s="55"/>
      <c r="G42" s="55">
        <v>28.94</v>
      </c>
      <c r="H42" s="55">
        <v>0</v>
      </c>
      <c r="I42" s="64"/>
      <c r="J42" s="55">
        <v>0</v>
      </c>
      <c r="K42" s="41">
        <f t="shared" si="5"/>
        <v>28.94</v>
      </c>
    </row>
    <row r="43" spans="1:11" ht="12" customHeight="1" x14ac:dyDescent="0.2">
      <c r="A43" s="1" t="s">
        <v>108</v>
      </c>
      <c r="B43" s="55"/>
      <c r="C43" s="55"/>
      <c r="D43" s="55">
        <v>809.94511747000001</v>
      </c>
      <c r="E43" s="55">
        <v>471.7</v>
      </c>
      <c r="F43" s="55"/>
      <c r="G43" s="55">
        <v>23.46</v>
      </c>
      <c r="H43" s="55">
        <v>69.638000000000005</v>
      </c>
      <c r="I43" s="64"/>
      <c r="J43" s="55">
        <v>955.71424904000003</v>
      </c>
      <c r="K43" s="41">
        <f t="shared" si="5"/>
        <v>2330.4573665100002</v>
      </c>
    </row>
    <row r="44" spans="1:11" ht="12" customHeight="1" x14ac:dyDescent="0.2">
      <c r="A44" s="1" t="s">
        <v>78</v>
      </c>
      <c r="B44" s="55"/>
      <c r="C44" s="55"/>
      <c r="D44" s="55"/>
      <c r="E44" s="55"/>
      <c r="F44" s="55"/>
      <c r="G44" s="55"/>
      <c r="H44" s="55">
        <v>2.6389999999999998</v>
      </c>
      <c r="I44" s="64"/>
      <c r="J44" s="55">
        <v>0.93264071999999998</v>
      </c>
      <c r="K44" s="41">
        <f t="shared" si="5"/>
        <v>3.5716407199999995</v>
      </c>
    </row>
    <row r="45" spans="1:11" ht="12" customHeight="1" x14ac:dyDescent="0.2">
      <c r="A45" s="1" t="s">
        <v>79</v>
      </c>
      <c r="B45" s="55"/>
      <c r="C45" s="55">
        <v>153.15</v>
      </c>
      <c r="D45" s="55"/>
      <c r="E45" s="55"/>
      <c r="F45" s="55"/>
      <c r="G45" s="55"/>
      <c r="H45" s="55">
        <v>0</v>
      </c>
      <c r="I45" s="64"/>
      <c r="J45" s="55">
        <v>0</v>
      </c>
      <c r="K45" s="41">
        <f t="shared" si="5"/>
        <v>153.15</v>
      </c>
    </row>
    <row r="46" spans="1:11" ht="12" customHeight="1" x14ac:dyDescent="0.2">
      <c r="B46" s="55"/>
      <c r="C46" s="55"/>
      <c r="D46" s="55"/>
      <c r="E46" s="55"/>
      <c r="F46" s="55"/>
      <c r="G46" s="55"/>
      <c r="H46" s="55"/>
      <c r="I46" s="64"/>
      <c r="J46" s="55"/>
      <c r="K46" s="41"/>
    </row>
    <row r="47" spans="1:11" s="2" customFormat="1" ht="12" customHeight="1" x14ac:dyDescent="0.2">
      <c r="A47" s="7" t="s">
        <v>12</v>
      </c>
      <c r="B47" s="57">
        <f t="shared" ref="B47:J47" si="6">SUM(B38:B45)</f>
        <v>67.155183039999997</v>
      </c>
      <c r="C47" s="57">
        <f t="shared" si="6"/>
        <v>213.23000000000002</v>
      </c>
      <c r="D47" s="57">
        <f t="shared" si="6"/>
        <v>3405.8648451585714</v>
      </c>
      <c r="E47" s="57">
        <f t="shared" si="6"/>
        <v>876.7</v>
      </c>
      <c r="F47" s="57">
        <f t="shared" si="6"/>
        <v>77.457857000000004</v>
      </c>
      <c r="G47" s="57">
        <f t="shared" si="6"/>
        <v>1642.9900000000002</v>
      </c>
      <c r="H47" s="57">
        <f t="shared" si="6"/>
        <v>227.10500000000002</v>
      </c>
      <c r="I47" s="77">
        <f t="shared" si="6"/>
        <v>0</v>
      </c>
      <c r="J47" s="57">
        <f t="shared" si="6"/>
        <v>1460.66885331</v>
      </c>
      <c r="K47" s="41">
        <f>SUM(B47:J47)</f>
        <v>7971.1717385085722</v>
      </c>
    </row>
    <row r="48" spans="1:11" ht="12" customHeight="1" x14ac:dyDescent="0.2">
      <c r="B48" s="55"/>
      <c r="C48" s="55"/>
      <c r="D48" s="55"/>
      <c r="E48" s="55"/>
      <c r="F48" s="55"/>
      <c r="G48" s="55"/>
      <c r="H48" s="55"/>
      <c r="I48" s="64"/>
      <c r="J48" s="55"/>
      <c r="K48" s="41"/>
    </row>
    <row r="49" spans="1:11" ht="12" customHeight="1" x14ac:dyDescent="0.2">
      <c r="A49" s="2" t="s">
        <v>45</v>
      </c>
      <c r="B49" s="55"/>
      <c r="C49" s="55"/>
      <c r="D49" s="55"/>
      <c r="E49" s="55"/>
      <c r="F49" s="55"/>
      <c r="G49" s="55"/>
      <c r="H49" s="55"/>
      <c r="I49" s="64"/>
      <c r="J49" s="55"/>
      <c r="K49" s="41"/>
    </row>
    <row r="50" spans="1:11" ht="12" customHeight="1" x14ac:dyDescent="0.2">
      <c r="B50" s="55"/>
      <c r="C50" s="55"/>
      <c r="D50" s="55"/>
      <c r="E50" s="55"/>
      <c r="F50" s="55"/>
      <c r="G50" s="55"/>
      <c r="H50" s="55"/>
      <c r="I50" s="64"/>
      <c r="J50" s="55"/>
      <c r="K50" s="41"/>
    </row>
    <row r="51" spans="1:11" ht="12" customHeight="1" x14ac:dyDescent="0.2">
      <c r="A51" s="1" t="s">
        <v>46</v>
      </c>
      <c r="B51" s="55">
        <v>1046.58294374</v>
      </c>
      <c r="C51" s="55">
        <v>1161.24</v>
      </c>
      <c r="D51" s="63">
        <v>1896.76753491</v>
      </c>
      <c r="E51" s="55">
        <v>951.8</v>
      </c>
      <c r="F51" s="55">
        <v>984.40401799999995</v>
      </c>
      <c r="G51" s="55">
        <v>1806.89</v>
      </c>
      <c r="H51" s="55">
        <v>2795.0540000000001</v>
      </c>
      <c r="I51" s="64">
        <v>1735.8259790499999</v>
      </c>
      <c r="J51" s="55">
        <v>2566.55381743</v>
      </c>
      <c r="K51" s="41">
        <f>SUM(B51:J51)</f>
        <v>14945.118293129999</v>
      </c>
    </row>
    <row r="52" spans="1:11" ht="12" customHeight="1" x14ac:dyDescent="0.2">
      <c r="A52" s="1" t="s">
        <v>47</v>
      </c>
      <c r="B52" s="55">
        <v>132.05620096000001</v>
      </c>
      <c r="C52" s="55"/>
      <c r="D52" s="55"/>
      <c r="E52" s="55">
        <v>9.31</v>
      </c>
      <c r="F52" s="55">
        <v>47.296151999999999</v>
      </c>
      <c r="G52" s="55">
        <v>269.69</v>
      </c>
      <c r="H52" s="55">
        <v>48.215000000000003</v>
      </c>
      <c r="I52" s="64">
        <v>0.72527021999999997</v>
      </c>
      <c r="J52" s="55">
        <v>181.92649313999999</v>
      </c>
      <c r="K52" s="41">
        <f>SUM(B52:J52)</f>
        <v>689.21911632000001</v>
      </c>
    </row>
    <row r="53" spans="1:11" ht="12" customHeight="1" x14ac:dyDescent="0.2">
      <c r="B53" s="55"/>
      <c r="C53" s="55"/>
      <c r="D53" s="55"/>
      <c r="E53" s="55"/>
      <c r="F53" s="55"/>
      <c r="G53" s="55"/>
      <c r="H53" s="55"/>
      <c r="I53" s="64"/>
      <c r="J53" s="55"/>
      <c r="K53" s="41"/>
    </row>
    <row r="54" spans="1:11" s="34" customFormat="1" ht="12" customHeight="1" x14ac:dyDescent="0.2">
      <c r="A54" s="34" t="s">
        <v>12</v>
      </c>
      <c r="B54" s="57">
        <f t="shared" ref="B54:J54" si="7">SUM(B51:B52)</f>
        <v>1178.6391447000001</v>
      </c>
      <c r="C54" s="57">
        <f t="shared" si="7"/>
        <v>1161.24</v>
      </c>
      <c r="D54" s="57">
        <f t="shared" si="7"/>
        <v>1896.76753491</v>
      </c>
      <c r="E54" s="57">
        <f t="shared" si="7"/>
        <v>961.1099999999999</v>
      </c>
      <c r="F54" s="57">
        <f t="shared" si="7"/>
        <v>1031.7001699999998</v>
      </c>
      <c r="G54" s="57">
        <f t="shared" si="7"/>
        <v>2076.58</v>
      </c>
      <c r="H54" s="57">
        <f t="shared" si="7"/>
        <v>2843.2690000000002</v>
      </c>
      <c r="I54" s="77">
        <f t="shared" si="7"/>
        <v>1736.55124927</v>
      </c>
      <c r="J54" s="57">
        <f t="shared" si="7"/>
        <v>2748.4803105699998</v>
      </c>
      <c r="K54" s="41">
        <f>SUM(B54:J54)</f>
        <v>15634.33740945</v>
      </c>
    </row>
    <row r="55" spans="1:11" ht="12" customHeight="1" x14ac:dyDescent="0.2">
      <c r="B55" s="55"/>
      <c r="C55" s="55"/>
      <c r="D55" s="55"/>
      <c r="E55" s="55"/>
      <c r="F55" s="55"/>
      <c r="G55" s="55"/>
      <c r="H55" s="55"/>
      <c r="I55" s="64"/>
      <c r="J55" s="55"/>
      <c r="K55" s="41"/>
    </row>
    <row r="56" spans="1:11" s="2" customFormat="1" ht="12" customHeight="1" x14ac:dyDescent="0.2">
      <c r="A56" s="2" t="s">
        <v>48</v>
      </c>
      <c r="B56" s="55">
        <v>55.682253719999999</v>
      </c>
      <c r="C56" s="55">
        <v>16.36</v>
      </c>
      <c r="D56" s="55">
        <v>281.40507747999999</v>
      </c>
      <c r="E56" s="55">
        <v>0</v>
      </c>
      <c r="F56" s="55">
        <f>28.16711+52.5</f>
        <v>80.667110000000008</v>
      </c>
      <c r="G56" s="55">
        <v>313.63</v>
      </c>
      <c r="H56" s="55">
        <v>0</v>
      </c>
      <c r="I56" s="64">
        <v>0</v>
      </c>
      <c r="J56" s="55">
        <v>404.91006837999998</v>
      </c>
      <c r="K56" s="41">
        <f>SUM(B56:J56)</f>
        <v>1152.65450958</v>
      </c>
    </row>
    <row r="57" spans="1:11" ht="12" customHeight="1" x14ac:dyDescent="0.2">
      <c r="B57" s="55"/>
      <c r="C57" s="55"/>
      <c r="D57" s="55"/>
      <c r="E57" s="55"/>
      <c r="F57" s="55"/>
      <c r="G57" s="55"/>
      <c r="H57" s="55"/>
      <c r="I57" s="64"/>
      <c r="J57" s="55"/>
      <c r="K57" s="41"/>
    </row>
    <row r="58" spans="1:11" ht="12" customHeight="1" x14ac:dyDescent="0.2">
      <c r="A58" s="2" t="s">
        <v>49</v>
      </c>
      <c r="B58" s="55"/>
      <c r="C58" s="55"/>
      <c r="D58" s="55"/>
      <c r="E58" s="55"/>
      <c r="F58" s="55"/>
      <c r="G58" s="55"/>
      <c r="H58" s="55"/>
      <c r="I58" s="64"/>
      <c r="J58" s="55"/>
      <c r="K58" s="41"/>
    </row>
    <row r="59" spans="1:11" ht="12" customHeight="1" x14ac:dyDescent="0.2">
      <c r="B59" s="55"/>
      <c r="C59" s="55"/>
      <c r="D59" s="55"/>
      <c r="E59" s="55"/>
      <c r="F59" s="55"/>
      <c r="G59" s="55"/>
      <c r="H59" s="55"/>
      <c r="I59" s="64"/>
      <c r="J59" s="55"/>
      <c r="K59" s="41"/>
    </row>
    <row r="60" spans="1:11" ht="12" customHeight="1" x14ac:dyDescent="0.2">
      <c r="A60" s="34" t="s">
        <v>117</v>
      </c>
      <c r="B60" s="55"/>
      <c r="C60" s="55"/>
      <c r="D60" s="55"/>
      <c r="E60" s="55"/>
      <c r="F60" s="55"/>
      <c r="G60" s="55"/>
      <c r="H60" s="55"/>
      <c r="I60" s="64"/>
      <c r="J60" s="55"/>
      <c r="K60" s="41"/>
    </row>
    <row r="61" spans="1:11" ht="12" customHeight="1" x14ac:dyDescent="0.2">
      <c r="A61" s="1" t="s">
        <v>50</v>
      </c>
      <c r="B61" s="55">
        <v>51.200322</v>
      </c>
      <c r="C61" s="55">
        <v>114.44</v>
      </c>
      <c r="D61" s="55">
        <v>299.78555499999999</v>
      </c>
      <c r="E61" s="55">
        <v>285.7</v>
      </c>
      <c r="F61" s="55">
        <v>112.6698</v>
      </c>
      <c r="G61" s="55">
        <v>238.14</v>
      </c>
      <c r="H61" s="55">
        <v>138.96799999999999</v>
      </c>
      <c r="I61" s="64">
        <v>75.688254999999998</v>
      </c>
      <c r="J61" s="55">
        <v>464.35783408999998</v>
      </c>
      <c r="K61" s="41">
        <f>SUM(B61:J61)</f>
        <v>1780.9497660900001</v>
      </c>
    </row>
    <row r="62" spans="1:11" ht="12" customHeight="1" x14ac:dyDescent="0.2">
      <c r="A62" s="1" t="s">
        <v>81</v>
      </c>
      <c r="B62" s="55">
        <v>0.20170199999999999</v>
      </c>
      <c r="C62" s="55">
        <f>0.46+4.56-1.82</f>
        <v>3.1999999999999993</v>
      </c>
      <c r="D62" s="55">
        <v>172.63709724</v>
      </c>
      <c r="E62" s="55">
        <v>12.9</v>
      </c>
      <c r="F62" s="55">
        <v>0.44397300000000001</v>
      </c>
      <c r="G62" s="55">
        <v>0.96</v>
      </c>
      <c r="H62" s="55">
        <v>0</v>
      </c>
      <c r="I62" s="64">
        <v>4.5735590500000001</v>
      </c>
      <c r="J62" s="55">
        <v>1.85906098</v>
      </c>
      <c r="K62" s="41">
        <f>SUM(B62:J62)</f>
        <v>196.77539227000003</v>
      </c>
    </row>
    <row r="63" spans="1:11" ht="12" customHeight="1" x14ac:dyDescent="0.2">
      <c r="A63" s="1" t="s">
        <v>110</v>
      </c>
      <c r="B63" s="55"/>
      <c r="C63" s="55"/>
      <c r="D63" s="55"/>
      <c r="E63" s="55"/>
      <c r="F63" s="55"/>
      <c r="G63" s="55"/>
      <c r="H63" s="55"/>
      <c r="I63" s="64"/>
      <c r="J63" s="55"/>
      <c r="K63" s="41"/>
    </row>
    <row r="64" spans="1:11" ht="12" customHeight="1" x14ac:dyDescent="0.2">
      <c r="A64" s="1" t="s">
        <v>111</v>
      </c>
      <c r="B64" s="55"/>
      <c r="C64" s="55">
        <v>-6.61</v>
      </c>
      <c r="D64" s="55"/>
      <c r="E64" s="55"/>
      <c r="F64" s="55"/>
      <c r="G64" s="55">
        <v>-10.91</v>
      </c>
      <c r="H64" s="55"/>
      <c r="I64" s="64"/>
      <c r="J64" s="55">
        <v>-21.06529828</v>
      </c>
      <c r="K64" s="41">
        <f t="shared" ref="K64:K73" si="8">SUM(B64:J64)</f>
        <v>-38.585298280000004</v>
      </c>
    </row>
    <row r="65" spans="1:11" ht="12" customHeight="1" x14ac:dyDescent="0.2">
      <c r="A65" s="1" t="s">
        <v>112</v>
      </c>
      <c r="B65" s="55"/>
      <c r="C65" s="55">
        <v>-0.01</v>
      </c>
      <c r="D65" s="55">
        <v>-1.4618072799999999</v>
      </c>
      <c r="E65" s="55"/>
      <c r="F65" s="55">
        <v>-0.41818300000000003</v>
      </c>
      <c r="G65" s="55">
        <v>-0.14000000000000001</v>
      </c>
      <c r="H65" s="55"/>
      <c r="I65" s="64"/>
      <c r="J65" s="55">
        <v>-0.83074265000000003</v>
      </c>
      <c r="K65" s="41">
        <f t="shared" si="8"/>
        <v>-2.8607329299999997</v>
      </c>
    </row>
    <row r="66" spans="1:11" ht="12" customHeight="1" x14ac:dyDescent="0.2">
      <c r="A66" s="1" t="s">
        <v>113</v>
      </c>
      <c r="B66" s="55"/>
      <c r="C66" s="55"/>
      <c r="D66" s="55">
        <v>-0.65500000000000003</v>
      </c>
      <c r="E66" s="55">
        <v>-2.7</v>
      </c>
      <c r="F66" s="55"/>
      <c r="G66" s="55">
        <v>-10.17</v>
      </c>
      <c r="H66" s="55"/>
      <c r="I66" s="64"/>
      <c r="J66" s="55"/>
      <c r="K66" s="41">
        <f t="shared" si="8"/>
        <v>-13.525</v>
      </c>
    </row>
    <row r="67" spans="1:11" ht="12" customHeight="1" x14ac:dyDescent="0.2">
      <c r="A67" s="1" t="s">
        <v>114</v>
      </c>
      <c r="B67" s="55"/>
      <c r="C67" s="55"/>
      <c r="D67" s="55"/>
      <c r="E67" s="55"/>
      <c r="F67" s="55"/>
      <c r="G67" s="55"/>
      <c r="H67" s="55"/>
      <c r="I67" s="64">
        <v>-2.2821463799999999</v>
      </c>
      <c r="J67" s="55"/>
      <c r="K67" s="41">
        <f t="shared" si="8"/>
        <v>-2.2821463799999999</v>
      </c>
    </row>
    <row r="68" spans="1:11" ht="12" customHeight="1" x14ac:dyDescent="0.2">
      <c r="A68" s="1" t="s">
        <v>115</v>
      </c>
      <c r="B68" s="55">
        <v>-25.174448460000001</v>
      </c>
      <c r="C68" s="55">
        <v>-6.3</v>
      </c>
      <c r="D68" s="55"/>
      <c r="E68" s="55">
        <v>-14.1</v>
      </c>
      <c r="F68" s="55"/>
      <c r="G68" s="55"/>
      <c r="H68" s="55"/>
      <c r="I68" s="78">
        <f>-28.94098746-5.29910666</f>
        <v>-34.240094119999995</v>
      </c>
      <c r="J68" s="55"/>
      <c r="K68" s="41">
        <f t="shared" si="8"/>
        <v>-79.814542579999994</v>
      </c>
    </row>
    <row r="69" spans="1:11" ht="12" customHeight="1" x14ac:dyDescent="0.2">
      <c r="A69" s="1" t="s">
        <v>116</v>
      </c>
      <c r="B69" s="55">
        <v>-0.26344982</v>
      </c>
      <c r="C69" s="58"/>
      <c r="D69" s="55">
        <v>-0.23407059</v>
      </c>
      <c r="E69" s="55">
        <v>-2</v>
      </c>
      <c r="F69" s="55"/>
      <c r="G69" s="55"/>
      <c r="H69" s="55"/>
      <c r="I69" s="64"/>
      <c r="J69" s="66">
        <v>-16.359953010000002</v>
      </c>
      <c r="K69" s="41">
        <f t="shared" si="8"/>
        <v>-18.857473420000002</v>
      </c>
    </row>
    <row r="70" spans="1:11" ht="12" customHeight="1" x14ac:dyDescent="0.2">
      <c r="A70" s="1" t="s">
        <v>52</v>
      </c>
      <c r="B70" s="55">
        <v>8.9999999999999996E-7</v>
      </c>
      <c r="C70" s="55">
        <f>0.6-0.15</f>
        <v>0.44999999999999996</v>
      </c>
      <c r="D70" s="55"/>
      <c r="E70" s="55"/>
      <c r="F70" s="55">
        <v>1.1573119999999999</v>
      </c>
      <c r="G70" s="55">
        <v>7.99</v>
      </c>
      <c r="H70" s="55">
        <v>0.27400000000000002</v>
      </c>
      <c r="I70" s="64"/>
      <c r="J70" s="55"/>
      <c r="K70" s="41">
        <f t="shared" si="8"/>
        <v>9.8713128999999995</v>
      </c>
    </row>
    <row r="71" spans="1:11" ht="12" customHeight="1" x14ac:dyDescent="0.2">
      <c r="A71" s="1" t="s">
        <v>53</v>
      </c>
      <c r="B71" s="55">
        <f>52.61084814+1.02469479</f>
        <v>53.63554293</v>
      </c>
      <c r="C71" s="55">
        <v>21.01</v>
      </c>
      <c r="D71" s="55">
        <v>26.822108280000002</v>
      </c>
      <c r="E71" s="55">
        <f>8.2+5.9</f>
        <v>14.1</v>
      </c>
      <c r="F71" s="55">
        <f>0.098591+44.008612-0.468574+0.296276+1.503987+0.340276</f>
        <v>45.779168000000006</v>
      </c>
      <c r="G71" s="55">
        <v>231.79</v>
      </c>
      <c r="H71" s="55">
        <f>86.382+6.514</f>
        <v>92.896000000000001</v>
      </c>
      <c r="I71" s="64">
        <v>90.018831090000006</v>
      </c>
      <c r="J71" s="55">
        <v>205.2451733</v>
      </c>
      <c r="K71" s="41">
        <f t="shared" si="8"/>
        <v>781.29682360000004</v>
      </c>
    </row>
    <row r="72" spans="1:11" ht="12" customHeight="1" x14ac:dyDescent="0.2">
      <c r="A72" s="1" t="s">
        <v>60</v>
      </c>
      <c r="B72" s="55"/>
      <c r="C72" s="55"/>
      <c r="D72" s="55"/>
      <c r="E72" s="55"/>
      <c r="F72" s="55"/>
      <c r="G72" s="55"/>
      <c r="H72" s="55"/>
      <c r="I72" s="64"/>
      <c r="J72" s="55"/>
      <c r="K72" s="41">
        <f t="shared" si="8"/>
        <v>0</v>
      </c>
    </row>
    <row r="73" spans="1:11" s="34" customFormat="1" ht="12" customHeight="1" x14ac:dyDescent="0.2">
      <c r="A73" s="34" t="s">
        <v>12</v>
      </c>
      <c r="B73" s="57">
        <f t="shared" ref="B73:J73" si="9">SUM(B61:B72)</f>
        <v>79.599669549999987</v>
      </c>
      <c r="C73" s="57">
        <f t="shared" si="9"/>
        <v>126.18</v>
      </c>
      <c r="D73" s="57">
        <f t="shared" si="9"/>
        <v>496.89388265000002</v>
      </c>
      <c r="E73" s="57">
        <f t="shared" si="9"/>
        <v>293.89999999999998</v>
      </c>
      <c r="F73" s="57">
        <f t="shared" si="9"/>
        <v>159.63207</v>
      </c>
      <c r="G73" s="57">
        <f t="shared" si="9"/>
        <v>457.66</v>
      </c>
      <c r="H73" s="57">
        <f t="shared" si="9"/>
        <v>232.13799999999998</v>
      </c>
      <c r="I73" s="77">
        <f t="shared" si="9"/>
        <v>133.75840464000001</v>
      </c>
      <c r="J73" s="57">
        <f t="shared" si="9"/>
        <v>633.20607442999994</v>
      </c>
      <c r="K73" s="41">
        <f t="shared" si="8"/>
        <v>2612.9681012700003</v>
      </c>
    </row>
    <row r="74" spans="1:11" ht="12" customHeight="1" x14ac:dyDescent="0.2">
      <c r="B74" s="55"/>
      <c r="C74" s="55"/>
      <c r="D74" s="55"/>
      <c r="E74" s="55"/>
      <c r="F74" s="55"/>
      <c r="G74" s="55"/>
      <c r="H74" s="55"/>
      <c r="I74" s="64"/>
      <c r="J74" s="55"/>
      <c r="K74" s="41"/>
    </row>
    <row r="75" spans="1:11" ht="12" customHeight="1" x14ac:dyDescent="0.2">
      <c r="A75" s="34" t="s">
        <v>42</v>
      </c>
      <c r="B75" s="55"/>
      <c r="C75" s="55"/>
      <c r="D75" s="55"/>
      <c r="E75" s="55"/>
      <c r="F75" s="55"/>
      <c r="G75" s="55"/>
      <c r="H75" s="55"/>
      <c r="I75" s="64"/>
      <c r="J75" s="55"/>
      <c r="K75" s="41"/>
    </row>
    <row r="76" spans="1:11" ht="12" customHeight="1" x14ac:dyDescent="0.2">
      <c r="A76" s="1" t="s">
        <v>118</v>
      </c>
      <c r="B76" s="55">
        <f t="shared" ref="B76:J76" si="10">B17</f>
        <v>87.913251400000007</v>
      </c>
      <c r="C76" s="55">
        <f t="shared" si="10"/>
        <v>103.57</v>
      </c>
      <c r="D76" s="55">
        <f t="shared" si="10"/>
        <v>357.40668405999998</v>
      </c>
      <c r="E76" s="55">
        <f t="shared" si="10"/>
        <v>242.14999999999998</v>
      </c>
      <c r="F76" s="55">
        <f t="shared" si="10"/>
        <v>108.19432400000001</v>
      </c>
      <c r="G76" s="55">
        <f t="shared" si="10"/>
        <v>238.98</v>
      </c>
      <c r="H76" s="55">
        <f t="shared" si="10"/>
        <v>202.23900000000003</v>
      </c>
      <c r="I76" s="64">
        <f t="shared" si="10"/>
        <v>107.09518029</v>
      </c>
      <c r="J76" s="62">
        <f t="shared" si="10"/>
        <v>295.00899999999996</v>
      </c>
      <c r="K76" s="41">
        <f t="shared" ref="K76:K81" si="11">SUM(B76:J76)</f>
        <v>1742.55743975</v>
      </c>
    </row>
    <row r="77" spans="1:11" ht="12" customHeight="1" x14ac:dyDescent="0.2">
      <c r="A77" s="1" t="s">
        <v>47</v>
      </c>
      <c r="B77" s="55">
        <f t="shared" ref="B77:J77" si="12">B29</f>
        <v>11.99127846</v>
      </c>
      <c r="C77" s="55">
        <f t="shared" si="12"/>
        <v>18.36</v>
      </c>
      <c r="D77" s="55">
        <f t="shared" si="12"/>
        <v>82.484003970000003</v>
      </c>
      <c r="E77" s="55">
        <f t="shared" si="12"/>
        <v>42.150000000000006</v>
      </c>
      <c r="F77" s="55">
        <f t="shared" si="12"/>
        <v>12.067696999999999</v>
      </c>
      <c r="G77" s="55">
        <f t="shared" si="12"/>
        <v>116.93</v>
      </c>
      <c r="H77" s="55">
        <f t="shared" si="12"/>
        <v>29.138000000000002</v>
      </c>
      <c r="I77" s="64">
        <f t="shared" si="12"/>
        <v>23.749655620000002</v>
      </c>
      <c r="J77" s="62">
        <f t="shared" si="12"/>
        <v>220.16900000000001</v>
      </c>
      <c r="K77" s="41">
        <f t="shared" si="11"/>
        <v>557.03963505000002</v>
      </c>
    </row>
    <row r="78" spans="1:11" ht="12" customHeight="1" x14ac:dyDescent="0.2">
      <c r="A78" s="1" t="s">
        <v>119</v>
      </c>
      <c r="B78" s="55"/>
      <c r="C78" s="55"/>
      <c r="D78" s="55"/>
      <c r="E78" s="55">
        <v>9.6</v>
      </c>
      <c r="F78" s="55"/>
      <c r="G78" s="55"/>
      <c r="H78" s="55"/>
      <c r="I78" s="64"/>
      <c r="J78" s="55">
        <v>6.99330476</v>
      </c>
      <c r="K78" s="41">
        <f t="shared" si="11"/>
        <v>16.593304759999999</v>
      </c>
    </row>
    <row r="79" spans="1:11" ht="12" customHeight="1" x14ac:dyDescent="0.2">
      <c r="A79" s="1" t="s">
        <v>120</v>
      </c>
      <c r="B79" s="55"/>
      <c r="C79" s="58">
        <v>4.66</v>
      </c>
      <c r="D79" s="55"/>
      <c r="E79" s="55"/>
      <c r="F79" s="55"/>
      <c r="G79" s="55"/>
      <c r="H79" s="55"/>
      <c r="I79" s="64"/>
      <c r="J79" s="55">
        <v>110.27916863</v>
      </c>
      <c r="K79" s="41">
        <f t="shared" si="11"/>
        <v>114.93916863</v>
      </c>
    </row>
    <row r="80" spans="1:11" ht="12" customHeight="1" x14ac:dyDescent="0.2">
      <c r="A80" s="1" t="s">
        <v>121</v>
      </c>
      <c r="B80" s="55"/>
      <c r="C80" s="58">
        <v>1.39</v>
      </c>
      <c r="D80" s="55"/>
      <c r="E80" s="55"/>
      <c r="F80" s="55"/>
      <c r="G80" s="55"/>
      <c r="H80" s="55"/>
      <c r="I80" s="64"/>
      <c r="J80" s="55"/>
      <c r="K80" s="41">
        <f t="shared" si="11"/>
        <v>1.39</v>
      </c>
    </row>
    <row r="81" spans="1:11" ht="12" customHeight="1" x14ac:dyDescent="0.2">
      <c r="A81" s="34" t="s">
        <v>12</v>
      </c>
      <c r="B81" s="57">
        <f t="shared" ref="B81:J81" si="13">SUM(B76:B80)</f>
        <v>99.904529860000011</v>
      </c>
      <c r="C81" s="57">
        <f t="shared" si="13"/>
        <v>127.97999999999999</v>
      </c>
      <c r="D81" s="57">
        <f t="shared" si="13"/>
        <v>439.89068802999998</v>
      </c>
      <c r="E81" s="57">
        <f t="shared" si="13"/>
        <v>293.89999999999998</v>
      </c>
      <c r="F81" s="57">
        <f t="shared" si="13"/>
        <v>120.262021</v>
      </c>
      <c r="G81" s="57">
        <f t="shared" si="13"/>
        <v>355.90999999999997</v>
      </c>
      <c r="H81" s="57">
        <f t="shared" si="13"/>
        <v>231.37700000000004</v>
      </c>
      <c r="I81" s="77">
        <f t="shared" si="13"/>
        <v>130.84483591</v>
      </c>
      <c r="J81" s="57">
        <f t="shared" si="13"/>
        <v>632.45047338999996</v>
      </c>
      <c r="K81" s="41">
        <f t="shared" si="11"/>
        <v>2432.51954819</v>
      </c>
    </row>
    <row r="82" spans="1:11" ht="12" customHeight="1" x14ac:dyDescent="0.2">
      <c r="B82" s="55"/>
      <c r="C82" s="55"/>
      <c r="D82" s="55"/>
      <c r="E82" s="55"/>
      <c r="F82" s="55"/>
      <c r="G82" s="55"/>
      <c r="H82" s="55"/>
      <c r="I82" s="64"/>
      <c r="J82" s="55"/>
      <c r="K82" s="41"/>
    </row>
    <row r="83" spans="1:11" s="2" customFormat="1" ht="12" customHeight="1" x14ac:dyDescent="0.2">
      <c r="A83" s="7" t="s">
        <v>122</v>
      </c>
      <c r="B83" s="55">
        <f t="shared" ref="B83:J83" si="14">B73-B81</f>
        <v>-20.304860310000024</v>
      </c>
      <c r="C83" s="55">
        <f t="shared" si="14"/>
        <v>-1.7999999999999829</v>
      </c>
      <c r="D83" s="55">
        <f t="shared" si="14"/>
        <v>57.003194620000045</v>
      </c>
      <c r="E83" s="55">
        <f t="shared" si="14"/>
        <v>0</v>
      </c>
      <c r="F83" s="55">
        <f t="shared" si="14"/>
        <v>39.370048999999995</v>
      </c>
      <c r="G83" s="55">
        <f t="shared" si="14"/>
        <v>101.75000000000006</v>
      </c>
      <c r="H83" s="55">
        <f t="shared" si="14"/>
        <v>0.76099999999993884</v>
      </c>
      <c r="I83" s="64">
        <f t="shared" si="14"/>
        <v>2.9135687300000086</v>
      </c>
      <c r="J83" s="55">
        <f t="shared" si="14"/>
        <v>0.75560103999998773</v>
      </c>
      <c r="K83" s="41">
        <f>SUM(B83:J83)</f>
        <v>180.44855308000004</v>
      </c>
    </row>
    <row r="84" spans="1:11" s="2" customFormat="1" ht="12" customHeight="1" x14ac:dyDescent="0.2">
      <c r="A84" s="7"/>
      <c r="B84" s="55"/>
      <c r="C84" s="55"/>
      <c r="D84" s="55"/>
      <c r="E84" s="55"/>
      <c r="F84" s="55"/>
      <c r="G84" s="55"/>
      <c r="H84" s="55"/>
      <c r="I84" s="64"/>
      <c r="J84" s="55"/>
      <c r="K84" s="41"/>
    </row>
    <row r="85" spans="1:11" s="2" customFormat="1" ht="12" customHeight="1" x14ac:dyDescent="0.2">
      <c r="A85" s="7" t="s">
        <v>123</v>
      </c>
      <c r="B85" s="55"/>
      <c r="C85" s="55"/>
      <c r="D85" s="55"/>
      <c r="E85" s="55"/>
      <c r="F85" s="55"/>
      <c r="G85" s="55"/>
      <c r="H85" s="55"/>
      <c r="I85" s="64"/>
      <c r="J85" s="55"/>
      <c r="K85" s="41"/>
    </row>
    <row r="86" spans="1:11" s="2" customFormat="1" ht="12" customHeight="1" x14ac:dyDescent="0.2">
      <c r="A86" s="7" t="s">
        <v>124</v>
      </c>
      <c r="B86" s="55">
        <v>27.157873729999999</v>
      </c>
      <c r="C86" s="55"/>
      <c r="D86" s="55"/>
      <c r="E86" s="55"/>
      <c r="F86" s="55"/>
      <c r="G86" s="55">
        <v>64.67</v>
      </c>
      <c r="H86" s="55">
        <v>0</v>
      </c>
      <c r="I86" s="64"/>
      <c r="J86" s="55"/>
      <c r="K86" s="41">
        <f>SUM(B86:J86)</f>
        <v>91.827873729999993</v>
      </c>
    </row>
    <row r="87" spans="1:11" s="2" customFormat="1" ht="12" customHeight="1" x14ac:dyDescent="0.2">
      <c r="A87" s="7" t="s">
        <v>125</v>
      </c>
      <c r="B87" s="55"/>
      <c r="C87" s="55">
        <v>0.28000000000000003</v>
      </c>
      <c r="D87" s="55"/>
      <c r="E87" s="55"/>
      <c r="F87" s="55"/>
      <c r="G87" s="55">
        <v>127.62</v>
      </c>
      <c r="H87" s="55">
        <v>0</v>
      </c>
      <c r="I87" s="64"/>
      <c r="J87" s="55">
        <v>61.732041209999998</v>
      </c>
      <c r="K87" s="41">
        <f>SUM(B87:J87)</f>
        <v>189.63204121000001</v>
      </c>
    </row>
    <row r="88" spans="1:11" ht="12" customHeight="1" x14ac:dyDescent="0.2"/>
    <row r="89" spans="1:11" ht="12" customHeight="1" x14ac:dyDescent="0.2">
      <c r="A89" s="52"/>
    </row>
    <row r="90" spans="1:11" ht="12" customHeight="1" x14ac:dyDescent="0.2">
      <c r="A90" s="52"/>
    </row>
    <row r="91" spans="1:11" ht="12" customHeight="1" x14ac:dyDescent="0.2">
      <c r="A91" s="53"/>
      <c r="J91" s="79"/>
    </row>
    <row r="92" spans="1:11" ht="12" customHeight="1" x14ac:dyDescent="0.2">
      <c r="A92" s="67" t="s">
        <v>161</v>
      </c>
      <c r="J92" s="55"/>
    </row>
    <row r="93" spans="1:11" ht="12" customHeight="1" x14ac:dyDescent="0.2">
      <c r="A93" s="80" t="s">
        <v>162</v>
      </c>
      <c r="J93" s="55"/>
    </row>
    <row r="94" spans="1:11" ht="12" customHeight="1" x14ac:dyDescent="0.2">
      <c r="A94" s="67" t="s">
        <v>163</v>
      </c>
      <c r="J94" s="79"/>
    </row>
    <row r="95" spans="1:11" ht="12" customHeight="1" x14ac:dyDescent="0.2">
      <c r="A95" s="67" t="s">
        <v>151</v>
      </c>
      <c r="B95" s="55"/>
      <c r="J95" s="55"/>
    </row>
    <row r="96" spans="1:11" ht="12" customHeight="1" x14ac:dyDescent="0.2">
      <c r="A96" s="67" t="s">
        <v>141</v>
      </c>
    </row>
    <row r="97" spans="1:11" s="69" customFormat="1" ht="12" customHeight="1" x14ac:dyDescent="0.2">
      <c r="A97" s="67" t="s">
        <v>164</v>
      </c>
      <c r="B97" s="54"/>
      <c r="C97" s="54"/>
      <c r="D97" s="54"/>
      <c r="E97" s="54"/>
      <c r="F97" s="54"/>
      <c r="G97" s="54"/>
      <c r="H97" s="54"/>
      <c r="I97" s="74"/>
      <c r="J97" s="54"/>
      <c r="K97" s="68"/>
    </row>
    <row r="98" spans="1:11" s="69" customFormat="1" ht="12" customHeight="1" x14ac:dyDescent="0.2">
      <c r="A98" s="80" t="s">
        <v>165</v>
      </c>
      <c r="B98" s="54"/>
      <c r="C98" s="54"/>
      <c r="D98" s="54"/>
      <c r="E98" s="54"/>
      <c r="F98" s="54"/>
      <c r="G98" s="54"/>
      <c r="H98" s="54"/>
      <c r="I98" s="74"/>
      <c r="J98" s="54"/>
      <c r="K98" s="68"/>
    </row>
    <row r="99" spans="1:11" ht="12" customHeight="1" x14ac:dyDescent="0.2">
      <c r="A99" s="69" t="s">
        <v>166</v>
      </c>
    </row>
    <row r="100" spans="1:11" ht="12" customHeight="1" x14ac:dyDescent="0.2">
      <c r="A100" s="53"/>
    </row>
    <row r="103" spans="1:11" x14ac:dyDescent="0.2">
      <c r="C103" s="81"/>
      <c r="D103" s="82"/>
    </row>
  </sheetData>
  <phoneticPr fontId="0" type="noConversion"/>
  <printOptions horizontalCentered="1"/>
  <pageMargins left="0.28999999999999998" right="0.34" top="0.9" bottom="0.19685039370078741" header="0.45" footer="0.19"/>
  <pageSetup paperSize="9" scale="90" orientation="landscape" horizontalDpi="4294967292" verticalDpi="3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01"/>
  <sheetViews>
    <sheetView workbookViewId="0">
      <pane xSplit="1" ySplit="4" topLeftCell="B5" activePane="bottomRight" state="frozenSplit"/>
      <selection pane="topRight" activeCell="E62" sqref="E62"/>
      <selection pane="bottomLeft" activeCell="A53" sqref="A53"/>
      <selection pane="bottomRight" activeCell="B5" sqref="B5"/>
    </sheetView>
  </sheetViews>
  <sheetFormatPr baseColWidth="10" defaultRowHeight="12.75" x14ac:dyDescent="0.2"/>
  <cols>
    <col min="1" max="1" width="41.28515625" style="1" customWidth="1"/>
    <col min="2" max="2" width="13.85546875" style="54" customWidth="1"/>
    <col min="3" max="8" width="11.42578125" style="54"/>
    <col min="9" max="9" width="11.42578125" style="74"/>
    <col min="10" max="10" width="12.5703125" style="54" bestFit="1" customWidth="1"/>
    <col min="11" max="11" width="11.42578125" style="33"/>
    <col min="12" max="16384" width="11.42578125" style="1"/>
  </cols>
  <sheetData>
    <row r="1" spans="1:11" x14ac:dyDescent="0.2">
      <c r="A1" s="2" t="s">
        <v>167</v>
      </c>
    </row>
    <row r="2" spans="1:11" x14ac:dyDescent="0.2">
      <c r="A2" s="1" t="s">
        <v>182</v>
      </c>
    </row>
    <row r="3" spans="1:11" x14ac:dyDescent="0.2">
      <c r="A3" s="69"/>
    </row>
    <row r="4" spans="1:11" s="3" customFormat="1" x14ac:dyDescent="0.2">
      <c r="A4" s="5"/>
      <c r="B4" s="54" t="s">
        <v>3</v>
      </c>
      <c r="C4" s="54" t="s">
        <v>4</v>
      </c>
      <c r="D4" s="54" t="s">
        <v>5</v>
      </c>
      <c r="E4" s="54" t="s">
        <v>6</v>
      </c>
      <c r="F4" s="54" t="s">
        <v>7</v>
      </c>
      <c r="G4" s="54" t="s">
        <v>8</v>
      </c>
      <c r="H4" s="54" t="s">
        <v>9</v>
      </c>
      <c r="I4" s="74" t="s">
        <v>10</v>
      </c>
      <c r="J4" s="54" t="s">
        <v>11</v>
      </c>
      <c r="K4" s="33" t="s">
        <v>12</v>
      </c>
    </row>
    <row r="5" spans="1:11" x14ac:dyDescent="0.2">
      <c r="C5" s="83"/>
      <c r="D5" s="83"/>
      <c r="E5" s="83"/>
      <c r="F5" s="83"/>
      <c r="G5" s="83"/>
      <c r="H5" s="83"/>
      <c r="I5" s="83"/>
      <c r="J5" s="83"/>
    </row>
    <row r="6" spans="1:11" ht="15.75" x14ac:dyDescent="0.25">
      <c r="A6" s="6" t="s">
        <v>42</v>
      </c>
    </row>
    <row r="8" spans="1:11" x14ac:dyDescent="0.2">
      <c r="A8" s="2" t="s">
        <v>13</v>
      </c>
      <c r="D8" s="55"/>
    </row>
    <row r="10" spans="1:11" x14ac:dyDescent="0.2">
      <c r="A10" s="1" t="s">
        <v>72</v>
      </c>
      <c r="B10" s="55">
        <v>71.991014860000007</v>
      </c>
      <c r="C10" s="55">
        <v>65.290000000000006</v>
      </c>
      <c r="D10" s="55">
        <v>248.10203362999999</v>
      </c>
      <c r="E10" s="55">
        <v>135.78</v>
      </c>
      <c r="F10" s="55">
        <v>105.57458699999999</v>
      </c>
      <c r="G10" s="55">
        <v>10.130000000000001</v>
      </c>
      <c r="H10" s="55">
        <v>165.01400000000001</v>
      </c>
      <c r="I10" s="64">
        <v>77.625284530000002</v>
      </c>
      <c r="J10" s="55">
        <v>213.983</v>
      </c>
      <c r="K10" s="41">
        <f t="shared" ref="K10:K15" si="0">SUM(B10:J10)</f>
        <v>1093.48992002</v>
      </c>
    </row>
    <row r="11" spans="1:11" x14ac:dyDescent="0.2">
      <c r="A11" s="1" t="s">
        <v>104</v>
      </c>
      <c r="B11" s="55"/>
      <c r="C11" s="55">
        <v>1.1399999999999999</v>
      </c>
      <c r="D11" s="55">
        <v>1.9776124499999999</v>
      </c>
      <c r="E11" s="55">
        <v>0.05</v>
      </c>
      <c r="F11" s="55">
        <v>72.685896</v>
      </c>
      <c r="G11" s="55">
        <v>210.46</v>
      </c>
      <c r="H11" s="55"/>
      <c r="I11" s="64">
        <v>4.6637724399999998</v>
      </c>
      <c r="J11" s="55">
        <v>0</v>
      </c>
      <c r="K11" s="41">
        <f t="shared" si="0"/>
        <v>290.97728088999997</v>
      </c>
    </row>
    <row r="12" spans="1:11" x14ac:dyDescent="0.2">
      <c r="A12" s="1" t="s">
        <v>109</v>
      </c>
      <c r="B12" s="55">
        <v>14.38688464</v>
      </c>
      <c r="C12" s="55">
        <v>8.15</v>
      </c>
      <c r="D12" s="55">
        <v>138.29518474</v>
      </c>
      <c r="E12" s="55">
        <v>29.08</v>
      </c>
      <c r="F12" s="55">
        <v>0.260376</v>
      </c>
      <c r="G12" s="55">
        <v>4.71</v>
      </c>
      <c r="H12" s="55">
        <v>15.419</v>
      </c>
      <c r="I12" s="64"/>
      <c r="J12" s="55">
        <v>25.524999999999999</v>
      </c>
      <c r="K12" s="41">
        <f t="shared" si="0"/>
        <v>235.82644538000002</v>
      </c>
    </row>
    <row r="13" spans="1:11" x14ac:dyDescent="0.2">
      <c r="A13" t="s">
        <v>69</v>
      </c>
      <c r="B13" s="55"/>
      <c r="C13" s="55"/>
      <c r="D13" s="55"/>
      <c r="E13" s="55">
        <v>12.26</v>
      </c>
      <c r="F13" s="55"/>
      <c r="G13" s="55">
        <v>1.17</v>
      </c>
      <c r="H13" s="55">
        <v>11.936999999999999</v>
      </c>
      <c r="I13" s="64">
        <v>3.3985993099999998</v>
      </c>
      <c r="J13" s="55">
        <v>5.6539999999999999</v>
      </c>
      <c r="K13" s="41">
        <f t="shared" si="0"/>
        <v>34.419599309999995</v>
      </c>
    </row>
    <row r="14" spans="1:11" x14ac:dyDescent="0.2">
      <c r="A14" s="1" t="s">
        <v>70</v>
      </c>
      <c r="B14" s="55"/>
      <c r="C14" s="55"/>
      <c r="D14" s="55"/>
      <c r="E14" s="55"/>
      <c r="F14" s="55"/>
      <c r="G14" s="55"/>
      <c r="H14" s="55"/>
      <c r="I14" s="64"/>
      <c r="J14" s="55">
        <v>0</v>
      </c>
      <c r="K14" s="41">
        <f t="shared" si="0"/>
        <v>0</v>
      </c>
    </row>
    <row r="15" spans="1:11" x14ac:dyDescent="0.2">
      <c r="A15" s="1" t="s">
        <v>71</v>
      </c>
      <c r="B15" s="55">
        <v>0.50498441000000005</v>
      </c>
      <c r="C15" s="55">
        <v>8.9700000000000006</v>
      </c>
      <c r="D15" s="55">
        <v>35.700266479999996</v>
      </c>
      <c r="E15" s="55">
        <v>67.8</v>
      </c>
      <c r="F15" s="55">
        <v>6.5957660000000002</v>
      </c>
      <c r="G15" s="55">
        <v>24.46</v>
      </c>
      <c r="H15" s="55">
        <v>8.3170000000000002</v>
      </c>
      <c r="I15" s="64">
        <f>0.57985608+13.44980825</f>
        <v>14.029664330000001</v>
      </c>
      <c r="J15" s="55">
        <v>52.813000000000002</v>
      </c>
      <c r="K15" s="41">
        <f t="shared" si="0"/>
        <v>219.19068121999999</v>
      </c>
    </row>
    <row r="16" spans="1:11" x14ac:dyDescent="0.2">
      <c r="B16" s="55"/>
      <c r="C16" s="55"/>
      <c r="D16" s="55"/>
      <c r="E16" s="55"/>
      <c r="F16" s="55"/>
      <c r="G16" s="55"/>
      <c r="H16" s="55"/>
      <c r="I16" s="64"/>
      <c r="J16" s="55"/>
      <c r="K16" s="41"/>
    </row>
    <row r="17" spans="1:12" s="28" customFormat="1" x14ac:dyDescent="0.2">
      <c r="A17" s="28" t="s">
        <v>12</v>
      </c>
      <c r="B17" s="56">
        <f t="shared" ref="B17:J17" si="1">SUM(B10:B15)</f>
        <v>86.882883910000018</v>
      </c>
      <c r="C17" s="56">
        <f t="shared" si="1"/>
        <v>83.550000000000011</v>
      </c>
      <c r="D17" s="56">
        <f t="shared" si="1"/>
        <v>424.07509729999998</v>
      </c>
      <c r="E17" s="56">
        <f t="shared" si="1"/>
        <v>244.97000000000003</v>
      </c>
      <c r="F17" s="56">
        <f t="shared" si="1"/>
        <v>185.116625</v>
      </c>
      <c r="G17" s="56">
        <f t="shared" si="1"/>
        <v>250.93</v>
      </c>
      <c r="H17" s="56">
        <f t="shared" si="1"/>
        <v>200.68700000000004</v>
      </c>
      <c r="I17" s="75">
        <f t="shared" si="1"/>
        <v>99.717320610000002</v>
      </c>
      <c r="J17" s="56">
        <f t="shared" si="1"/>
        <v>297.97500000000002</v>
      </c>
      <c r="K17" s="42">
        <f>SUM(B17:J17)</f>
        <v>1873.9039268200004</v>
      </c>
    </row>
    <row r="18" spans="1:12" x14ac:dyDescent="0.2">
      <c r="B18" s="55"/>
      <c r="C18" s="55"/>
      <c r="D18" s="55"/>
      <c r="E18" s="55"/>
      <c r="F18" s="55"/>
      <c r="G18" s="55"/>
      <c r="H18" s="55"/>
      <c r="I18" s="64"/>
      <c r="J18" s="55"/>
      <c r="K18" s="41"/>
    </row>
    <row r="19" spans="1:12" x14ac:dyDescent="0.2">
      <c r="B19" s="55"/>
      <c r="C19" s="55"/>
      <c r="D19" s="55"/>
      <c r="E19" s="55"/>
      <c r="F19" s="55"/>
      <c r="G19" s="55"/>
      <c r="H19" s="55"/>
      <c r="I19" s="64"/>
      <c r="J19" s="55"/>
      <c r="K19" s="41"/>
    </row>
    <row r="20" spans="1:12" x14ac:dyDescent="0.2">
      <c r="A20" s="2" t="s">
        <v>14</v>
      </c>
      <c r="B20" s="55"/>
      <c r="C20" s="55"/>
      <c r="D20" s="55"/>
      <c r="E20" s="55"/>
      <c r="F20" s="55"/>
      <c r="G20" s="55"/>
      <c r="H20" s="55"/>
      <c r="I20" s="64"/>
      <c r="J20" s="55"/>
      <c r="K20" s="41"/>
    </row>
    <row r="21" spans="1:12" x14ac:dyDescent="0.2">
      <c r="B21" s="55"/>
      <c r="C21" s="55"/>
      <c r="D21" s="55"/>
      <c r="E21" s="55"/>
      <c r="F21" s="55"/>
      <c r="G21" s="55"/>
      <c r="H21" s="55"/>
      <c r="I21" s="64"/>
      <c r="J21" s="55"/>
      <c r="K21" s="41"/>
    </row>
    <row r="22" spans="1:12" x14ac:dyDescent="0.2">
      <c r="A22" s="1" t="s">
        <v>72</v>
      </c>
      <c r="B22" s="55">
        <v>10.53127477</v>
      </c>
      <c r="C22" s="55"/>
      <c r="D22" s="55">
        <v>12.33648769</v>
      </c>
      <c r="E22" s="55">
        <v>0.47</v>
      </c>
      <c r="F22" s="55">
        <v>11.631655</v>
      </c>
      <c r="G22" s="55">
        <v>33.26</v>
      </c>
      <c r="H22" s="55"/>
      <c r="I22" s="64">
        <v>0.32429999999999998</v>
      </c>
      <c r="J22" s="55">
        <v>47.456000000000003</v>
      </c>
      <c r="K22" s="41">
        <f t="shared" ref="K22:K27" si="2">SUM(B22:J22)</f>
        <v>116.00971746</v>
      </c>
    </row>
    <row r="23" spans="1:12" x14ac:dyDescent="0.2">
      <c r="A23" s="1" t="s">
        <v>104</v>
      </c>
      <c r="B23" s="55"/>
      <c r="C23" s="55"/>
      <c r="D23" s="55">
        <v>6.824877E-2</v>
      </c>
      <c r="E23" s="55"/>
      <c r="F23" s="55"/>
      <c r="G23" s="55">
        <v>13.92</v>
      </c>
      <c r="H23" s="55"/>
      <c r="I23" s="64"/>
      <c r="J23" s="55">
        <v>0</v>
      </c>
      <c r="K23" s="41">
        <f t="shared" si="2"/>
        <v>13.98824877</v>
      </c>
    </row>
    <row r="24" spans="1:12" x14ac:dyDescent="0.2">
      <c r="A24" s="1" t="s">
        <v>109</v>
      </c>
      <c r="B24" s="55">
        <v>0.84340883</v>
      </c>
      <c r="C24" s="55"/>
      <c r="D24" s="66">
        <v>79.163817909999992</v>
      </c>
      <c r="E24" s="55">
        <v>41.13</v>
      </c>
      <c r="F24" s="55">
        <v>3.6642869999999998</v>
      </c>
      <c r="G24" s="55">
        <v>60.32</v>
      </c>
      <c r="H24" s="55">
        <v>13.622999999999999</v>
      </c>
      <c r="I24" s="64">
        <v>18.693860409999999</v>
      </c>
      <c r="J24" s="55">
        <v>94.233000000000004</v>
      </c>
      <c r="K24" s="41">
        <f t="shared" si="2"/>
        <v>311.67137414999996</v>
      </c>
    </row>
    <row r="25" spans="1:12" x14ac:dyDescent="0.2">
      <c r="A25" t="s">
        <v>69</v>
      </c>
      <c r="B25" s="55"/>
      <c r="C25" s="55">
        <v>19.899999999999999</v>
      </c>
      <c r="D25" s="55"/>
      <c r="E25" s="55"/>
      <c r="F25" s="55">
        <v>0.26367699999999999</v>
      </c>
      <c r="G25" s="55">
        <v>0.24</v>
      </c>
      <c r="H25" s="55">
        <v>24.992000000000001</v>
      </c>
      <c r="I25" s="64">
        <v>2.2520060000000002</v>
      </c>
      <c r="J25" s="55">
        <v>43.603000000000002</v>
      </c>
      <c r="K25" s="41">
        <f t="shared" si="2"/>
        <v>91.250683000000009</v>
      </c>
    </row>
    <row r="26" spans="1:12" x14ac:dyDescent="0.2">
      <c r="A26" s="1" t="s">
        <v>70</v>
      </c>
      <c r="B26" s="55"/>
      <c r="C26" s="55"/>
      <c r="D26" s="55"/>
      <c r="E26" s="55"/>
      <c r="F26" s="55"/>
      <c r="G26" s="55"/>
      <c r="H26" s="55"/>
      <c r="I26" s="64"/>
      <c r="J26" s="55"/>
      <c r="K26" s="41">
        <f t="shared" si="2"/>
        <v>0</v>
      </c>
    </row>
    <row r="27" spans="1:12" x14ac:dyDescent="0.2">
      <c r="A27" s="1" t="s">
        <v>71</v>
      </c>
      <c r="B27" s="55"/>
      <c r="C27" s="55"/>
      <c r="D27" s="55">
        <v>5.3476326900000002</v>
      </c>
      <c r="E27" s="55"/>
      <c r="F27" s="55"/>
      <c r="G27" s="55">
        <v>14.65</v>
      </c>
      <c r="H27" s="55"/>
      <c r="I27" s="64"/>
      <c r="J27" s="55">
        <v>6.9189999999999996</v>
      </c>
      <c r="K27" s="41">
        <f t="shared" si="2"/>
        <v>26.91663269</v>
      </c>
    </row>
    <row r="28" spans="1:12" x14ac:dyDescent="0.2">
      <c r="B28" s="55"/>
      <c r="C28" s="55"/>
      <c r="D28" s="55"/>
      <c r="E28" s="55"/>
      <c r="F28" s="55"/>
      <c r="G28" s="55"/>
      <c r="H28" s="55"/>
      <c r="I28" s="64"/>
      <c r="J28" s="55"/>
      <c r="K28" s="41"/>
    </row>
    <row r="29" spans="1:12" s="28" customFormat="1" x14ac:dyDescent="0.2">
      <c r="A29" s="28" t="s">
        <v>12</v>
      </c>
      <c r="B29" s="56">
        <f t="shared" ref="B29:J29" si="3">SUM(B22:B27)</f>
        <v>11.374683599999999</v>
      </c>
      <c r="C29" s="56">
        <f t="shared" si="3"/>
        <v>19.899999999999999</v>
      </c>
      <c r="D29" s="56">
        <f t="shared" si="3"/>
        <v>96.916187059999984</v>
      </c>
      <c r="E29" s="56">
        <f t="shared" si="3"/>
        <v>41.6</v>
      </c>
      <c r="F29" s="56">
        <f t="shared" si="3"/>
        <v>15.559619</v>
      </c>
      <c r="G29" s="56">
        <f t="shared" si="3"/>
        <v>122.39</v>
      </c>
      <c r="H29" s="56">
        <f t="shared" si="3"/>
        <v>38.615000000000002</v>
      </c>
      <c r="I29" s="75">
        <f t="shared" si="3"/>
        <v>21.270166410000002</v>
      </c>
      <c r="J29" s="56">
        <f t="shared" si="3"/>
        <v>192.21100000000004</v>
      </c>
      <c r="K29" s="42">
        <f>SUM(B29:J29)</f>
        <v>559.83665607</v>
      </c>
    </row>
    <row r="30" spans="1:12" x14ac:dyDescent="0.2">
      <c r="B30" s="55"/>
      <c r="C30" s="55"/>
      <c r="D30" s="55"/>
      <c r="E30" s="55"/>
      <c r="F30" s="55"/>
      <c r="G30" s="55"/>
      <c r="H30" s="55"/>
      <c r="I30" s="64"/>
      <c r="J30" s="55"/>
      <c r="K30" s="41"/>
    </row>
    <row r="31" spans="1:12" s="34" customFormat="1" x14ac:dyDescent="0.2">
      <c r="A31" s="34" t="s">
        <v>43</v>
      </c>
      <c r="B31" s="57">
        <f t="shared" ref="B31:J31" si="4">B17+B29</f>
        <v>98.257567510000015</v>
      </c>
      <c r="C31" s="57">
        <f t="shared" si="4"/>
        <v>103.45000000000002</v>
      </c>
      <c r="D31" s="57">
        <f t="shared" si="4"/>
        <v>520.99128436000001</v>
      </c>
      <c r="E31" s="57">
        <f t="shared" si="4"/>
        <v>286.57000000000005</v>
      </c>
      <c r="F31" s="57">
        <f t="shared" si="4"/>
        <v>200.676244</v>
      </c>
      <c r="G31" s="57">
        <f t="shared" si="4"/>
        <v>373.32</v>
      </c>
      <c r="H31" s="57">
        <f t="shared" si="4"/>
        <v>239.30200000000005</v>
      </c>
      <c r="I31" s="77">
        <f t="shared" si="4"/>
        <v>120.98748702</v>
      </c>
      <c r="J31" s="57">
        <f t="shared" si="4"/>
        <v>490.18600000000004</v>
      </c>
      <c r="K31" s="41">
        <f>SUM(B31:J31)</f>
        <v>2433.74058289</v>
      </c>
    </row>
    <row r="32" spans="1:12" x14ac:dyDescent="0.2">
      <c r="B32" s="55"/>
      <c r="C32" s="55"/>
      <c r="D32" s="55"/>
      <c r="E32" s="55"/>
      <c r="F32" s="55"/>
      <c r="G32" s="55"/>
      <c r="H32" s="55"/>
      <c r="I32" s="64"/>
      <c r="J32" s="55"/>
      <c r="K32" s="32"/>
      <c r="L32" s="32"/>
    </row>
    <row r="33" spans="1:11" x14ac:dyDescent="0.2">
      <c r="B33" s="55"/>
      <c r="C33" s="55"/>
      <c r="D33" s="55"/>
      <c r="E33" s="55"/>
      <c r="F33" s="55"/>
      <c r="G33" s="55"/>
      <c r="H33" s="55"/>
      <c r="I33" s="64"/>
      <c r="J33" s="55"/>
      <c r="K33" s="41"/>
    </row>
    <row r="34" spans="1:11" ht="15" customHeight="1" x14ac:dyDescent="0.25">
      <c r="A34" s="6" t="s">
        <v>44</v>
      </c>
      <c r="B34" s="55"/>
      <c r="C34" s="55"/>
      <c r="D34" s="55"/>
      <c r="E34" s="55"/>
      <c r="F34" s="55"/>
      <c r="G34" s="55"/>
      <c r="H34" s="55"/>
      <c r="I34" s="64"/>
      <c r="J34" s="55"/>
      <c r="K34" s="41"/>
    </row>
    <row r="35" spans="1:11" ht="12" customHeight="1" x14ac:dyDescent="0.2">
      <c r="B35" s="55"/>
      <c r="C35" s="55"/>
      <c r="D35" s="55"/>
      <c r="E35" s="55"/>
      <c r="F35" s="55"/>
      <c r="G35" s="55"/>
      <c r="H35" s="55"/>
      <c r="I35" s="64"/>
      <c r="J35" s="55"/>
      <c r="K35" s="41"/>
    </row>
    <row r="36" spans="1:11" ht="12" customHeight="1" x14ac:dyDescent="0.2">
      <c r="A36" s="2" t="s">
        <v>73</v>
      </c>
      <c r="B36" s="55"/>
      <c r="C36" s="55"/>
      <c r="D36" s="55"/>
      <c r="E36" s="55"/>
      <c r="F36" s="55"/>
      <c r="G36" s="55"/>
      <c r="H36" s="55"/>
      <c r="I36" s="64"/>
      <c r="J36" s="55"/>
      <c r="K36" s="41"/>
    </row>
    <row r="37" spans="1:11" ht="12" customHeight="1" x14ac:dyDescent="0.2">
      <c r="B37" s="55"/>
      <c r="C37" s="55"/>
      <c r="D37" s="55"/>
      <c r="E37" s="55"/>
      <c r="F37" s="55"/>
      <c r="G37" s="56"/>
      <c r="H37" s="55"/>
      <c r="I37" s="64"/>
      <c r="J37" s="55"/>
      <c r="K37" s="41"/>
    </row>
    <row r="38" spans="1:11" ht="12" customHeight="1" x14ac:dyDescent="0.2">
      <c r="A38" s="1" t="s">
        <v>74</v>
      </c>
      <c r="B38" s="55">
        <v>45.356293520000001</v>
      </c>
      <c r="C38" s="55">
        <v>46.72</v>
      </c>
      <c r="D38" s="66">
        <v>305.06375926999999</v>
      </c>
      <c r="E38" s="55">
        <v>191.12</v>
      </c>
      <c r="F38" s="55">
        <v>131.552775</v>
      </c>
      <c r="G38" s="55">
        <v>37.78</v>
      </c>
      <c r="H38" s="55">
        <v>114.66</v>
      </c>
      <c r="I38" s="64">
        <v>44.808436</v>
      </c>
      <c r="J38" s="55">
        <v>391.774</v>
      </c>
      <c r="K38" s="41">
        <f t="shared" ref="K38:K45" si="5">SUM(B38:J38)</f>
        <v>1308.83526379</v>
      </c>
    </row>
    <row r="39" spans="1:11" ht="12" customHeight="1" x14ac:dyDescent="0.2">
      <c r="A39" s="1" t="s">
        <v>75</v>
      </c>
      <c r="B39" s="55">
        <v>18.64512109</v>
      </c>
      <c r="C39" s="55"/>
      <c r="D39" s="55"/>
      <c r="E39" s="55">
        <v>0</v>
      </c>
      <c r="F39" s="55">
        <v>24.189339</v>
      </c>
      <c r="G39" s="55">
        <v>10.130000000000001</v>
      </c>
      <c r="H39" s="55">
        <v>0</v>
      </c>
      <c r="I39" s="64">
        <v>0.79590000000000005</v>
      </c>
      <c r="J39" s="55">
        <v>80.554000000000002</v>
      </c>
      <c r="K39" s="41">
        <f t="shared" si="5"/>
        <v>134.31436009000001</v>
      </c>
    </row>
    <row r="40" spans="1:11" ht="12" customHeight="1" x14ac:dyDescent="0.2">
      <c r="A40" s="1" t="s">
        <v>105</v>
      </c>
      <c r="B40" s="55"/>
      <c r="C40" s="55">
        <v>86.6</v>
      </c>
      <c r="D40" s="55"/>
      <c r="E40" s="55">
        <v>70.900000000000006</v>
      </c>
      <c r="F40" s="55"/>
      <c r="G40" s="55">
        <v>1506.43</v>
      </c>
      <c r="H40" s="55">
        <v>0</v>
      </c>
      <c r="I40" s="64"/>
      <c r="J40" s="55">
        <v>0</v>
      </c>
      <c r="K40" s="41">
        <f t="shared" si="5"/>
        <v>1663.93</v>
      </c>
    </row>
    <row r="41" spans="1:11" ht="12" customHeight="1" x14ac:dyDescent="0.2">
      <c r="A41" s="1" t="s">
        <v>107</v>
      </c>
      <c r="B41" s="55">
        <v>13.850550139999999</v>
      </c>
      <c r="C41" s="55">
        <v>13.8</v>
      </c>
      <c r="D41" s="55">
        <v>1846.5540498299999</v>
      </c>
      <c r="E41" s="55">
        <v>191.28</v>
      </c>
      <c r="F41" s="55"/>
      <c r="G41" s="55">
        <v>60.13</v>
      </c>
      <c r="H41" s="55">
        <v>57.268999999999998</v>
      </c>
      <c r="I41" s="64"/>
      <c r="J41" s="55">
        <v>55.82</v>
      </c>
      <c r="K41" s="41">
        <f t="shared" si="5"/>
        <v>2238.7035999700001</v>
      </c>
    </row>
    <row r="42" spans="1:11" ht="12" customHeight="1" x14ac:dyDescent="0.2">
      <c r="A42" s="1" t="s">
        <v>106</v>
      </c>
      <c r="B42" s="55"/>
      <c r="C42" s="55"/>
      <c r="D42" s="66">
        <v>608.54489395999997</v>
      </c>
      <c r="E42" s="55"/>
      <c r="F42" s="55"/>
      <c r="G42" s="55">
        <v>24.71</v>
      </c>
      <c r="H42" s="55">
        <v>0</v>
      </c>
      <c r="I42" s="64"/>
      <c r="J42" s="55">
        <v>0</v>
      </c>
      <c r="K42" s="41">
        <f t="shared" si="5"/>
        <v>633.25489396</v>
      </c>
    </row>
    <row r="43" spans="1:11" ht="12" customHeight="1" x14ac:dyDescent="0.2">
      <c r="A43" s="1" t="s">
        <v>108</v>
      </c>
      <c r="B43" s="55"/>
      <c r="C43" s="55"/>
      <c r="D43" s="55">
        <v>905.81526681000003</v>
      </c>
      <c r="E43" s="55">
        <v>499.5</v>
      </c>
      <c r="F43" s="55"/>
      <c r="G43" s="55">
        <v>35.119999999999997</v>
      </c>
      <c r="H43" s="55">
        <v>69.784999999999997</v>
      </c>
      <c r="I43" s="64"/>
      <c r="J43" s="55">
        <v>976.28</v>
      </c>
      <c r="K43" s="41">
        <f t="shared" si="5"/>
        <v>2486.5002668100001</v>
      </c>
    </row>
    <row r="44" spans="1:11" ht="12" customHeight="1" x14ac:dyDescent="0.2">
      <c r="A44" s="1" t="s">
        <v>78</v>
      </c>
      <c r="B44" s="55"/>
      <c r="C44" s="55"/>
      <c r="D44" s="55"/>
      <c r="E44" s="55"/>
      <c r="F44" s="55"/>
      <c r="G44" s="55">
        <v>0.34</v>
      </c>
      <c r="H44" s="55">
        <v>3.052</v>
      </c>
      <c r="I44" s="64"/>
      <c r="J44" s="55">
        <v>1.22</v>
      </c>
      <c r="K44" s="41">
        <f t="shared" si="5"/>
        <v>4.6120000000000001</v>
      </c>
    </row>
    <row r="45" spans="1:11" ht="12" customHeight="1" x14ac:dyDescent="0.2">
      <c r="A45" s="1" t="s">
        <v>79</v>
      </c>
      <c r="B45" s="55"/>
      <c r="C45" s="55">
        <v>155.82</v>
      </c>
      <c r="D45" s="55"/>
      <c r="E45" s="55"/>
      <c r="F45" s="55"/>
      <c r="G45" s="55"/>
      <c r="H45" s="55">
        <v>0</v>
      </c>
      <c r="I45" s="64"/>
      <c r="J45" s="55">
        <v>0</v>
      </c>
      <c r="K45" s="41">
        <f t="shared" si="5"/>
        <v>155.82</v>
      </c>
    </row>
    <row r="46" spans="1:11" ht="12" customHeight="1" x14ac:dyDescent="0.2">
      <c r="B46" s="55"/>
      <c r="C46" s="55"/>
      <c r="D46" s="55"/>
      <c r="E46" s="55"/>
      <c r="F46" s="55"/>
      <c r="G46" s="55"/>
      <c r="H46" s="55"/>
      <c r="I46" s="64"/>
      <c r="J46" s="55"/>
      <c r="K46" s="41"/>
    </row>
    <row r="47" spans="1:11" s="2" customFormat="1" ht="12" customHeight="1" x14ac:dyDescent="0.2">
      <c r="A47" s="7" t="s">
        <v>12</v>
      </c>
      <c r="B47" s="57">
        <f t="shared" ref="B47:J47" si="6">SUM(B38:B45)</f>
        <v>77.851964749999993</v>
      </c>
      <c r="C47" s="57">
        <f t="shared" si="6"/>
        <v>302.94</v>
      </c>
      <c r="D47" s="57">
        <f t="shared" si="6"/>
        <v>3665.9779698700004</v>
      </c>
      <c r="E47" s="57">
        <f t="shared" si="6"/>
        <v>952.8</v>
      </c>
      <c r="F47" s="57">
        <f t="shared" si="6"/>
        <v>155.74211399999999</v>
      </c>
      <c r="G47" s="57">
        <f t="shared" si="6"/>
        <v>1674.64</v>
      </c>
      <c r="H47" s="57">
        <f t="shared" si="6"/>
        <v>244.76599999999999</v>
      </c>
      <c r="I47" s="77">
        <f t="shared" si="6"/>
        <v>45.604336000000004</v>
      </c>
      <c r="J47" s="57">
        <f t="shared" si="6"/>
        <v>1505.6479999999999</v>
      </c>
      <c r="K47" s="41">
        <f>SUM(B47:J47)</f>
        <v>8625.9703846199991</v>
      </c>
    </row>
    <row r="48" spans="1:11" ht="12" customHeight="1" x14ac:dyDescent="0.2">
      <c r="B48" s="55"/>
      <c r="C48" s="55"/>
      <c r="D48" s="55"/>
      <c r="E48" s="55"/>
      <c r="F48" s="55"/>
      <c r="G48" s="55"/>
      <c r="H48" s="55"/>
      <c r="I48" s="64"/>
      <c r="J48" s="55"/>
      <c r="K48" s="41"/>
    </row>
    <row r="49" spans="1:11" ht="12" customHeight="1" x14ac:dyDescent="0.2">
      <c r="A49" s="2" t="s">
        <v>45</v>
      </c>
      <c r="B49" s="55"/>
      <c r="C49" s="55"/>
      <c r="D49" s="55"/>
      <c r="E49" s="55"/>
      <c r="F49" s="55"/>
      <c r="G49" s="55"/>
      <c r="H49" s="55"/>
      <c r="I49" s="64"/>
      <c r="J49" s="55"/>
      <c r="K49" s="41"/>
    </row>
    <row r="50" spans="1:11" ht="12" customHeight="1" x14ac:dyDescent="0.2">
      <c r="B50" s="55"/>
      <c r="C50" s="55"/>
      <c r="D50" s="55"/>
      <c r="E50" s="55"/>
      <c r="F50" s="55"/>
      <c r="G50" s="55"/>
      <c r="H50" s="55"/>
      <c r="I50" s="64"/>
      <c r="J50" s="55"/>
      <c r="K50" s="41"/>
    </row>
    <row r="51" spans="1:11" ht="12" customHeight="1" x14ac:dyDescent="0.2">
      <c r="A51" s="1" t="s">
        <v>46</v>
      </c>
      <c r="B51" s="55">
        <v>874.97778875999995</v>
      </c>
      <c r="C51" s="55">
        <v>1246.8800000000001</v>
      </c>
      <c r="D51" s="66">
        <v>2138.8251630899999</v>
      </c>
      <c r="E51" s="55">
        <v>1080.05</v>
      </c>
      <c r="F51" s="55">
        <v>1061.050688</v>
      </c>
      <c r="G51" s="55">
        <v>1898.75</v>
      </c>
      <c r="H51" s="55">
        <v>2889.3389999999999</v>
      </c>
      <c r="I51" s="64">
        <v>1745.3175990699999</v>
      </c>
      <c r="J51" s="55">
        <v>2542.3939999999998</v>
      </c>
      <c r="K51" s="41">
        <f>SUM(B51:J51)</f>
        <v>15477.584238920001</v>
      </c>
    </row>
    <row r="52" spans="1:11" ht="12" customHeight="1" x14ac:dyDescent="0.2">
      <c r="A52" s="1" t="s">
        <v>47</v>
      </c>
      <c r="B52" s="55">
        <v>128.17422845999999</v>
      </c>
      <c r="C52" s="55"/>
      <c r="D52" s="55"/>
      <c r="E52" s="55">
        <v>6.22</v>
      </c>
      <c r="F52" s="55">
        <v>55.051527999999998</v>
      </c>
      <c r="G52" s="55">
        <v>286.22000000000003</v>
      </c>
      <c r="H52" s="55">
        <v>45.185000000000002</v>
      </c>
      <c r="I52" s="64">
        <v>0.84184318000000002</v>
      </c>
      <c r="J52" s="55">
        <v>221.71299999999999</v>
      </c>
      <c r="K52" s="41">
        <f>SUM(B52:J52)</f>
        <v>743.40559963999988</v>
      </c>
    </row>
    <row r="53" spans="1:11" ht="12" customHeight="1" x14ac:dyDescent="0.2">
      <c r="B53" s="55"/>
      <c r="C53" s="55"/>
      <c r="D53" s="55"/>
      <c r="E53" s="55"/>
      <c r="F53" s="55"/>
      <c r="G53" s="55"/>
      <c r="H53" s="55"/>
      <c r="I53" s="64"/>
      <c r="J53" s="55"/>
      <c r="K53" s="41"/>
    </row>
    <row r="54" spans="1:11" s="34" customFormat="1" ht="12" customHeight="1" x14ac:dyDescent="0.2">
      <c r="A54" s="34" t="s">
        <v>12</v>
      </c>
      <c r="B54" s="57">
        <f t="shared" ref="B54:J54" si="7">SUM(B51:B52)</f>
        <v>1003.1520172199999</v>
      </c>
      <c r="C54" s="57">
        <f t="shared" si="7"/>
        <v>1246.8800000000001</v>
      </c>
      <c r="D54" s="57">
        <f t="shared" si="7"/>
        <v>2138.8251630899999</v>
      </c>
      <c r="E54" s="57">
        <f t="shared" si="7"/>
        <v>1086.27</v>
      </c>
      <c r="F54" s="57">
        <f t="shared" si="7"/>
        <v>1116.102216</v>
      </c>
      <c r="G54" s="57">
        <f t="shared" si="7"/>
        <v>2184.9700000000003</v>
      </c>
      <c r="H54" s="57">
        <f t="shared" si="7"/>
        <v>2934.5239999999999</v>
      </c>
      <c r="I54" s="77">
        <f t="shared" si="7"/>
        <v>1746.15944225</v>
      </c>
      <c r="J54" s="57">
        <f t="shared" si="7"/>
        <v>2764.107</v>
      </c>
      <c r="K54" s="41">
        <f>SUM(B54:J54)</f>
        <v>16220.989838560001</v>
      </c>
    </row>
    <row r="55" spans="1:11" ht="12" customHeight="1" x14ac:dyDescent="0.2">
      <c r="B55" s="55"/>
      <c r="C55" s="55"/>
      <c r="D55" s="55"/>
      <c r="E55" s="55"/>
      <c r="F55" s="55"/>
      <c r="G55" s="55"/>
      <c r="H55" s="55"/>
      <c r="I55" s="64"/>
      <c r="J55" s="55"/>
      <c r="K55" s="41"/>
    </row>
    <row r="56" spans="1:11" s="2" customFormat="1" ht="12" customHeight="1" x14ac:dyDescent="0.2">
      <c r="A56" s="2" t="s">
        <v>48</v>
      </c>
      <c r="B56" s="55">
        <v>49.459461660000002</v>
      </c>
      <c r="C56" s="55">
        <v>29.96</v>
      </c>
      <c r="D56" s="55">
        <v>255.48711588</v>
      </c>
      <c r="E56" s="55">
        <v>0.08</v>
      </c>
      <c r="F56" s="65">
        <f>71.500091-70+99.49225</f>
        <v>100.992341</v>
      </c>
      <c r="G56" s="55">
        <v>308.02999999999997</v>
      </c>
      <c r="H56" s="55">
        <v>0</v>
      </c>
      <c r="I56" s="64">
        <v>-16.886270920000001</v>
      </c>
      <c r="J56" s="55">
        <v>394.33</v>
      </c>
      <c r="K56" s="41">
        <f>SUM(B56:J56)</f>
        <v>1121.4526476199999</v>
      </c>
    </row>
    <row r="57" spans="1:11" ht="12" customHeight="1" x14ac:dyDescent="0.2">
      <c r="B57" s="55"/>
      <c r="C57" s="55"/>
      <c r="D57" s="55"/>
      <c r="E57" s="55"/>
      <c r="F57" s="55"/>
      <c r="G57" s="55"/>
      <c r="H57" s="55"/>
      <c r="I57" s="64"/>
      <c r="J57" s="55"/>
      <c r="K57" s="41"/>
    </row>
    <row r="58" spans="1:11" ht="12" customHeight="1" x14ac:dyDescent="0.2">
      <c r="A58" s="2" t="s">
        <v>49</v>
      </c>
      <c r="B58" s="55"/>
      <c r="C58" s="55"/>
      <c r="D58" s="55"/>
      <c r="E58" s="55"/>
      <c r="F58" s="55"/>
      <c r="G58" s="55"/>
      <c r="H58" s="55"/>
      <c r="I58" s="64"/>
      <c r="J58" s="55"/>
      <c r="K58" s="41"/>
    </row>
    <row r="59" spans="1:11" ht="12" customHeight="1" x14ac:dyDescent="0.2">
      <c r="B59" s="55"/>
      <c r="C59" s="55"/>
      <c r="D59" s="55"/>
      <c r="E59" s="55"/>
      <c r="F59" s="55"/>
      <c r="G59" s="55"/>
      <c r="H59" s="55"/>
      <c r="I59" s="64"/>
      <c r="J59" s="55"/>
      <c r="K59" s="41"/>
    </row>
    <row r="60" spans="1:11" ht="12" customHeight="1" x14ac:dyDescent="0.2">
      <c r="A60" s="34" t="s">
        <v>117</v>
      </c>
      <c r="B60" s="55"/>
      <c r="C60" s="55"/>
      <c r="D60" s="55"/>
      <c r="E60" s="55"/>
      <c r="F60" s="55"/>
      <c r="G60" s="55"/>
      <c r="H60" s="55"/>
      <c r="I60" s="64"/>
      <c r="J60" s="55"/>
      <c r="K60" s="41"/>
    </row>
    <row r="61" spans="1:11" ht="12" customHeight="1" x14ac:dyDescent="0.2">
      <c r="A61" s="1" t="s">
        <v>50</v>
      </c>
      <c r="B61" s="55">
        <v>51.206000000000003</v>
      </c>
      <c r="C61" s="55">
        <v>114.47</v>
      </c>
      <c r="D61" s="55">
        <v>299.78800000000001</v>
      </c>
      <c r="E61" s="55">
        <v>285.64999999999998</v>
      </c>
      <c r="F61" s="55">
        <v>112.593</v>
      </c>
      <c r="G61" s="55">
        <v>238.16</v>
      </c>
      <c r="H61" s="55">
        <v>138.94300000000001</v>
      </c>
      <c r="I61" s="64">
        <v>75.436000000000007</v>
      </c>
      <c r="J61" s="55">
        <v>464.27060287</v>
      </c>
      <c r="K61" s="41">
        <f>SUM(B61:J61)</f>
        <v>1780.5166028699998</v>
      </c>
    </row>
    <row r="62" spans="1:11" ht="12" customHeight="1" x14ac:dyDescent="0.2">
      <c r="A62" s="1" t="s">
        <v>81</v>
      </c>
      <c r="B62" s="55">
        <v>0.19696085999999999</v>
      </c>
      <c r="C62" s="55">
        <f>0.97+0.44</f>
        <v>1.41</v>
      </c>
      <c r="D62" s="55">
        <v>166.79209065000001</v>
      </c>
      <c r="E62" s="55">
        <v>12.78</v>
      </c>
      <c r="F62" s="65">
        <f>0.4432+150.734776-(52.5+60.37184)</f>
        <v>38.306136000000009</v>
      </c>
      <c r="G62" s="55">
        <v>0.89</v>
      </c>
      <c r="H62" s="55">
        <v>0</v>
      </c>
      <c r="I62" s="64">
        <v>4.7977614800000001</v>
      </c>
      <c r="J62" s="55">
        <v>1.75283185</v>
      </c>
      <c r="K62" s="41">
        <f>SUM(B62:J62)</f>
        <v>226.92578083999999</v>
      </c>
    </row>
    <row r="63" spans="1:11" ht="12" customHeight="1" x14ac:dyDescent="0.2">
      <c r="A63" s="1" t="s">
        <v>110</v>
      </c>
      <c r="B63" s="55"/>
      <c r="C63" s="55"/>
      <c r="D63" s="55"/>
      <c r="E63" s="55"/>
      <c r="F63" s="55"/>
      <c r="G63" s="55"/>
      <c r="H63" s="55"/>
      <c r="I63" s="64"/>
      <c r="J63" s="55"/>
      <c r="K63" s="41"/>
    </row>
    <row r="64" spans="1:11" ht="12" customHeight="1" x14ac:dyDescent="0.2">
      <c r="A64" s="1" t="s">
        <v>111</v>
      </c>
      <c r="B64" s="55"/>
      <c r="C64" s="55">
        <v>-6.66</v>
      </c>
      <c r="D64" s="55"/>
      <c r="E64" s="55"/>
      <c r="F64" s="55"/>
      <c r="G64" s="55">
        <v>-22.43</v>
      </c>
      <c r="H64" s="55"/>
      <c r="I64" s="64"/>
      <c r="J64" s="55">
        <v>-26.39071908</v>
      </c>
      <c r="K64" s="41">
        <f t="shared" ref="K64:K73" si="8">SUM(B64:J64)</f>
        <v>-55.48071908</v>
      </c>
    </row>
    <row r="65" spans="1:11" ht="12" customHeight="1" x14ac:dyDescent="0.2">
      <c r="A65" s="1" t="s">
        <v>112</v>
      </c>
      <c r="B65" s="55"/>
      <c r="C65" s="55">
        <v>-0.1</v>
      </c>
      <c r="D65" s="55">
        <v>-1.8903637799999999</v>
      </c>
      <c r="E65" s="55"/>
      <c r="F65" s="55">
        <v>-0.39774999999999999</v>
      </c>
      <c r="G65" s="55">
        <v>-0.4</v>
      </c>
      <c r="H65" s="55"/>
      <c r="I65" s="64"/>
      <c r="J65" s="55">
        <v>-0.77749502999999998</v>
      </c>
      <c r="K65" s="41">
        <f t="shared" si="8"/>
        <v>-3.5656088099999996</v>
      </c>
    </row>
    <row r="66" spans="1:11" ht="12" customHeight="1" x14ac:dyDescent="0.2">
      <c r="A66" s="1" t="s">
        <v>113</v>
      </c>
      <c r="B66" s="55"/>
      <c r="C66" s="55"/>
      <c r="D66" s="55">
        <v>-0.65500000000000003</v>
      </c>
      <c r="E66" s="55">
        <v>-2.58</v>
      </c>
      <c r="F66" s="55"/>
      <c r="G66" s="55">
        <v>-17.940000000000001</v>
      </c>
      <c r="H66" s="55"/>
      <c r="J66" s="55"/>
      <c r="K66" s="41">
        <f t="shared" si="8"/>
        <v>-21.175000000000001</v>
      </c>
    </row>
    <row r="67" spans="1:11" ht="12" customHeight="1" x14ac:dyDescent="0.2">
      <c r="A67" s="1" t="s">
        <v>114</v>
      </c>
      <c r="B67" s="55"/>
      <c r="C67" s="55"/>
      <c r="D67" s="55"/>
      <c r="E67" s="55"/>
      <c r="F67" s="55"/>
      <c r="G67" s="55"/>
      <c r="H67" s="55"/>
      <c r="I67" s="64">
        <v>-0.48161185000000001</v>
      </c>
      <c r="J67" s="55"/>
      <c r="K67" s="41">
        <f t="shared" si="8"/>
        <v>-0.48161185000000001</v>
      </c>
    </row>
    <row r="68" spans="1:11" ht="12" customHeight="1" x14ac:dyDescent="0.2">
      <c r="A68" s="1" t="s">
        <v>115</v>
      </c>
      <c r="B68" s="55">
        <v>-145.09540693</v>
      </c>
      <c r="C68" s="55">
        <v>-6.51</v>
      </c>
      <c r="D68" s="55"/>
      <c r="E68" s="55">
        <v>-37.29</v>
      </c>
      <c r="F68" s="55"/>
      <c r="G68" s="55"/>
      <c r="H68" s="55"/>
      <c r="I68" s="84">
        <f>-29.73859183-19.6589</f>
        <v>-49.39749183</v>
      </c>
      <c r="J68" s="55"/>
      <c r="K68" s="41">
        <f t="shared" si="8"/>
        <v>-238.29289875999999</v>
      </c>
    </row>
    <row r="69" spans="1:11" ht="12" customHeight="1" x14ac:dyDescent="0.2">
      <c r="A69" s="1" t="s">
        <v>116</v>
      </c>
      <c r="B69" s="58">
        <v>-0.79316120000000001</v>
      </c>
      <c r="C69" s="55"/>
      <c r="D69" s="55">
        <v>-1.10802673</v>
      </c>
      <c r="E69" s="55">
        <v>-0.92</v>
      </c>
      <c r="F69" s="55">
        <v>-0.44776300000000002</v>
      </c>
      <c r="G69" s="55"/>
      <c r="H69" s="55"/>
      <c r="I69" s="64"/>
      <c r="J69" s="85">
        <v>-13.79557428</v>
      </c>
      <c r="K69" s="41">
        <f t="shared" si="8"/>
        <v>-17.064525209999999</v>
      </c>
    </row>
    <row r="70" spans="1:11" ht="12" customHeight="1" x14ac:dyDescent="0.2">
      <c r="A70" s="1" t="s">
        <v>52</v>
      </c>
      <c r="B70" s="55"/>
      <c r="C70" s="55">
        <f>1.06-0.27</f>
        <v>0.79</v>
      </c>
      <c r="D70" s="55"/>
      <c r="E70" s="55"/>
      <c r="F70" s="55">
        <f>5.218428-1.059683</f>
        <v>4.1587450000000006</v>
      </c>
      <c r="G70" s="55"/>
      <c r="H70" s="55">
        <v>0.26</v>
      </c>
      <c r="I70" s="64"/>
      <c r="J70" s="55"/>
      <c r="K70" s="41">
        <f t="shared" si="8"/>
        <v>5.2087450000000004</v>
      </c>
    </row>
    <row r="71" spans="1:11" ht="12" customHeight="1" x14ac:dyDescent="0.2">
      <c r="A71" s="1" t="s">
        <v>53</v>
      </c>
      <c r="B71" s="55">
        <f>185.50564746+1.01473526</f>
        <v>186.52038272000001</v>
      </c>
      <c r="C71" s="55">
        <f>22.02-0.05</f>
        <v>21.97</v>
      </c>
      <c r="D71" s="55">
        <v>32.146622620000002</v>
      </c>
      <c r="E71" s="55">
        <f>15.29+22</f>
        <v>37.29</v>
      </c>
      <c r="F71" s="55">
        <f>0.460203+65.737119-0.961767+0.284588+0.132639+1.136325</f>
        <v>66.789107000000016</v>
      </c>
      <c r="G71" s="55">
        <v>239.17</v>
      </c>
      <c r="H71" s="55">
        <f>93.665+8.678</f>
        <v>102.343</v>
      </c>
      <c r="I71" s="64">
        <v>86.821828280000005</v>
      </c>
      <c r="J71" s="55">
        <v>203.67465258999999</v>
      </c>
      <c r="K71" s="41">
        <f t="shared" si="8"/>
        <v>976.72559320999994</v>
      </c>
    </row>
    <row r="72" spans="1:11" ht="12" customHeight="1" x14ac:dyDescent="0.2">
      <c r="A72" s="1" t="s">
        <v>60</v>
      </c>
      <c r="B72" s="55"/>
      <c r="C72" s="55"/>
      <c r="D72" s="55"/>
      <c r="E72" s="55">
        <v>0.33</v>
      </c>
      <c r="F72" s="65"/>
      <c r="G72" s="55"/>
      <c r="H72" s="55"/>
      <c r="I72" s="64"/>
      <c r="J72" s="55"/>
      <c r="K72" s="41">
        <f t="shared" si="8"/>
        <v>0.33</v>
      </c>
    </row>
    <row r="73" spans="1:11" s="34" customFormat="1" ht="12" customHeight="1" x14ac:dyDescent="0.2">
      <c r="A73" s="34" t="s">
        <v>12</v>
      </c>
      <c r="B73" s="57">
        <f t="shared" ref="B73:J73" si="9">SUM(B61:B72)</f>
        <v>92.034775450000026</v>
      </c>
      <c r="C73" s="57">
        <f t="shared" si="9"/>
        <v>125.37</v>
      </c>
      <c r="D73" s="57">
        <f t="shared" si="9"/>
        <v>495.07332276000005</v>
      </c>
      <c r="E73" s="57">
        <f t="shared" si="9"/>
        <v>295.25999999999993</v>
      </c>
      <c r="F73" s="57">
        <f t="shared" si="9"/>
        <v>221.00147500000003</v>
      </c>
      <c r="G73" s="57">
        <f t="shared" si="9"/>
        <v>437.44999999999993</v>
      </c>
      <c r="H73" s="57">
        <f t="shared" si="9"/>
        <v>241.54599999999999</v>
      </c>
      <c r="I73" s="77">
        <f t="shared" si="9"/>
        <v>117.17648608000002</v>
      </c>
      <c r="J73" s="57">
        <f t="shared" si="9"/>
        <v>628.73429892000001</v>
      </c>
      <c r="K73" s="41">
        <f t="shared" si="8"/>
        <v>2653.6463582100005</v>
      </c>
    </row>
    <row r="74" spans="1:11" ht="12" customHeight="1" x14ac:dyDescent="0.2">
      <c r="B74" s="55"/>
      <c r="C74" s="55"/>
      <c r="D74" s="55"/>
      <c r="E74" s="55"/>
      <c r="F74" s="55"/>
      <c r="G74" s="55"/>
      <c r="H74" s="55"/>
      <c r="I74" s="64"/>
      <c r="J74" s="55"/>
      <c r="K74" s="41"/>
    </row>
    <row r="75" spans="1:11" ht="12" customHeight="1" x14ac:dyDescent="0.2">
      <c r="A75" s="34" t="s">
        <v>42</v>
      </c>
      <c r="B75" s="55"/>
      <c r="C75" s="55"/>
      <c r="D75" s="55"/>
      <c r="E75" s="55"/>
      <c r="F75" s="55"/>
      <c r="G75" s="55"/>
      <c r="H75" s="55"/>
      <c r="I75" s="64"/>
      <c r="J75" s="55"/>
      <c r="K75" s="41"/>
    </row>
    <row r="76" spans="1:11" ht="12" customHeight="1" x14ac:dyDescent="0.2">
      <c r="A76" s="1" t="s">
        <v>118</v>
      </c>
      <c r="B76" s="55">
        <f t="shared" ref="B76:J76" si="10">B17</f>
        <v>86.882883910000018</v>
      </c>
      <c r="C76" s="55">
        <f t="shared" si="10"/>
        <v>83.550000000000011</v>
      </c>
      <c r="D76" s="55">
        <f t="shared" si="10"/>
        <v>424.07509729999998</v>
      </c>
      <c r="E76" s="55">
        <f t="shared" si="10"/>
        <v>244.97000000000003</v>
      </c>
      <c r="F76" s="55">
        <f t="shared" si="10"/>
        <v>185.116625</v>
      </c>
      <c r="G76" s="55">
        <f t="shared" si="10"/>
        <v>250.93</v>
      </c>
      <c r="H76" s="55">
        <f t="shared" si="10"/>
        <v>200.68700000000004</v>
      </c>
      <c r="I76" s="64">
        <f t="shared" si="10"/>
        <v>99.717320610000002</v>
      </c>
      <c r="J76" s="85">
        <f t="shared" si="10"/>
        <v>297.97500000000002</v>
      </c>
      <c r="K76" s="41">
        <f t="shared" ref="K76:K81" si="11">SUM(B76:J76)</f>
        <v>1873.9039268200004</v>
      </c>
    </row>
    <row r="77" spans="1:11" ht="12" customHeight="1" x14ac:dyDescent="0.2">
      <c r="A77" s="1" t="s">
        <v>47</v>
      </c>
      <c r="B77" s="55">
        <f t="shared" ref="B77:J77" si="12">B29</f>
        <v>11.374683599999999</v>
      </c>
      <c r="C77" s="55">
        <f t="shared" si="12"/>
        <v>19.899999999999999</v>
      </c>
      <c r="D77" s="55">
        <f t="shared" si="12"/>
        <v>96.916187059999984</v>
      </c>
      <c r="E77" s="55">
        <f t="shared" si="12"/>
        <v>41.6</v>
      </c>
      <c r="F77" s="55">
        <f t="shared" si="12"/>
        <v>15.559619</v>
      </c>
      <c r="G77" s="55">
        <f t="shared" si="12"/>
        <v>122.39</v>
      </c>
      <c r="H77" s="55">
        <f t="shared" si="12"/>
        <v>38.615000000000002</v>
      </c>
      <c r="I77" s="64">
        <f t="shared" si="12"/>
        <v>21.270166410000002</v>
      </c>
      <c r="J77" s="85">
        <f t="shared" si="12"/>
        <v>192.21100000000004</v>
      </c>
      <c r="K77" s="41">
        <f t="shared" si="11"/>
        <v>559.83665607</v>
      </c>
    </row>
    <row r="78" spans="1:11" ht="12" customHeight="1" x14ac:dyDescent="0.2">
      <c r="A78" s="1" t="s">
        <v>119</v>
      </c>
      <c r="B78" s="55"/>
      <c r="C78" s="55"/>
      <c r="D78" s="55"/>
      <c r="E78" s="55">
        <v>8.61</v>
      </c>
      <c r="F78" s="55"/>
      <c r="G78" s="55"/>
      <c r="H78" s="55"/>
      <c r="I78" s="64"/>
      <c r="J78" s="55">
        <v>6.6761776700000004</v>
      </c>
      <c r="K78" s="41">
        <f t="shared" si="11"/>
        <v>15.286177670000001</v>
      </c>
    </row>
    <row r="79" spans="1:11" ht="12" customHeight="1" x14ac:dyDescent="0.2">
      <c r="A79" s="1" t="s">
        <v>120</v>
      </c>
      <c r="B79" s="55"/>
      <c r="C79" s="63">
        <v>6.91</v>
      </c>
      <c r="D79" s="55"/>
      <c r="E79" s="55"/>
      <c r="F79" s="55"/>
      <c r="G79" s="55">
        <v>65.63</v>
      </c>
      <c r="H79" s="55"/>
      <c r="I79" s="64"/>
      <c r="J79" s="55">
        <v>142.45193237000001</v>
      </c>
      <c r="K79" s="41">
        <f t="shared" si="11"/>
        <v>214.99193237</v>
      </c>
    </row>
    <row r="80" spans="1:11" ht="12" customHeight="1" x14ac:dyDescent="0.2">
      <c r="A80" s="1" t="s">
        <v>121</v>
      </c>
      <c r="B80" s="55"/>
      <c r="C80" s="63">
        <v>1.41</v>
      </c>
      <c r="D80" s="55"/>
      <c r="E80" s="55"/>
      <c r="F80" s="55"/>
      <c r="G80" s="55">
        <v>4.0999999999999996</v>
      </c>
      <c r="H80" s="55"/>
      <c r="I80" s="64"/>
      <c r="J80" s="55"/>
      <c r="K80" s="41">
        <f t="shared" si="11"/>
        <v>5.51</v>
      </c>
    </row>
    <row r="81" spans="1:11" ht="12" customHeight="1" x14ac:dyDescent="0.2">
      <c r="A81" s="34" t="s">
        <v>12</v>
      </c>
      <c r="B81" s="57">
        <f t="shared" ref="B81:J81" si="13">SUM(B76:B80)</f>
        <v>98.257567510000015</v>
      </c>
      <c r="C81" s="57">
        <f t="shared" si="13"/>
        <v>111.77000000000001</v>
      </c>
      <c r="D81" s="57">
        <f t="shared" si="13"/>
        <v>520.99128436000001</v>
      </c>
      <c r="E81" s="57">
        <f t="shared" si="13"/>
        <v>295.18000000000006</v>
      </c>
      <c r="F81" s="57">
        <f t="shared" si="13"/>
        <v>200.676244</v>
      </c>
      <c r="G81" s="57">
        <f t="shared" si="13"/>
        <v>443.05</v>
      </c>
      <c r="H81" s="57">
        <f t="shared" si="13"/>
        <v>239.30200000000005</v>
      </c>
      <c r="I81" s="77">
        <f t="shared" si="13"/>
        <v>120.98748702</v>
      </c>
      <c r="J81" s="57">
        <f t="shared" si="13"/>
        <v>639.31411004000006</v>
      </c>
      <c r="K81" s="41">
        <f t="shared" si="11"/>
        <v>2669.52869293</v>
      </c>
    </row>
    <row r="82" spans="1:11" ht="12" customHeight="1" x14ac:dyDescent="0.2">
      <c r="B82" s="55"/>
      <c r="C82" s="55"/>
      <c r="D82" s="55"/>
      <c r="E82" s="55"/>
      <c r="F82" s="55"/>
      <c r="G82" s="55"/>
      <c r="H82" s="55"/>
      <c r="I82" s="64"/>
      <c r="J82" s="55"/>
      <c r="K82" s="41"/>
    </row>
    <row r="83" spans="1:11" s="2" customFormat="1" ht="12" customHeight="1" x14ac:dyDescent="0.2">
      <c r="A83" s="7" t="s">
        <v>122</v>
      </c>
      <c r="B83" s="55">
        <f t="shared" ref="B83:J83" si="14">B73-B81</f>
        <v>-6.2227920599999891</v>
      </c>
      <c r="C83" s="55">
        <f t="shared" si="14"/>
        <v>13.599999999999994</v>
      </c>
      <c r="D83" s="55">
        <f t="shared" si="14"/>
        <v>-25.917961599999956</v>
      </c>
      <c r="E83" s="55">
        <f t="shared" si="14"/>
        <v>7.9999999999870397E-2</v>
      </c>
      <c r="F83" s="55">
        <f t="shared" si="14"/>
        <v>20.325231000000031</v>
      </c>
      <c r="G83" s="55">
        <f t="shared" si="14"/>
        <v>-5.6000000000000796</v>
      </c>
      <c r="H83" s="55">
        <f t="shared" si="14"/>
        <v>2.2439999999999429</v>
      </c>
      <c r="I83" s="64">
        <f t="shared" si="14"/>
        <v>-3.8110009399999853</v>
      </c>
      <c r="J83" s="55">
        <f t="shared" si="14"/>
        <v>-10.579811120000045</v>
      </c>
      <c r="K83" s="41">
        <f>SUM(B83:J83)</f>
        <v>-15.882334720000216</v>
      </c>
    </row>
    <row r="84" spans="1:11" s="2" customFormat="1" ht="12" customHeight="1" x14ac:dyDescent="0.2">
      <c r="A84" s="7"/>
      <c r="B84" s="55"/>
      <c r="C84" s="55"/>
      <c r="D84" s="55"/>
      <c r="E84" s="55"/>
      <c r="F84" s="55"/>
      <c r="G84" s="55"/>
      <c r="H84" s="55"/>
      <c r="I84" s="64"/>
      <c r="J84" s="55"/>
      <c r="K84" s="41"/>
    </row>
    <row r="85" spans="1:11" s="2" customFormat="1" ht="12" customHeight="1" x14ac:dyDescent="0.2">
      <c r="A85" s="7" t="s">
        <v>123</v>
      </c>
      <c r="B85" s="55"/>
      <c r="C85" s="55"/>
      <c r="D85" s="55"/>
      <c r="E85" s="55"/>
      <c r="F85" s="55"/>
      <c r="G85" s="55"/>
      <c r="H85" s="55"/>
      <c r="I85" s="64"/>
      <c r="J85" s="55"/>
      <c r="K85" s="41"/>
    </row>
    <row r="86" spans="1:11" s="2" customFormat="1" ht="12" customHeight="1" x14ac:dyDescent="0.2">
      <c r="A86" s="7" t="s">
        <v>124</v>
      </c>
      <c r="B86" s="55">
        <v>11.820607669999999</v>
      </c>
      <c r="C86" s="55"/>
      <c r="D86" s="55"/>
      <c r="E86" s="55"/>
      <c r="F86" s="55"/>
      <c r="G86" s="55">
        <v>24.43</v>
      </c>
      <c r="H86" s="55">
        <v>0</v>
      </c>
      <c r="I86" s="64"/>
      <c r="J86" s="55"/>
      <c r="K86" s="41">
        <f>SUM(B86:J86)</f>
        <v>36.250607670000001</v>
      </c>
    </row>
    <row r="87" spans="1:11" s="2" customFormat="1" ht="12" customHeight="1" x14ac:dyDescent="0.2">
      <c r="A87" s="7" t="s">
        <v>125</v>
      </c>
      <c r="B87" s="55">
        <v>145.09540693</v>
      </c>
      <c r="C87" s="55">
        <v>0.31</v>
      </c>
      <c r="D87" s="55"/>
      <c r="E87" s="55"/>
      <c r="F87" s="55"/>
      <c r="G87" s="55">
        <v>117.77</v>
      </c>
      <c r="H87" s="55">
        <v>0</v>
      </c>
      <c r="I87" s="64"/>
      <c r="J87" s="55">
        <v>72.178578759999994</v>
      </c>
      <c r="K87" s="41">
        <f>SUM(B87:J87)</f>
        <v>335.35398569</v>
      </c>
    </row>
    <row r="88" spans="1:11" ht="12" customHeight="1" x14ac:dyDescent="0.2"/>
    <row r="89" spans="1:11" ht="12" customHeight="1" x14ac:dyDescent="0.2">
      <c r="A89" s="52"/>
    </row>
    <row r="90" spans="1:11" ht="12" customHeight="1" x14ac:dyDescent="0.2">
      <c r="A90" s="52"/>
    </row>
    <row r="91" spans="1:11" ht="12" customHeight="1" x14ac:dyDescent="0.2">
      <c r="A91" s="67" t="s">
        <v>168</v>
      </c>
      <c r="J91" s="79"/>
    </row>
    <row r="92" spans="1:11" ht="12" customHeight="1" x14ac:dyDescent="0.2">
      <c r="A92" s="67" t="s">
        <v>169</v>
      </c>
      <c r="J92" s="55"/>
    </row>
    <row r="93" spans="1:11" ht="12" customHeight="1" x14ac:dyDescent="0.2">
      <c r="A93" s="80" t="s">
        <v>170</v>
      </c>
      <c r="J93" s="55"/>
    </row>
    <row r="94" spans="1:11" ht="12" customHeight="1" x14ac:dyDescent="0.2">
      <c r="A94" s="67" t="s">
        <v>171</v>
      </c>
      <c r="J94" s="79"/>
    </row>
    <row r="95" spans="1:11" ht="12" customHeight="1" x14ac:dyDescent="0.2">
      <c r="A95" s="67" t="s">
        <v>172</v>
      </c>
      <c r="B95" s="55"/>
      <c r="J95" s="55"/>
    </row>
    <row r="96" spans="1:11" s="69" customFormat="1" ht="12" customHeight="1" x14ac:dyDescent="0.2">
      <c r="A96" s="80" t="s">
        <v>173</v>
      </c>
      <c r="B96" s="54"/>
      <c r="C96" s="54"/>
      <c r="D96" s="54"/>
      <c r="E96" s="54"/>
      <c r="F96" s="54"/>
      <c r="G96" s="54"/>
      <c r="H96" s="54"/>
      <c r="I96" s="74"/>
      <c r="J96" s="54"/>
      <c r="K96" s="68"/>
    </row>
    <row r="97" spans="1:11" s="69" customFormat="1" ht="12" customHeight="1" x14ac:dyDescent="0.2">
      <c r="A97" s="69" t="s">
        <v>174</v>
      </c>
      <c r="B97" s="54"/>
      <c r="C97" s="54"/>
      <c r="D97" s="54"/>
      <c r="E97" s="54"/>
      <c r="F97" s="54"/>
      <c r="G97" s="54"/>
      <c r="H97" s="54"/>
      <c r="I97" s="74"/>
      <c r="J97" s="54"/>
      <c r="K97" s="68"/>
    </row>
    <row r="98" spans="1:11" ht="12" customHeight="1" x14ac:dyDescent="0.2">
      <c r="A98" s="69" t="s">
        <v>175</v>
      </c>
    </row>
    <row r="99" spans="1:11" ht="12" customHeight="1" x14ac:dyDescent="0.2">
      <c r="A99" s="67" t="s">
        <v>176</v>
      </c>
    </row>
    <row r="100" spans="1:11" s="69" customFormat="1" ht="12" customHeight="1" x14ac:dyDescent="0.2">
      <c r="A100" s="67" t="s">
        <v>177</v>
      </c>
      <c r="B100" s="54"/>
      <c r="C100" s="54"/>
      <c r="D100" s="54"/>
      <c r="E100" s="54"/>
      <c r="F100" s="54"/>
      <c r="G100" s="54"/>
      <c r="H100" s="54"/>
      <c r="I100" s="74"/>
      <c r="J100" s="54"/>
      <c r="K100" s="68"/>
    </row>
    <row r="101" spans="1:11" ht="12" customHeight="1" x14ac:dyDescent="0.2">
      <c r="B101" s="55"/>
    </row>
  </sheetData>
  <phoneticPr fontId="0" type="noConversion"/>
  <printOptions horizontalCentered="1"/>
  <pageMargins left="0.28999999999999998" right="0.34" top="0.9" bottom="0.19685039370078741" header="0.45" footer="0.19"/>
  <pageSetup paperSize="9" scale="90" orientation="landscape" horizontalDpi="4294967292" verticalDpi="3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112"/>
  <sheetViews>
    <sheetView workbookViewId="0">
      <pane xSplit="1" ySplit="4" topLeftCell="B5" activePane="bottomRight" state="frozenSplit"/>
      <selection activeCell="B5" sqref="B5"/>
      <selection pane="topRight" activeCell="B5" sqref="B5"/>
      <selection pane="bottomLeft" activeCell="B5" sqref="B5"/>
      <selection pane="bottomRight" activeCell="B5" sqref="B5"/>
    </sheetView>
  </sheetViews>
  <sheetFormatPr baseColWidth="10" defaultRowHeight="12.75" x14ac:dyDescent="0.2"/>
  <cols>
    <col min="1" max="1" width="41.28515625" style="1" customWidth="1"/>
    <col min="2" max="5" width="11.5703125" style="54" customWidth="1"/>
    <col min="6" max="6" width="11.5703125" style="74" customWidth="1"/>
    <col min="7" max="8" width="11.5703125" style="54" customWidth="1"/>
    <col min="9" max="9" width="11.5703125" style="74" customWidth="1"/>
    <col min="10" max="10" width="11.5703125" style="54" customWidth="1"/>
    <col min="11" max="11" width="11.5703125" style="33" customWidth="1"/>
    <col min="12" max="16384" width="11.42578125" style="1"/>
  </cols>
  <sheetData>
    <row r="1" spans="1:11" x14ac:dyDescent="0.2">
      <c r="A1" s="2" t="s">
        <v>178</v>
      </c>
    </row>
    <row r="2" spans="1:11" x14ac:dyDescent="0.2">
      <c r="A2" s="1" t="s">
        <v>181</v>
      </c>
    </row>
    <row r="3" spans="1:11" x14ac:dyDescent="0.2">
      <c r="A3" s="69"/>
    </row>
    <row r="4" spans="1:11" s="3" customFormat="1" x14ac:dyDescent="0.2">
      <c r="A4" s="5"/>
      <c r="B4" s="54" t="s">
        <v>3</v>
      </c>
      <c r="C4" s="54" t="s">
        <v>4</v>
      </c>
      <c r="D4" s="54" t="s">
        <v>5</v>
      </c>
      <c r="E4" s="54" t="s">
        <v>6</v>
      </c>
      <c r="F4" s="74" t="s">
        <v>7</v>
      </c>
      <c r="G4" s="54" t="s">
        <v>8</v>
      </c>
      <c r="H4" s="54" t="s">
        <v>9</v>
      </c>
      <c r="I4" s="74" t="s">
        <v>10</v>
      </c>
      <c r="J4" s="54" t="s">
        <v>11</v>
      </c>
      <c r="K4" s="33" t="s">
        <v>12</v>
      </c>
    </row>
    <row r="5" spans="1:11" x14ac:dyDescent="0.2">
      <c r="C5" s="83"/>
      <c r="D5" s="55"/>
      <c r="E5" s="83"/>
      <c r="F5" s="98"/>
      <c r="G5" s="83"/>
      <c r="H5" s="83"/>
      <c r="I5" s="83"/>
      <c r="J5" s="83"/>
    </row>
    <row r="6" spans="1:11" ht="15.75" x14ac:dyDescent="0.25">
      <c r="A6" s="6" t="s">
        <v>42</v>
      </c>
      <c r="D6" s="55"/>
    </row>
    <row r="7" spans="1:11" x14ac:dyDescent="0.2">
      <c r="D7" s="55"/>
    </row>
    <row r="8" spans="1:11" x14ac:dyDescent="0.2">
      <c r="A8" s="2" t="s">
        <v>13</v>
      </c>
    </row>
    <row r="9" spans="1:11" x14ac:dyDescent="0.2">
      <c r="D9" s="55"/>
    </row>
    <row r="10" spans="1:11" x14ac:dyDescent="0.2">
      <c r="A10" s="1" t="s">
        <v>72</v>
      </c>
      <c r="B10" s="55">
        <v>77.953899829999997</v>
      </c>
      <c r="C10" s="55">
        <v>80.099999999999994</v>
      </c>
      <c r="D10" s="55">
        <v>205.94528514000001</v>
      </c>
      <c r="E10" s="55">
        <v>121.59</v>
      </c>
      <c r="F10" s="64">
        <v>192.66457399999999</v>
      </c>
      <c r="G10" s="55">
        <v>13.73</v>
      </c>
      <c r="H10" s="55">
        <v>152.35</v>
      </c>
      <c r="I10" s="64">
        <v>89.193995340000001</v>
      </c>
      <c r="J10" s="55">
        <v>262.91899999999998</v>
      </c>
      <c r="K10" s="41">
        <f t="shared" ref="K10:K15" si="0">SUM(B10:J10)</f>
        <v>1196.44675431</v>
      </c>
    </row>
    <row r="11" spans="1:11" x14ac:dyDescent="0.2">
      <c r="A11" s="1" t="s">
        <v>104</v>
      </c>
      <c r="B11" s="55"/>
      <c r="C11" s="55">
        <v>3.78</v>
      </c>
      <c r="D11" s="55">
        <v>6.7268555900000004</v>
      </c>
      <c r="E11" s="55">
        <v>1.5</v>
      </c>
      <c r="F11" s="64">
        <v>71.885386999999994</v>
      </c>
      <c r="G11" s="55">
        <v>226.97</v>
      </c>
      <c r="H11" s="55"/>
      <c r="I11" s="64">
        <v>3.0187953599999999</v>
      </c>
      <c r="J11" s="55">
        <v>0</v>
      </c>
      <c r="K11" s="41">
        <f t="shared" si="0"/>
        <v>313.88103795000001</v>
      </c>
    </row>
    <row r="12" spans="1:11" x14ac:dyDescent="0.2">
      <c r="A12" s="1" t="s">
        <v>109</v>
      </c>
      <c r="B12" s="55">
        <v>16.063429200000002</v>
      </c>
      <c r="C12" s="55">
        <v>9.09</v>
      </c>
      <c r="D12" s="55">
        <v>61.659291979999999</v>
      </c>
      <c r="E12" s="55">
        <v>40.67</v>
      </c>
      <c r="F12" s="64">
        <v>0.22118099999999999</v>
      </c>
      <c r="G12" s="55">
        <v>4.26</v>
      </c>
      <c r="H12" s="55">
        <v>17.106999999999999</v>
      </c>
      <c r="I12" s="64"/>
      <c r="J12" s="55">
        <v>19.327000000000002</v>
      </c>
      <c r="K12" s="41">
        <f t="shared" si="0"/>
        <v>168.39790217999999</v>
      </c>
    </row>
    <row r="13" spans="1:11" x14ac:dyDescent="0.2">
      <c r="A13" t="s">
        <v>69</v>
      </c>
      <c r="B13" s="55"/>
      <c r="C13" s="55"/>
      <c r="E13" s="55">
        <v>13.08</v>
      </c>
      <c r="F13" s="64"/>
      <c r="G13" s="55">
        <v>1.79</v>
      </c>
      <c r="H13" s="55">
        <v>12.97</v>
      </c>
      <c r="I13" s="64">
        <v>3.04798189</v>
      </c>
      <c r="J13" s="55">
        <v>6.2110000000000003</v>
      </c>
      <c r="K13" s="41">
        <f t="shared" si="0"/>
        <v>37.098981890000005</v>
      </c>
    </row>
    <row r="14" spans="1:11" x14ac:dyDescent="0.2">
      <c r="A14" s="1" t="s">
        <v>70</v>
      </c>
      <c r="B14" s="55"/>
      <c r="C14" s="55"/>
      <c r="D14" s="55"/>
      <c r="E14" s="55"/>
      <c r="F14" s="64"/>
      <c r="G14" s="55"/>
      <c r="H14" s="55"/>
      <c r="I14" s="64"/>
      <c r="J14" s="55">
        <v>0</v>
      </c>
      <c r="K14" s="41">
        <f t="shared" si="0"/>
        <v>0</v>
      </c>
    </row>
    <row r="15" spans="1:11" x14ac:dyDescent="0.2">
      <c r="A15" s="1" t="s">
        <v>71</v>
      </c>
      <c r="B15" s="55">
        <v>0.65496553999999996</v>
      </c>
      <c r="C15" s="55">
        <v>9.02</v>
      </c>
      <c r="D15" s="55">
        <f>4.8150099+38.3253302</f>
        <v>43.140340100000003</v>
      </c>
      <c r="E15" s="55">
        <f>2.4+65.32</f>
        <v>67.72</v>
      </c>
      <c r="F15" s="64">
        <v>7.00596</v>
      </c>
      <c r="G15" s="55">
        <v>21.66</v>
      </c>
      <c r="H15" s="55">
        <v>9.2959999999999994</v>
      </c>
      <c r="I15" s="64">
        <f>0.54081566+15.09719929</f>
        <v>15.638014950000001</v>
      </c>
      <c r="J15" s="55">
        <v>53.143000000000001</v>
      </c>
      <c r="K15" s="41">
        <f t="shared" si="0"/>
        <v>227.27828059000001</v>
      </c>
    </row>
    <row r="16" spans="1:11" x14ac:dyDescent="0.2">
      <c r="B16" s="55"/>
      <c r="C16" s="55"/>
      <c r="D16" s="55"/>
      <c r="E16" s="55"/>
      <c r="F16" s="64"/>
      <c r="G16" s="55"/>
      <c r="H16" s="55"/>
      <c r="I16" s="64"/>
      <c r="J16" s="55"/>
      <c r="K16" s="41"/>
    </row>
    <row r="17" spans="1:256" s="28" customFormat="1" x14ac:dyDescent="0.2">
      <c r="A17" s="28" t="s">
        <v>12</v>
      </c>
      <c r="B17" s="56">
        <f t="shared" ref="B17:J17" si="1">SUM(B10:B15)</f>
        <v>94.672294570000005</v>
      </c>
      <c r="C17" s="56">
        <f t="shared" si="1"/>
        <v>101.99</v>
      </c>
      <c r="D17" s="56">
        <f t="shared" si="1"/>
        <v>317.47177281</v>
      </c>
      <c r="E17" s="56">
        <f t="shared" si="1"/>
        <v>244.56</v>
      </c>
      <c r="F17" s="75">
        <f t="shared" si="1"/>
        <v>271.77710200000001</v>
      </c>
      <c r="G17" s="56">
        <f t="shared" si="1"/>
        <v>268.40999999999997</v>
      </c>
      <c r="H17" s="56">
        <f t="shared" si="1"/>
        <v>191.72299999999998</v>
      </c>
      <c r="I17" s="75">
        <f t="shared" si="1"/>
        <v>110.89878754</v>
      </c>
      <c r="J17" s="56">
        <f t="shared" si="1"/>
        <v>341.6</v>
      </c>
      <c r="K17" s="42">
        <f>SUM(B17:J17)</f>
        <v>1943.10295692</v>
      </c>
    </row>
    <row r="18" spans="1:256" x14ac:dyDescent="0.2">
      <c r="B18" s="55"/>
      <c r="C18" s="55"/>
      <c r="D18" s="55"/>
      <c r="E18" s="55"/>
      <c r="F18" s="64"/>
      <c r="G18" s="55"/>
      <c r="H18" s="55"/>
      <c r="I18" s="64"/>
      <c r="J18" s="55"/>
      <c r="K18" s="41"/>
    </row>
    <row r="19" spans="1:256" x14ac:dyDescent="0.2">
      <c r="B19" s="55"/>
      <c r="C19" s="55"/>
      <c r="D19" s="55"/>
      <c r="E19" s="55"/>
      <c r="F19" s="64"/>
      <c r="G19" s="55"/>
      <c r="H19" s="55"/>
      <c r="I19" s="64"/>
      <c r="J19" s="55"/>
      <c r="K19" s="41"/>
    </row>
    <row r="20" spans="1:256" x14ac:dyDescent="0.2">
      <c r="A20" s="2" t="s">
        <v>14</v>
      </c>
      <c r="B20" s="55"/>
      <c r="C20" s="55"/>
      <c r="D20" s="55"/>
      <c r="E20" s="55"/>
      <c r="F20" s="64"/>
      <c r="G20" s="55"/>
      <c r="H20" s="55"/>
      <c r="I20" s="64"/>
      <c r="J20" s="55"/>
      <c r="K20" s="41"/>
    </row>
    <row r="21" spans="1:256" x14ac:dyDescent="0.2">
      <c r="B21" s="55"/>
      <c r="C21" s="55"/>
      <c r="D21" s="55"/>
      <c r="E21" s="55"/>
      <c r="F21" s="64"/>
      <c r="G21" s="55"/>
      <c r="H21" s="55"/>
      <c r="I21" s="64"/>
      <c r="J21" s="55"/>
      <c r="K21" s="41"/>
    </row>
    <row r="22" spans="1:256" x14ac:dyDescent="0.2">
      <c r="A22" s="1" t="s">
        <v>72</v>
      </c>
      <c r="B22" s="55">
        <v>13.28332685</v>
      </c>
      <c r="C22" s="55"/>
      <c r="D22" s="55">
        <v>11.8518101</v>
      </c>
      <c r="E22" s="55"/>
      <c r="F22" s="64">
        <v>13.821807</v>
      </c>
      <c r="G22" s="55">
        <v>34.229999999999997</v>
      </c>
      <c r="H22" s="55"/>
      <c r="I22" s="64">
        <v>1.03258242</v>
      </c>
      <c r="J22" s="55">
        <v>36.442999999999998</v>
      </c>
      <c r="K22" s="41">
        <f t="shared" ref="K22:K27" si="2">SUM(B22:J22)</f>
        <v>110.66252636999999</v>
      </c>
    </row>
    <row r="23" spans="1:256" x14ac:dyDescent="0.2">
      <c r="A23" s="1" t="s">
        <v>104</v>
      </c>
      <c r="B23" s="55"/>
      <c r="C23" s="55"/>
      <c r="D23" s="55">
        <v>0.14590312</v>
      </c>
      <c r="E23" s="55"/>
      <c r="F23" s="64"/>
      <c r="G23" s="55">
        <v>13.25</v>
      </c>
      <c r="H23" s="55"/>
      <c r="I23" s="64"/>
      <c r="J23" s="55">
        <v>0</v>
      </c>
      <c r="K23" s="41">
        <f t="shared" si="2"/>
        <v>13.39590312</v>
      </c>
    </row>
    <row r="24" spans="1:256" x14ac:dyDescent="0.2">
      <c r="A24" s="1" t="s">
        <v>109</v>
      </c>
      <c r="B24" s="55">
        <v>0.65065026000000004</v>
      </c>
      <c r="C24" s="55"/>
      <c r="D24" s="55">
        <v>81.130950420000005</v>
      </c>
      <c r="E24" s="55">
        <v>42</v>
      </c>
      <c r="F24" s="64">
        <v>3.0063089999999999</v>
      </c>
      <c r="G24" s="55">
        <v>52.92</v>
      </c>
      <c r="H24" s="55">
        <v>13.429</v>
      </c>
      <c r="I24" s="64">
        <v>17.13271761</v>
      </c>
      <c r="J24" s="55">
        <v>96.403000000000006</v>
      </c>
      <c r="K24" s="41">
        <f t="shared" si="2"/>
        <v>306.67262729000004</v>
      </c>
    </row>
    <row r="25" spans="1:256" x14ac:dyDescent="0.2">
      <c r="A25" t="s">
        <v>69</v>
      </c>
      <c r="B25" s="55"/>
      <c r="C25" s="55">
        <v>21.59</v>
      </c>
      <c r="D25" s="55"/>
      <c r="E25" s="55"/>
      <c r="F25" s="64">
        <v>1.2869999999999999E-3</v>
      </c>
      <c r="G25" s="55">
        <v>0.25</v>
      </c>
      <c r="H25" s="55">
        <v>26.439</v>
      </c>
      <c r="I25" s="64">
        <v>2.004194</v>
      </c>
      <c r="J25" s="55">
        <v>39.378</v>
      </c>
      <c r="K25" s="41">
        <f t="shared" si="2"/>
        <v>89.662481</v>
      </c>
    </row>
    <row r="26" spans="1:256" x14ac:dyDescent="0.2">
      <c r="A26" s="1" t="s">
        <v>70</v>
      </c>
      <c r="B26" s="55"/>
      <c r="C26" s="55"/>
      <c r="D26" s="55"/>
      <c r="E26" s="55"/>
      <c r="F26" s="64"/>
      <c r="G26" s="55"/>
      <c r="H26" s="55">
        <v>1E-3</v>
      </c>
      <c r="I26" s="64"/>
      <c r="J26" s="55"/>
      <c r="K26" s="41">
        <f t="shared" si="2"/>
        <v>1E-3</v>
      </c>
    </row>
    <row r="27" spans="1:256" x14ac:dyDescent="0.2">
      <c r="A27" s="1" t="s">
        <v>71</v>
      </c>
      <c r="B27" s="55"/>
      <c r="C27" s="55"/>
      <c r="D27" s="55">
        <f>2.16000188+2.53532408</f>
        <v>4.6953259599999999</v>
      </c>
      <c r="E27" s="55"/>
      <c r="F27" s="64"/>
      <c r="G27" s="55">
        <v>16.600000000000001</v>
      </c>
      <c r="H27" s="55"/>
      <c r="I27" s="64"/>
      <c r="J27" s="55">
        <v>7.6589999999999998</v>
      </c>
      <c r="K27" s="41">
        <f t="shared" si="2"/>
        <v>28.954325959999998</v>
      </c>
    </row>
    <row r="28" spans="1:256" x14ac:dyDescent="0.2">
      <c r="B28" s="55"/>
      <c r="C28" s="55"/>
      <c r="D28" s="55"/>
      <c r="E28" s="55"/>
      <c r="F28" s="64"/>
      <c r="G28" s="55"/>
      <c r="H28" s="55"/>
      <c r="I28" s="64"/>
      <c r="J28" s="55"/>
      <c r="K28" s="41"/>
    </row>
    <row r="29" spans="1:256" s="28" customFormat="1" x14ac:dyDescent="0.2">
      <c r="A29" s="28" t="s">
        <v>12</v>
      </c>
      <c r="B29" s="56">
        <f t="shared" ref="B29:J29" si="3">SUM(B22:B27)</f>
        <v>13.933977110000001</v>
      </c>
      <c r="C29" s="56">
        <f t="shared" si="3"/>
        <v>21.59</v>
      </c>
      <c r="D29" s="56">
        <f t="shared" si="3"/>
        <v>97.823989600000004</v>
      </c>
      <c r="E29" s="56">
        <f t="shared" si="3"/>
        <v>42</v>
      </c>
      <c r="F29" s="75">
        <f t="shared" si="3"/>
        <v>16.829403000000003</v>
      </c>
      <c r="G29" s="56">
        <f t="shared" si="3"/>
        <v>117.25</v>
      </c>
      <c r="H29" s="56">
        <f t="shared" si="3"/>
        <v>39.869</v>
      </c>
      <c r="I29" s="75">
        <f t="shared" si="3"/>
        <v>20.169494030000003</v>
      </c>
      <c r="J29" s="56">
        <f t="shared" si="3"/>
        <v>179.88299999999998</v>
      </c>
      <c r="K29" s="42">
        <f>SUM(B29:J29)</f>
        <v>549.34886374000007</v>
      </c>
    </row>
    <row r="30" spans="1:256" x14ac:dyDescent="0.2">
      <c r="B30" s="55"/>
      <c r="C30" s="55"/>
      <c r="D30" s="55"/>
      <c r="E30" s="55"/>
      <c r="F30" s="64"/>
      <c r="G30" s="55"/>
      <c r="H30" s="55"/>
      <c r="I30" s="64"/>
      <c r="J30" s="55"/>
      <c r="K30" s="41"/>
    </row>
    <row r="31" spans="1:256" s="34" customFormat="1" x14ac:dyDescent="0.2">
      <c r="A31" s="34" t="s">
        <v>43</v>
      </c>
      <c r="B31" s="57">
        <f t="shared" ref="B31:J31" si="4">B17+B29</f>
        <v>108.60627168000001</v>
      </c>
      <c r="C31" s="57">
        <f t="shared" si="4"/>
        <v>123.58</v>
      </c>
      <c r="D31" s="57">
        <f t="shared" si="4"/>
        <v>415.29576241000001</v>
      </c>
      <c r="E31" s="57">
        <f t="shared" si="4"/>
        <v>286.56</v>
      </c>
      <c r="F31" s="77">
        <f t="shared" si="4"/>
        <v>288.60650500000003</v>
      </c>
      <c r="G31" s="57">
        <f t="shared" si="4"/>
        <v>385.65999999999997</v>
      </c>
      <c r="H31" s="57">
        <f t="shared" si="4"/>
        <v>231.59199999999998</v>
      </c>
      <c r="I31" s="77">
        <f t="shared" si="4"/>
        <v>131.06828157000001</v>
      </c>
      <c r="J31" s="57">
        <f t="shared" si="4"/>
        <v>521.48299999999995</v>
      </c>
      <c r="K31" s="41">
        <f>SUM(B31:J31)</f>
        <v>2492.4518206600001</v>
      </c>
    </row>
    <row r="32" spans="1:256" x14ac:dyDescent="0.2">
      <c r="B32" s="55"/>
      <c r="C32" s="55"/>
      <c r="D32" s="55"/>
      <c r="E32" s="55"/>
      <c r="F32" s="64"/>
      <c r="G32" s="55"/>
      <c r="H32" s="55"/>
      <c r="I32" s="64"/>
      <c r="J32" s="55"/>
      <c r="K32" s="32"/>
      <c r="L32" s="32"/>
      <c r="M32" s="32"/>
      <c r="N32" s="32"/>
      <c r="O32" s="32"/>
      <c r="P32" s="32"/>
      <c r="Q32" s="32"/>
      <c r="R32" s="32"/>
      <c r="S32" s="32"/>
      <c r="T32" s="32"/>
      <c r="U32" s="32"/>
      <c r="V32" s="32"/>
      <c r="W32" s="32"/>
      <c r="X32" s="32"/>
      <c r="Y32" s="32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2"/>
      <c r="AK32" s="32"/>
      <c r="AL32" s="32"/>
      <c r="AM32" s="32"/>
      <c r="AN32" s="32"/>
      <c r="AO32" s="32"/>
      <c r="AP32" s="32"/>
      <c r="AQ32" s="32"/>
      <c r="AR32" s="32"/>
      <c r="AS32" s="32"/>
      <c r="AT32" s="32"/>
      <c r="AU32" s="32"/>
      <c r="AV32" s="32"/>
      <c r="AW32" s="32"/>
      <c r="AX32" s="32"/>
      <c r="AY32" s="32"/>
      <c r="AZ32" s="32"/>
      <c r="BA32" s="32"/>
      <c r="BB32" s="32"/>
      <c r="BC32" s="32"/>
      <c r="BD32" s="32"/>
      <c r="BE32" s="32"/>
      <c r="BF32" s="32"/>
      <c r="BG32" s="32"/>
      <c r="BH32" s="32"/>
      <c r="BI32" s="32"/>
      <c r="BJ32" s="32"/>
      <c r="BK32" s="32"/>
      <c r="BL32" s="32"/>
      <c r="BM32" s="32"/>
      <c r="BN32" s="32"/>
      <c r="BO32" s="32"/>
      <c r="BP32" s="32"/>
      <c r="BQ32" s="32"/>
      <c r="BR32" s="32"/>
      <c r="BS32" s="32"/>
      <c r="BT32" s="32"/>
      <c r="BU32" s="32"/>
      <c r="BV32" s="32"/>
      <c r="BW32" s="32"/>
      <c r="BX32" s="32"/>
      <c r="BY32" s="32"/>
      <c r="BZ32" s="32"/>
      <c r="CA32" s="32"/>
      <c r="CB32" s="32"/>
      <c r="CC32" s="32"/>
      <c r="CD32" s="32"/>
      <c r="CE32" s="32"/>
      <c r="CF32" s="32"/>
      <c r="CG32" s="32"/>
      <c r="CH32" s="32"/>
      <c r="CI32" s="32"/>
      <c r="CJ32" s="32"/>
      <c r="CK32" s="32"/>
      <c r="CL32" s="32"/>
      <c r="CM32" s="32"/>
      <c r="CN32" s="32"/>
      <c r="CO32" s="32"/>
      <c r="CP32" s="32"/>
      <c r="CQ32" s="32"/>
      <c r="CR32" s="32"/>
      <c r="CS32" s="32"/>
      <c r="CT32" s="32"/>
      <c r="CU32" s="32"/>
      <c r="CV32" s="32"/>
      <c r="CW32" s="32"/>
      <c r="CX32" s="32"/>
      <c r="CY32" s="32"/>
      <c r="CZ32" s="32"/>
      <c r="DA32" s="32"/>
      <c r="DB32" s="32"/>
      <c r="DC32" s="32"/>
      <c r="DD32" s="32"/>
      <c r="DE32" s="32"/>
      <c r="DF32" s="32"/>
      <c r="DG32" s="32"/>
      <c r="DH32" s="32"/>
      <c r="DI32" s="32"/>
      <c r="DJ32" s="32"/>
      <c r="DK32" s="32"/>
      <c r="DL32" s="32"/>
      <c r="DM32" s="32"/>
      <c r="DN32" s="32"/>
      <c r="DO32" s="32"/>
      <c r="DP32" s="32"/>
      <c r="DQ32" s="32"/>
      <c r="DR32" s="32"/>
      <c r="DS32" s="32"/>
      <c r="DT32" s="32"/>
      <c r="DU32" s="32"/>
      <c r="DV32" s="32"/>
      <c r="DW32" s="32"/>
      <c r="DX32" s="32"/>
      <c r="DY32" s="32"/>
      <c r="DZ32" s="32"/>
      <c r="EA32" s="32"/>
      <c r="EB32" s="32"/>
      <c r="EC32" s="32"/>
      <c r="ED32" s="32"/>
      <c r="EE32" s="32"/>
      <c r="EF32" s="32"/>
      <c r="EG32" s="32"/>
      <c r="EH32" s="32"/>
      <c r="EI32" s="32"/>
      <c r="EJ32" s="32"/>
      <c r="EK32" s="32"/>
      <c r="EL32" s="32"/>
      <c r="EM32" s="32"/>
      <c r="EN32" s="32"/>
      <c r="EO32" s="32"/>
      <c r="EP32" s="32"/>
      <c r="EQ32" s="32"/>
      <c r="ER32" s="32"/>
      <c r="ES32" s="32"/>
      <c r="ET32" s="32"/>
      <c r="EU32" s="32"/>
      <c r="EV32" s="32"/>
      <c r="EW32" s="32"/>
      <c r="EX32" s="32"/>
      <c r="EY32" s="32"/>
      <c r="EZ32" s="32"/>
      <c r="FA32" s="32"/>
      <c r="FB32" s="32"/>
      <c r="FC32" s="32"/>
      <c r="FD32" s="32"/>
      <c r="FE32" s="32"/>
      <c r="FF32" s="32"/>
      <c r="FG32" s="32"/>
      <c r="FH32" s="32"/>
      <c r="FI32" s="32"/>
      <c r="FJ32" s="32"/>
      <c r="FK32" s="32"/>
      <c r="FL32" s="32"/>
      <c r="FM32" s="32"/>
      <c r="FN32" s="32"/>
      <c r="FO32" s="32"/>
      <c r="FP32" s="32"/>
      <c r="FQ32" s="32"/>
      <c r="FR32" s="32"/>
      <c r="FS32" s="32"/>
      <c r="FT32" s="32"/>
      <c r="FU32" s="32"/>
      <c r="FV32" s="32"/>
      <c r="FW32" s="32"/>
      <c r="FX32" s="32"/>
      <c r="FY32" s="32"/>
      <c r="FZ32" s="32"/>
      <c r="GA32" s="32"/>
      <c r="GB32" s="32"/>
      <c r="GC32" s="32"/>
      <c r="GD32" s="32"/>
      <c r="GE32" s="32"/>
      <c r="GF32" s="32"/>
      <c r="GG32" s="32"/>
      <c r="GH32" s="32"/>
      <c r="GI32" s="32"/>
      <c r="GJ32" s="32"/>
      <c r="GK32" s="32"/>
      <c r="GL32" s="32"/>
      <c r="GM32" s="32"/>
      <c r="GN32" s="32"/>
      <c r="GO32" s="32"/>
      <c r="GP32" s="32"/>
      <c r="GQ32" s="32"/>
      <c r="GR32" s="32"/>
      <c r="GS32" s="32"/>
      <c r="GT32" s="32"/>
      <c r="GU32" s="32"/>
      <c r="GV32" s="32"/>
      <c r="GW32" s="32"/>
      <c r="GX32" s="32"/>
      <c r="GY32" s="32"/>
      <c r="GZ32" s="32"/>
      <c r="HA32" s="32"/>
      <c r="HB32" s="32"/>
      <c r="HC32" s="32"/>
      <c r="HD32" s="32"/>
      <c r="HE32" s="32"/>
      <c r="HF32" s="32"/>
      <c r="HG32" s="32"/>
      <c r="HH32" s="32"/>
      <c r="HI32" s="32"/>
      <c r="HJ32" s="32"/>
      <c r="HK32" s="32"/>
      <c r="HL32" s="32"/>
      <c r="HM32" s="32"/>
      <c r="HN32" s="32"/>
      <c r="HO32" s="32"/>
      <c r="HP32" s="32"/>
      <c r="HQ32" s="32"/>
      <c r="HR32" s="32"/>
      <c r="HS32" s="32"/>
      <c r="HT32" s="32"/>
      <c r="HU32" s="32"/>
      <c r="HV32" s="32"/>
      <c r="HW32" s="32"/>
      <c r="HX32" s="32"/>
      <c r="HY32" s="32"/>
      <c r="HZ32" s="32"/>
      <c r="IA32" s="32"/>
      <c r="IB32" s="32"/>
      <c r="IC32" s="32"/>
      <c r="ID32" s="32"/>
      <c r="IE32" s="32"/>
      <c r="IF32" s="32"/>
      <c r="IG32" s="32"/>
      <c r="IH32" s="32"/>
      <c r="II32" s="32"/>
      <c r="IJ32" s="32"/>
      <c r="IK32" s="32"/>
      <c r="IL32" s="32"/>
      <c r="IM32" s="32"/>
      <c r="IN32" s="32"/>
      <c r="IO32" s="32"/>
      <c r="IP32" s="32"/>
      <c r="IQ32" s="32"/>
      <c r="IR32" s="32"/>
      <c r="IS32" s="32"/>
      <c r="IT32" s="32"/>
      <c r="IU32" s="32"/>
      <c r="IV32" s="32"/>
    </row>
    <row r="33" spans="1:11" x14ac:dyDescent="0.2">
      <c r="B33" s="55"/>
      <c r="C33" s="55"/>
      <c r="D33" s="55"/>
      <c r="E33" s="55"/>
      <c r="F33" s="64"/>
      <c r="G33" s="55"/>
      <c r="H33" s="55"/>
      <c r="I33" s="64"/>
      <c r="J33" s="55"/>
      <c r="K33" s="41"/>
    </row>
    <row r="34" spans="1:11" ht="15" customHeight="1" x14ac:dyDescent="0.25">
      <c r="A34" s="6" t="s">
        <v>44</v>
      </c>
      <c r="B34" s="55"/>
      <c r="C34" s="55"/>
      <c r="D34" s="55"/>
      <c r="E34" s="55"/>
      <c r="F34" s="64"/>
      <c r="G34" s="55"/>
      <c r="H34" s="55"/>
      <c r="I34" s="64"/>
      <c r="J34" s="55"/>
      <c r="K34" s="41"/>
    </row>
    <row r="35" spans="1:11" ht="12" customHeight="1" x14ac:dyDescent="0.2">
      <c r="B35" s="55"/>
      <c r="C35" s="55"/>
      <c r="D35" s="55"/>
      <c r="E35" s="55"/>
      <c r="F35" s="64"/>
      <c r="G35" s="55"/>
      <c r="H35" s="55"/>
      <c r="I35" s="64"/>
      <c r="J35" s="55"/>
      <c r="K35" s="41"/>
    </row>
    <row r="36" spans="1:11" ht="12" customHeight="1" x14ac:dyDescent="0.2">
      <c r="A36" s="2" t="s">
        <v>73</v>
      </c>
      <c r="B36" s="55"/>
      <c r="C36" s="55"/>
      <c r="D36" s="55"/>
      <c r="E36" s="55"/>
      <c r="F36" s="64"/>
      <c r="G36" s="55"/>
      <c r="H36" s="55"/>
      <c r="I36" s="64"/>
      <c r="J36" s="55"/>
      <c r="K36" s="41"/>
    </row>
    <row r="37" spans="1:11" ht="12" customHeight="1" x14ac:dyDescent="0.2">
      <c r="B37" s="55"/>
      <c r="C37" s="55"/>
      <c r="D37" s="55"/>
      <c r="E37" s="55"/>
      <c r="F37" s="64"/>
      <c r="G37" s="56"/>
      <c r="H37" s="55"/>
      <c r="I37" s="64"/>
      <c r="J37" s="55"/>
      <c r="K37" s="41"/>
    </row>
    <row r="38" spans="1:11" ht="12" customHeight="1" x14ac:dyDescent="0.2">
      <c r="A38" s="1" t="s">
        <v>74</v>
      </c>
      <c r="B38" s="55">
        <v>46.016148770000001</v>
      </c>
      <c r="C38" s="55">
        <v>46.14</v>
      </c>
      <c r="D38" s="58">
        <v>321.89876597</v>
      </c>
      <c r="E38" s="55">
        <v>211.37</v>
      </c>
      <c r="F38" s="64">
        <v>133.75399999999999</v>
      </c>
      <c r="G38" s="55">
        <v>37.51</v>
      </c>
      <c r="H38" s="55">
        <v>113.63</v>
      </c>
      <c r="I38" s="64">
        <v>67.504367000000002</v>
      </c>
      <c r="J38" s="55">
        <v>238.57256602000001</v>
      </c>
      <c r="K38" s="41">
        <f t="shared" ref="K38:K45" si="5">SUM(B38:J38)</f>
        <v>1216.3958477600002</v>
      </c>
    </row>
    <row r="39" spans="1:11" ht="12" customHeight="1" x14ac:dyDescent="0.2">
      <c r="A39" s="1" t="s">
        <v>75</v>
      </c>
      <c r="B39" s="55">
        <v>16.88465433</v>
      </c>
      <c r="C39" s="55"/>
      <c r="D39" s="55"/>
      <c r="E39" s="55">
        <v>0</v>
      </c>
      <c r="F39" s="64">
        <v>24.826000000000001</v>
      </c>
      <c r="G39" s="55">
        <v>14.94</v>
      </c>
      <c r="H39" s="55">
        <v>0</v>
      </c>
      <c r="I39" s="64">
        <v>5.2938900000000002</v>
      </c>
      <c r="J39" s="55">
        <v>80.675318239999996</v>
      </c>
      <c r="K39" s="41">
        <f t="shared" si="5"/>
        <v>142.61986256999998</v>
      </c>
    </row>
    <row r="40" spans="1:11" ht="12" customHeight="1" x14ac:dyDescent="0.2">
      <c r="A40" s="1" t="s">
        <v>105</v>
      </c>
      <c r="B40" s="55"/>
      <c r="C40" s="55">
        <v>131.25</v>
      </c>
      <c r="D40" s="55"/>
      <c r="E40" s="55">
        <v>31.57</v>
      </c>
      <c r="F40" s="64"/>
      <c r="G40" s="55">
        <v>1540.18</v>
      </c>
      <c r="H40" s="55">
        <v>0</v>
      </c>
      <c r="I40" s="64">
        <v>12.15221711</v>
      </c>
      <c r="J40" s="55">
        <v>0</v>
      </c>
      <c r="K40" s="41">
        <f t="shared" si="5"/>
        <v>1715.15221711</v>
      </c>
    </row>
    <row r="41" spans="1:11" ht="12" customHeight="1" x14ac:dyDescent="0.2">
      <c r="A41" s="1" t="s">
        <v>107</v>
      </c>
      <c r="B41" s="55">
        <v>23.448115949999998</v>
      </c>
      <c r="C41" s="55">
        <v>14.02</v>
      </c>
      <c r="D41" s="55">
        <v>1898.63192385</v>
      </c>
      <c r="E41" s="55">
        <v>378.33</v>
      </c>
      <c r="F41" s="64"/>
      <c r="G41" s="55">
        <v>59.12</v>
      </c>
      <c r="H41" s="55">
        <v>58.99</v>
      </c>
      <c r="I41" s="64"/>
      <c r="J41" s="55">
        <v>40.351565370000003</v>
      </c>
      <c r="K41" s="41">
        <f t="shared" si="5"/>
        <v>2472.8916051699998</v>
      </c>
    </row>
    <row r="42" spans="1:11" ht="12" customHeight="1" x14ac:dyDescent="0.2">
      <c r="A42" s="1" t="s">
        <v>106</v>
      </c>
      <c r="B42" s="55"/>
      <c r="C42" s="55"/>
      <c r="D42" s="58">
        <v>844.36875750000002</v>
      </c>
      <c r="E42" s="55"/>
      <c r="F42" s="64"/>
      <c r="G42" s="55">
        <v>29.37</v>
      </c>
      <c r="H42" s="55">
        <v>0</v>
      </c>
      <c r="I42" s="64"/>
      <c r="J42" s="55">
        <v>0</v>
      </c>
      <c r="K42" s="41">
        <f t="shared" si="5"/>
        <v>873.73875750000002</v>
      </c>
    </row>
    <row r="43" spans="1:11" ht="12" customHeight="1" x14ac:dyDescent="0.2">
      <c r="A43" s="1" t="s">
        <v>108</v>
      </c>
      <c r="B43" s="55">
        <v>0.1972981</v>
      </c>
      <c r="C43" s="55"/>
      <c r="D43" s="55">
        <v>979.55542449999996</v>
      </c>
      <c r="E43" s="55">
        <v>524.59</v>
      </c>
      <c r="F43" s="64"/>
      <c r="G43" s="55">
        <v>418.24</v>
      </c>
      <c r="H43" s="55">
        <v>69.569999999999993</v>
      </c>
      <c r="I43" s="64">
        <v>67.540384099999997</v>
      </c>
      <c r="J43" s="55">
        <v>962.67207934999999</v>
      </c>
      <c r="K43" s="41">
        <f t="shared" si="5"/>
        <v>3022.3651860499999</v>
      </c>
    </row>
    <row r="44" spans="1:11" ht="12" customHeight="1" x14ac:dyDescent="0.2">
      <c r="A44" s="1" t="s">
        <v>78</v>
      </c>
      <c r="B44" s="55"/>
      <c r="C44" s="55"/>
      <c r="D44" s="55"/>
      <c r="E44" s="55"/>
      <c r="F44" s="64"/>
      <c r="G44" s="55">
        <v>1.05</v>
      </c>
      <c r="H44" s="55">
        <v>2.74</v>
      </c>
      <c r="I44" s="64"/>
      <c r="J44" s="55">
        <v>1.1209861999999999</v>
      </c>
      <c r="K44" s="41">
        <f t="shared" si="5"/>
        <v>4.9109862</v>
      </c>
    </row>
    <row r="45" spans="1:11" ht="12" customHeight="1" x14ac:dyDescent="0.2">
      <c r="A45" s="1" t="s">
        <v>79</v>
      </c>
      <c r="B45" s="55"/>
      <c r="C45" s="55">
        <v>161.81</v>
      </c>
      <c r="D45" s="55"/>
      <c r="E45" s="55"/>
      <c r="F45" s="64"/>
      <c r="G45" s="55"/>
      <c r="H45" s="55">
        <v>0</v>
      </c>
      <c r="I45" s="64"/>
      <c r="J45" s="55">
        <v>0</v>
      </c>
      <c r="K45" s="41">
        <f t="shared" si="5"/>
        <v>161.81</v>
      </c>
    </row>
    <row r="46" spans="1:11" ht="12" customHeight="1" x14ac:dyDescent="0.2">
      <c r="B46" s="55"/>
      <c r="C46" s="55"/>
      <c r="D46" s="55"/>
      <c r="E46" s="55"/>
      <c r="F46" s="64"/>
      <c r="G46" s="55"/>
      <c r="H46" s="55"/>
      <c r="I46" s="64"/>
      <c r="J46" s="55"/>
      <c r="K46" s="41"/>
    </row>
    <row r="47" spans="1:11" s="2" customFormat="1" ht="12" customHeight="1" x14ac:dyDescent="0.2">
      <c r="A47" s="7" t="s">
        <v>12</v>
      </c>
      <c r="B47" s="57">
        <f t="shared" ref="B47:J47" si="6">SUM(B38:B45)</f>
        <v>86.546217150000004</v>
      </c>
      <c r="C47" s="57">
        <f t="shared" si="6"/>
        <v>353.22</v>
      </c>
      <c r="D47" s="57">
        <f t="shared" si="6"/>
        <v>4044.4548718199999</v>
      </c>
      <c r="E47" s="57">
        <f t="shared" si="6"/>
        <v>1145.8600000000001</v>
      </c>
      <c r="F47" s="77">
        <f t="shared" si="6"/>
        <v>158.57999999999998</v>
      </c>
      <c r="G47" s="57">
        <f t="shared" si="6"/>
        <v>2100.41</v>
      </c>
      <c r="H47" s="57">
        <f t="shared" si="6"/>
        <v>244.93</v>
      </c>
      <c r="I47" s="77">
        <f t="shared" si="6"/>
        <v>152.49085821</v>
      </c>
      <c r="J47" s="57">
        <f t="shared" si="6"/>
        <v>1323.3925151799999</v>
      </c>
      <c r="K47" s="41">
        <f>SUM(B47:J47)</f>
        <v>9609.8844623599998</v>
      </c>
    </row>
    <row r="48" spans="1:11" ht="12" customHeight="1" x14ac:dyDescent="0.2">
      <c r="B48" s="55"/>
      <c r="C48" s="55"/>
      <c r="D48" s="55"/>
      <c r="E48" s="55"/>
      <c r="F48" s="64"/>
      <c r="G48" s="55"/>
      <c r="H48" s="55"/>
      <c r="I48" s="64"/>
      <c r="J48" s="55"/>
      <c r="K48" s="41"/>
    </row>
    <row r="49" spans="1:11" ht="12" customHeight="1" x14ac:dyDescent="0.2">
      <c r="A49" s="2" t="s">
        <v>45</v>
      </c>
      <c r="B49" s="55"/>
      <c r="C49" s="55"/>
      <c r="D49" s="55"/>
      <c r="E49" s="55"/>
      <c r="F49" s="64"/>
      <c r="G49" s="55"/>
      <c r="H49" s="55"/>
      <c r="I49" s="64"/>
      <c r="J49" s="55"/>
      <c r="K49" s="41"/>
    </row>
    <row r="50" spans="1:11" ht="12" customHeight="1" x14ac:dyDescent="0.2">
      <c r="B50" s="55"/>
      <c r="C50" s="55"/>
      <c r="D50" s="55"/>
      <c r="E50" s="55"/>
      <c r="F50" s="64"/>
      <c r="G50" s="55"/>
      <c r="H50" s="55"/>
      <c r="I50" s="64"/>
      <c r="J50" s="55"/>
      <c r="K50" s="41"/>
    </row>
    <row r="51" spans="1:11" ht="12" customHeight="1" x14ac:dyDescent="0.2">
      <c r="A51" s="1" t="s">
        <v>46</v>
      </c>
      <c r="B51" s="86">
        <v>912.79487025000003</v>
      </c>
      <c r="C51" s="55">
        <v>1325.53</v>
      </c>
      <c r="D51" s="58">
        <v>482.5360574</v>
      </c>
      <c r="E51" s="55">
        <v>310.85000000000002</v>
      </c>
      <c r="F51" s="64">
        <v>1223.826534</v>
      </c>
      <c r="G51" s="55">
        <v>2016.4</v>
      </c>
      <c r="H51" s="55">
        <v>2966.9520000000002</v>
      </c>
      <c r="I51" s="64">
        <v>1764.76962278</v>
      </c>
      <c r="J51" s="55">
        <v>2593.7660122900002</v>
      </c>
      <c r="K51" s="41">
        <f>SUM(B51:J51)</f>
        <v>13597.425096720001</v>
      </c>
    </row>
    <row r="52" spans="1:11" ht="12" customHeight="1" x14ac:dyDescent="0.2">
      <c r="A52" s="1" t="s">
        <v>47</v>
      </c>
      <c r="B52" s="87">
        <v>135.90927395</v>
      </c>
      <c r="C52" s="55"/>
      <c r="D52" s="55"/>
      <c r="E52" s="55">
        <v>0</v>
      </c>
      <c r="F52" s="64">
        <v>63.875700000000002</v>
      </c>
      <c r="G52" s="55">
        <v>307.69</v>
      </c>
      <c r="H52" s="55">
        <v>42.003</v>
      </c>
      <c r="I52" s="64">
        <v>1.6747894299999999</v>
      </c>
      <c r="J52" s="55">
        <v>258.75679034000001</v>
      </c>
      <c r="K52" s="41">
        <f>SUM(B52:J52)</f>
        <v>809.90955372000008</v>
      </c>
    </row>
    <row r="53" spans="1:11" ht="12" customHeight="1" x14ac:dyDescent="0.2">
      <c r="B53" s="55"/>
      <c r="C53" s="55"/>
      <c r="D53" s="55"/>
      <c r="E53" s="55"/>
      <c r="F53" s="64"/>
      <c r="G53" s="55"/>
      <c r="H53" s="55"/>
      <c r="I53" s="64"/>
      <c r="J53" s="55"/>
      <c r="K53" s="41"/>
    </row>
    <row r="54" spans="1:11" s="34" customFormat="1" ht="12" customHeight="1" x14ac:dyDescent="0.2">
      <c r="A54" s="34" t="s">
        <v>12</v>
      </c>
      <c r="B54" s="57">
        <f t="shared" ref="B54:J54" si="7">SUM(B51:B52)</f>
        <v>1048.7041442</v>
      </c>
      <c r="C54" s="57">
        <f t="shared" si="7"/>
        <v>1325.53</v>
      </c>
      <c r="D54" s="57">
        <f t="shared" si="7"/>
        <v>482.5360574</v>
      </c>
      <c r="E54" s="57">
        <f t="shared" si="7"/>
        <v>310.85000000000002</v>
      </c>
      <c r="F54" s="77">
        <f t="shared" si="7"/>
        <v>1287.7022340000001</v>
      </c>
      <c r="G54" s="57">
        <f t="shared" si="7"/>
        <v>2324.09</v>
      </c>
      <c r="H54" s="57">
        <f t="shared" si="7"/>
        <v>3008.9550000000004</v>
      </c>
      <c r="I54" s="77">
        <f t="shared" si="7"/>
        <v>1766.4444122099999</v>
      </c>
      <c r="J54" s="57">
        <f t="shared" si="7"/>
        <v>2852.5228026300001</v>
      </c>
      <c r="K54" s="41">
        <f>SUM(B54:J54)</f>
        <v>14407.33465044</v>
      </c>
    </row>
    <row r="55" spans="1:11" ht="12" customHeight="1" x14ac:dyDescent="0.2">
      <c r="B55" s="55"/>
      <c r="C55" s="55"/>
      <c r="D55" s="55"/>
      <c r="E55" s="55"/>
      <c r="F55" s="64"/>
      <c r="G55" s="55"/>
      <c r="H55" s="55"/>
      <c r="I55" s="64"/>
      <c r="J55" s="55"/>
      <c r="K55" s="41"/>
    </row>
    <row r="56" spans="1:11" s="2" customFormat="1" ht="12" customHeight="1" x14ac:dyDescent="0.2">
      <c r="A56" s="2" t="s">
        <v>48</v>
      </c>
      <c r="B56" s="87">
        <v>36.79032325</v>
      </c>
      <c r="C56" s="55">
        <v>24.38</v>
      </c>
      <c r="D56" s="55">
        <v>317.28154575000002</v>
      </c>
      <c r="E56" s="55">
        <v>0</v>
      </c>
      <c r="F56" s="75">
        <v>0</v>
      </c>
      <c r="G56" s="55">
        <v>147.47</v>
      </c>
      <c r="H56" s="55">
        <v>0</v>
      </c>
      <c r="I56" s="64">
        <v>0</v>
      </c>
      <c r="J56" s="55">
        <v>324.32755236999998</v>
      </c>
      <c r="K56" s="41">
        <f>SUM(B56:J56)</f>
        <v>850.24942136999994</v>
      </c>
    </row>
    <row r="57" spans="1:11" ht="12" customHeight="1" x14ac:dyDescent="0.2">
      <c r="B57" s="55"/>
      <c r="C57" s="55"/>
      <c r="D57" s="55"/>
      <c r="E57" s="55"/>
      <c r="F57" s="64"/>
      <c r="G57" s="55"/>
      <c r="H57" s="55"/>
      <c r="I57" s="64"/>
      <c r="J57" s="55"/>
      <c r="K57" s="41"/>
    </row>
    <row r="58" spans="1:11" ht="12" customHeight="1" x14ac:dyDescent="0.2">
      <c r="A58" s="2" t="s">
        <v>49</v>
      </c>
      <c r="B58" s="55"/>
      <c r="C58" s="55"/>
      <c r="D58" s="55"/>
      <c r="E58" s="55"/>
      <c r="F58" s="64"/>
      <c r="G58" s="55"/>
      <c r="H58" s="55"/>
      <c r="I58" s="64"/>
      <c r="J58" s="55"/>
      <c r="K58" s="41"/>
    </row>
    <row r="59" spans="1:11" ht="12" customHeight="1" x14ac:dyDescent="0.2">
      <c r="B59" s="55"/>
      <c r="C59" s="55"/>
      <c r="D59" s="55"/>
      <c r="E59" s="55"/>
      <c r="F59" s="64"/>
      <c r="G59" s="55"/>
      <c r="H59" s="55"/>
      <c r="I59" s="64"/>
      <c r="J59" s="55"/>
      <c r="K59" s="41"/>
    </row>
    <row r="60" spans="1:11" ht="12" customHeight="1" x14ac:dyDescent="0.2">
      <c r="A60" s="34" t="s">
        <v>117</v>
      </c>
      <c r="B60" s="79"/>
      <c r="C60" s="79"/>
      <c r="D60" s="79"/>
      <c r="E60" s="79"/>
      <c r="F60" s="99"/>
      <c r="G60" s="79"/>
      <c r="H60" s="79"/>
      <c r="I60" s="99"/>
      <c r="J60" s="79"/>
      <c r="K60" s="41"/>
    </row>
    <row r="61" spans="1:11" ht="12" customHeight="1" x14ac:dyDescent="0.2">
      <c r="A61" s="1" t="s">
        <v>50</v>
      </c>
      <c r="B61" s="55">
        <v>51.206000000000003</v>
      </c>
      <c r="C61" s="55">
        <v>114.47</v>
      </c>
      <c r="D61" s="55">
        <v>299.78800000000001</v>
      </c>
      <c r="E61" s="55">
        <v>285.64999999999998</v>
      </c>
      <c r="F61" s="55">
        <v>112.593</v>
      </c>
      <c r="G61" s="55">
        <v>238.16</v>
      </c>
      <c r="H61" s="55">
        <v>138.94300000000001</v>
      </c>
      <c r="I61" s="55">
        <v>75.438021000000006</v>
      </c>
      <c r="J61" s="55">
        <v>464.26087207</v>
      </c>
      <c r="K61" s="57">
        <f>SUM(B61:J61)</f>
        <v>1780.5088930699999</v>
      </c>
    </row>
    <row r="62" spans="1:11" ht="12" customHeight="1" x14ac:dyDescent="0.2">
      <c r="A62" s="1" t="s">
        <v>81</v>
      </c>
      <c r="B62" s="86">
        <v>0.18748302999999999</v>
      </c>
      <c r="C62" s="55">
        <f>0.97+0.42</f>
        <v>1.39</v>
      </c>
      <c r="D62" s="55">
        <v>164.70428731999999</v>
      </c>
      <c r="E62" s="55">
        <v>12.83</v>
      </c>
      <c r="F62" s="64">
        <f>0.411421</f>
        <v>0.41142099999999998</v>
      </c>
      <c r="G62" s="55">
        <v>0.87</v>
      </c>
      <c r="H62" s="55">
        <v>0.50800000000000001</v>
      </c>
      <c r="I62" s="64">
        <v>4.7760166799999997</v>
      </c>
      <c r="J62" s="55">
        <v>1.6971120200000001</v>
      </c>
      <c r="K62" s="41">
        <f>SUM(B62:J62)</f>
        <v>187.37432004999999</v>
      </c>
    </row>
    <row r="63" spans="1:11" ht="12" customHeight="1" x14ac:dyDescent="0.2">
      <c r="A63" s="1" t="s">
        <v>110</v>
      </c>
      <c r="B63" s="55"/>
      <c r="C63" s="55"/>
      <c r="D63" s="55"/>
      <c r="E63" s="55"/>
      <c r="F63" s="64"/>
      <c r="G63" s="55"/>
      <c r="H63" s="55"/>
      <c r="I63" s="64"/>
      <c r="J63" s="55"/>
      <c r="K63" s="41"/>
    </row>
    <row r="64" spans="1:11" ht="12" customHeight="1" x14ac:dyDescent="0.2">
      <c r="A64" s="1" t="s">
        <v>111</v>
      </c>
      <c r="B64" s="55"/>
      <c r="C64" s="55">
        <v>-6.63</v>
      </c>
      <c r="D64" s="55"/>
      <c r="E64" s="55"/>
      <c r="F64" s="64"/>
      <c r="G64" s="55">
        <v>-29.58</v>
      </c>
      <c r="H64" s="55"/>
      <c r="I64" s="64"/>
      <c r="J64" s="55">
        <v>-29.285552769999999</v>
      </c>
      <c r="K64" s="41">
        <f t="shared" ref="K64:K73" si="8">SUM(B64:J64)</f>
        <v>-65.495552770000003</v>
      </c>
    </row>
    <row r="65" spans="1:11" ht="12" customHeight="1" x14ac:dyDescent="0.2">
      <c r="A65" s="1" t="s">
        <v>112</v>
      </c>
      <c r="B65" s="55"/>
      <c r="C65" s="55">
        <v>-0.19</v>
      </c>
      <c r="D65" s="55">
        <v>-2.98317956</v>
      </c>
      <c r="E65" s="55"/>
      <c r="F65" s="64">
        <v>-0.441637</v>
      </c>
      <c r="G65" s="55">
        <v>-0.51</v>
      </c>
      <c r="H65" s="55"/>
      <c r="I65" s="64"/>
      <c r="J65" s="55">
        <v>-1.1431494200000001</v>
      </c>
      <c r="K65" s="41">
        <f t="shared" si="8"/>
        <v>-5.2679659800000005</v>
      </c>
    </row>
    <row r="66" spans="1:11" ht="12" customHeight="1" x14ac:dyDescent="0.2">
      <c r="A66" s="1" t="s">
        <v>113</v>
      </c>
      <c r="B66" s="55"/>
      <c r="C66" s="55"/>
      <c r="D66" s="55">
        <v>-0.99</v>
      </c>
      <c r="E66" s="55">
        <v>-2.88</v>
      </c>
      <c r="F66" s="64"/>
      <c r="G66" s="55">
        <v>-9.65</v>
      </c>
      <c r="H66" s="55"/>
      <c r="J66" s="55"/>
      <c r="K66" s="41">
        <f t="shared" si="8"/>
        <v>-13.52</v>
      </c>
    </row>
    <row r="67" spans="1:11" ht="12" customHeight="1" x14ac:dyDescent="0.2">
      <c r="A67" s="1" t="s">
        <v>114</v>
      </c>
      <c r="B67" s="55"/>
      <c r="C67" s="55"/>
      <c r="D67" s="55"/>
      <c r="E67" s="55"/>
      <c r="F67" s="64"/>
      <c r="G67" s="55"/>
      <c r="H67" s="55"/>
      <c r="I67" s="64">
        <v>-17.932149859999999</v>
      </c>
      <c r="J67" s="55"/>
      <c r="K67" s="41">
        <f t="shared" si="8"/>
        <v>-17.932149859999999</v>
      </c>
    </row>
    <row r="68" spans="1:11" ht="12" customHeight="1" x14ac:dyDescent="0.2">
      <c r="A68" s="1" t="s">
        <v>115</v>
      </c>
      <c r="B68" s="55"/>
      <c r="C68" s="55">
        <f>-7.25-0.1</f>
        <v>-7.35</v>
      </c>
      <c r="D68" s="55">
        <v>-1013.3</v>
      </c>
      <c r="E68" s="55">
        <v>-527.51</v>
      </c>
      <c r="F68" s="64"/>
      <c r="G68" s="55">
        <v>-111.23</v>
      </c>
      <c r="H68" s="55">
        <v>-14</v>
      </c>
      <c r="I68" s="64">
        <v>-24.032018000000001</v>
      </c>
      <c r="J68" s="55"/>
      <c r="K68" s="41">
        <f t="shared" si="8"/>
        <v>-1697.422018</v>
      </c>
    </row>
    <row r="69" spans="1:11" ht="12" customHeight="1" x14ac:dyDescent="0.2">
      <c r="A69" s="1" t="s">
        <v>116</v>
      </c>
      <c r="B69" s="55"/>
      <c r="C69" s="55"/>
      <c r="D69" s="55">
        <v>-1.8244834000000001</v>
      </c>
      <c r="E69" s="55">
        <v>-0.47</v>
      </c>
      <c r="F69" s="64">
        <v>-0.43361100000000002</v>
      </c>
      <c r="G69" s="55"/>
      <c r="H69" s="55"/>
      <c r="I69" s="64"/>
      <c r="J69" s="55">
        <v>-12.62192391</v>
      </c>
      <c r="K69" s="41">
        <f t="shared" si="8"/>
        <v>-15.350018309999999</v>
      </c>
    </row>
    <row r="70" spans="1:11" ht="12" customHeight="1" x14ac:dyDescent="0.2">
      <c r="A70" s="1" t="s">
        <v>52</v>
      </c>
      <c r="B70" s="55"/>
      <c r="C70" s="55">
        <f>1.65-0.41</f>
        <v>1.24</v>
      </c>
      <c r="D70" s="55"/>
      <c r="E70" s="55"/>
      <c r="F70" s="64">
        <f>9.288906-3.056399</f>
        <v>6.2325070000000009</v>
      </c>
      <c r="G70" s="55"/>
      <c r="H70" s="55">
        <v>0.32600000000000001</v>
      </c>
      <c r="I70" s="64"/>
      <c r="J70" s="55"/>
      <c r="K70" s="41">
        <f t="shared" si="8"/>
        <v>7.7985070000000007</v>
      </c>
    </row>
    <row r="71" spans="1:11" ht="12" customHeight="1" x14ac:dyDescent="0.2">
      <c r="A71" s="1" t="s">
        <v>53</v>
      </c>
      <c r="B71" s="55">
        <f>32.03622499+13.12089431</f>
        <v>45.157119300000005</v>
      </c>
      <c r="C71" s="55">
        <v>23.39</v>
      </c>
      <c r="D71" s="55">
        <f>18.39256792+1013.3</f>
        <v>1031.6925679199999</v>
      </c>
      <c r="E71" s="55">
        <f>517.58+9.93</f>
        <v>527.51</v>
      </c>
      <c r="F71" s="64">
        <f>0.515975+56.496287-0.743553</f>
        <v>56.268709000000001</v>
      </c>
      <c r="G71" s="55">
        <v>200.68</v>
      </c>
      <c r="H71" s="55">
        <f>98.758+11.471</f>
        <v>110.229</v>
      </c>
      <c r="I71" s="64">
        <v>90.350513419999999</v>
      </c>
      <c r="J71" s="55">
        <v>226.79532535999999</v>
      </c>
      <c r="K71" s="41">
        <f t="shared" si="8"/>
        <v>2312.0732349999998</v>
      </c>
    </row>
    <row r="72" spans="1:11" ht="12" customHeight="1" x14ac:dyDescent="0.2">
      <c r="A72" s="1" t="s">
        <v>60</v>
      </c>
      <c r="B72" s="55"/>
      <c r="C72" s="55"/>
      <c r="D72" s="55"/>
      <c r="E72" s="55">
        <v>0.28000000000000003</v>
      </c>
      <c r="F72" s="100"/>
      <c r="G72" s="55"/>
      <c r="H72" s="55"/>
      <c r="I72" s="64"/>
      <c r="J72" s="55"/>
      <c r="K72" s="41">
        <f t="shared" si="8"/>
        <v>0.28000000000000003</v>
      </c>
    </row>
    <row r="73" spans="1:11" s="34" customFormat="1" ht="12" customHeight="1" x14ac:dyDescent="0.2">
      <c r="A73" s="34" t="s">
        <v>12</v>
      </c>
      <c r="B73" s="57">
        <f t="shared" ref="B73:J73" si="9">SUM(B61:B72)</f>
        <v>96.550602330000004</v>
      </c>
      <c r="C73" s="57">
        <f t="shared" si="9"/>
        <v>126.32000000000001</v>
      </c>
      <c r="D73" s="57">
        <f t="shared" si="9"/>
        <v>477.08719227999995</v>
      </c>
      <c r="E73" s="57">
        <f t="shared" si="9"/>
        <v>295.40999999999997</v>
      </c>
      <c r="F73" s="77">
        <f t="shared" si="9"/>
        <v>174.63038900000001</v>
      </c>
      <c r="G73" s="57">
        <f t="shared" si="9"/>
        <v>288.74</v>
      </c>
      <c r="H73" s="57">
        <f t="shared" si="9"/>
        <v>236.00600000000003</v>
      </c>
      <c r="I73" s="77">
        <f t="shared" si="9"/>
        <v>128.60038324000001</v>
      </c>
      <c r="J73" s="57">
        <f t="shared" si="9"/>
        <v>649.70268335000003</v>
      </c>
      <c r="K73" s="41">
        <f t="shared" si="8"/>
        <v>2473.0472501999998</v>
      </c>
    </row>
    <row r="74" spans="1:11" ht="12" customHeight="1" x14ac:dyDescent="0.2">
      <c r="B74" s="55"/>
      <c r="C74" s="55"/>
      <c r="D74" s="55"/>
      <c r="E74" s="55"/>
      <c r="F74" s="64"/>
      <c r="G74" s="55"/>
      <c r="H74" s="55"/>
      <c r="I74" s="64"/>
      <c r="J74" s="55"/>
      <c r="K74" s="41"/>
    </row>
    <row r="75" spans="1:11" ht="12" customHeight="1" x14ac:dyDescent="0.2">
      <c r="A75" s="34" t="s">
        <v>42</v>
      </c>
      <c r="B75" s="55"/>
      <c r="C75" s="55"/>
      <c r="D75" s="55"/>
      <c r="E75" s="55"/>
      <c r="F75" s="64"/>
      <c r="G75" s="55"/>
      <c r="H75" s="55"/>
      <c r="I75" s="64"/>
      <c r="J75" s="55"/>
      <c r="K75" s="41"/>
    </row>
    <row r="76" spans="1:11" ht="12" customHeight="1" x14ac:dyDescent="0.2">
      <c r="A76" s="1" t="s">
        <v>118</v>
      </c>
      <c r="B76" s="55">
        <f t="shared" ref="B76:J76" si="10">B17</f>
        <v>94.672294570000005</v>
      </c>
      <c r="C76" s="55">
        <f t="shared" si="10"/>
        <v>101.99</v>
      </c>
      <c r="D76" s="55">
        <f t="shared" si="10"/>
        <v>317.47177281</v>
      </c>
      <c r="E76" s="55">
        <f t="shared" si="10"/>
        <v>244.56</v>
      </c>
      <c r="F76" s="64">
        <f t="shared" si="10"/>
        <v>271.77710200000001</v>
      </c>
      <c r="G76" s="55">
        <f t="shared" si="10"/>
        <v>268.40999999999997</v>
      </c>
      <c r="H76" s="55">
        <f t="shared" si="10"/>
        <v>191.72299999999998</v>
      </c>
      <c r="I76" s="64">
        <f t="shared" si="10"/>
        <v>110.89878754</v>
      </c>
      <c r="J76" s="55">
        <f t="shared" si="10"/>
        <v>341.6</v>
      </c>
      <c r="K76" s="41">
        <f t="shared" ref="K76:K81" si="11">SUM(B76:J76)</f>
        <v>1943.10295692</v>
      </c>
    </row>
    <row r="77" spans="1:11" ht="12" customHeight="1" x14ac:dyDescent="0.2">
      <c r="A77" s="1" t="s">
        <v>47</v>
      </c>
      <c r="B77" s="55">
        <f t="shared" ref="B77:J77" si="12">B29</f>
        <v>13.933977110000001</v>
      </c>
      <c r="C77" s="55">
        <f t="shared" si="12"/>
        <v>21.59</v>
      </c>
      <c r="D77" s="58">
        <f t="shared" si="12"/>
        <v>97.823989600000004</v>
      </c>
      <c r="E77" s="55">
        <f t="shared" si="12"/>
        <v>42</v>
      </c>
      <c r="F77" s="64">
        <f t="shared" si="12"/>
        <v>16.829403000000003</v>
      </c>
      <c r="G77" s="55">
        <f t="shared" si="12"/>
        <v>117.25</v>
      </c>
      <c r="H77" s="55">
        <f t="shared" si="12"/>
        <v>39.869</v>
      </c>
      <c r="I77" s="64">
        <f t="shared" si="12"/>
        <v>20.169494030000003</v>
      </c>
      <c r="J77" s="55">
        <f t="shared" si="12"/>
        <v>179.88299999999998</v>
      </c>
      <c r="K77" s="41">
        <f t="shared" si="11"/>
        <v>549.34886374000007</v>
      </c>
    </row>
    <row r="78" spans="1:11" ht="12" customHeight="1" x14ac:dyDescent="0.2">
      <c r="A78" s="1" t="s">
        <v>119</v>
      </c>
      <c r="B78" s="55"/>
      <c r="C78" s="55"/>
      <c r="D78" s="55"/>
      <c r="E78" s="55">
        <v>8.85</v>
      </c>
      <c r="F78" s="64"/>
      <c r="G78" s="55"/>
      <c r="H78" s="55"/>
      <c r="I78" s="64">
        <v>0.95082460000000002</v>
      </c>
      <c r="J78" s="55">
        <v>6.5251242600000001</v>
      </c>
      <c r="K78" s="41">
        <f t="shared" si="11"/>
        <v>16.32594886</v>
      </c>
    </row>
    <row r="79" spans="1:11" ht="12" customHeight="1" x14ac:dyDescent="0.2">
      <c r="A79" s="1" t="s">
        <v>120</v>
      </c>
      <c r="B79" s="55">
        <v>0.61346906000000001</v>
      </c>
      <c r="C79" s="55">
        <v>6.91</v>
      </c>
      <c r="D79" s="55"/>
      <c r="E79" s="55"/>
      <c r="F79" s="64"/>
      <c r="G79" s="55">
        <v>59.54</v>
      </c>
      <c r="H79" s="55"/>
      <c r="I79" s="64"/>
      <c r="J79" s="55">
        <v>159.18333125999999</v>
      </c>
      <c r="K79" s="41">
        <f t="shared" si="11"/>
        <v>226.24680031999998</v>
      </c>
    </row>
    <row r="80" spans="1:11" ht="12" customHeight="1" x14ac:dyDescent="0.2">
      <c r="A80" s="1" t="s">
        <v>121</v>
      </c>
      <c r="B80" s="55"/>
      <c r="C80" s="55">
        <f>0.36+1</f>
        <v>1.3599999999999999</v>
      </c>
      <c r="D80" s="55"/>
      <c r="E80" s="55"/>
      <c r="F80" s="64"/>
      <c r="G80" s="55">
        <v>4.0999999999999996</v>
      </c>
      <c r="H80" s="55"/>
      <c r="I80" s="64"/>
      <c r="J80" s="55">
        <v>32.514652040000001</v>
      </c>
      <c r="K80" s="41">
        <f t="shared" si="11"/>
        <v>37.974652040000002</v>
      </c>
    </row>
    <row r="81" spans="1:11" ht="12" customHeight="1" x14ac:dyDescent="0.2">
      <c r="A81" s="34" t="s">
        <v>12</v>
      </c>
      <c r="B81" s="57">
        <f t="shared" ref="B81:J81" si="13">SUM(B76:B80)</f>
        <v>109.21974074000001</v>
      </c>
      <c r="C81" s="57">
        <f t="shared" si="13"/>
        <v>131.85000000000002</v>
      </c>
      <c r="D81" s="57">
        <f t="shared" si="13"/>
        <v>415.29576241000001</v>
      </c>
      <c r="E81" s="57">
        <f t="shared" si="13"/>
        <v>295.41000000000003</v>
      </c>
      <c r="F81" s="77">
        <f t="shared" si="13"/>
        <v>288.60650500000003</v>
      </c>
      <c r="G81" s="57">
        <f t="shared" si="13"/>
        <v>449.3</v>
      </c>
      <c r="H81" s="57">
        <f t="shared" si="13"/>
        <v>231.59199999999998</v>
      </c>
      <c r="I81" s="77">
        <f t="shared" si="13"/>
        <v>132.01910617000001</v>
      </c>
      <c r="J81" s="57">
        <f t="shared" si="13"/>
        <v>719.70610755999985</v>
      </c>
      <c r="K81" s="41">
        <f t="shared" si="11"/>
        <v>2772.9992218800003</v>
      </c>
    </row>
    <row r="82" spans="1:11" ht="12" customHeight="1" x14ac:dyDescent="0.2">
      <c r="B82" s="55"/>
      <c r="C82" s="55"/>
      <c r="D82" s="55"/>
      <c r="E82" s="55"/>
      <c r="F82" s="64"/>
      <c r="G82" s="55"/>
      <c r="H82" s="55"/>
      <c r="I82" s="64"/>
      <c r="J82" s="55"/>
      <c r="K82" s="41"/>
    </row>
    <row r="83" spans="1:11" s="2" customFormat="1" ht="12" customHeight="1" x14ac:dyDescent="0.2">
      <c r="A83" s="7" t="s">
        <v>122</v>
      </c>
      <c r="B83" s="55">
        <f t="shared" ref="B83:J83" si="14">B73-B81</f>
        <v>-12.669138410000002</v>
      </c>
      <c r="C83" s="55">
        <f t="shared" si="14"/>
        <v>-5.5300000000000153</v>
      </c>
      <c r="D83" s="55">
        <f t="shared" si="14"/>
        <v>61.791429869999945</v>
      </c>
      <c r="E83" s="55">
        <f t="shared" si="14"/>
        <v>0</v>
      </c>
      <c r="F83" s="64">
        <f t="shared" si="14"/>
        <v>-113.97611600000002</v>
      </c>
      <c r="G83" s="55">
        <f t="shared" si="14"/>
        <v>-160.56</v>
      </c>
      <c r="H83" s="55">
        <f t="shared" si="14"/>
        <v>4.4140000000000441</v>
      </c>
      <c r="I83" s="64">
        <f t="shared" si="14"/>
        <v>-3.4187229300000013</v>
      </c>
      <c r="J83" s="55">
        <f t="shared" si="14"/>
        <v>-70.003424209999821</v>
      </c>
      <c r="K83" s="41">
        <f>SUM(B83:J83)</f>
        <v>-299.95197167999987</v>
      </c>
    </row>
    <row r="84" spans="1:11" s="2" customFormat="1" ht="12" customHeight="1" x14ac:dyDescent="0.2">
      <c r="A84" s="7"/>
      <c r="B84" s="55"/>
      <c r="C84" s="55"/>
      <c r="D84" s="55"/>
      <c r="E84" s="55"/>
      <c r="F84" s="64"/>
      <c r="G84" s="55"/>
      <c r="H84" s="55"/>
      <c r="I84" s="64"/>
      <c r="J84" s="55"/>
      <c r="K84" s="41"/>
    </row>
    <row r="85" spans="1:11" s="2" customFormat="1" ht="12" customHeight="1" x14ac:dyDescent="0.2">
      <c r="A85" s="7" t="s">
        <v>123</v>
      </c>
      <c r="B85" s="55"/>
      <c r="C85" s="55"/>
      <c r="D85" s="55"/>
      <c r="F85" s="64"/>
      <c r="G85" s="55"/>
      <c r="H85" s="55"/>
      <c r="I85" s="64"/>
      <c r="J85" s="55"/>
      <c r="K85" s="41"/>
    </row>
    <row r="86" spans="1:11" s="2" customFormat="1" ht="12" customHeight="1" x14ac:dyDescent="0.2">
      <c r="A86" s="7" t="s">
        <v>124</v>
      </c>
      <c r="B86" s="55">
        <v>20.751528759999999</v>
      </c>
      <c r="C86" s="55">
        <v>0.72</v>
      </c>
      <c r="D86" s="55"/>
      <c r="E86" s="55"/>
      <c r="F86" s="64"/>
      <c r="G86" s="55">
        <v>8.6999999999999994E-3</v>
      </c>
      <c r="H86" s="55">
        <v>0</v>
      </c>
      <c r="I86" s="64"/>
      <c r="J86" s="55"/>
      <c r="K86" s="41">
        <f>SUM(B86:J86)</f>
        <v>21.480228759999999</v>
      </c>
    </row>
    <row r="87" spans="1:11" s="2" customFormat="1" ht="12" customHeight="1" x14ac:dyDescent="0.2">
      <c r="A87" s="7" t="s">
        <v>125</v>
      </c>
      <c r="B87" s="55"/>
      <c r="C87" s="55"/>
      <c r="D87" s="55">
        <v>1013.3</v>
      </c>
      <c r="E87" s="55">
        <v>510.44</v>
      </c>
      <c r="F87" s="64"/>
      <c r="G87" s="55">
        <v>84.71</v>
      </c>
      <c r="H87" s="55">
        <v>0</v>
      </c>
      <c r="I87" s="64"/>
      <c r="J87" s="55">
        <v>56.11027902</v>
      </c>
      <c r="K87" s="41">
        <f>SUM(B87:J87)</f>
        <v>1664.5602790200001</v>
      </c>
    </row>
    <row r="88" spans="1:11" ht="12" customHeight="1" x14ac:dyDescent="0.2">
      <c r="C88" s="88"/>
    </row>
    <row r="89" spans="1:11" ht="12" customHeight="1" x14ac:dyDescent="0.2">
      <c r="A89" s="52"/>
      <c r="C89"/>
    </row>
    <row r="90" spans="1:11" ht="12" customHeight="1" x14ac:dyDescent="0.2">
      <c r="A90" s="67" t="s">
        <v>180</v>
      </c>
      <c r="C90"/>
    </row>
    <row r="91" spans="1:11" ht="12" customHeight="1" x14ac:dyDescent="0.2">
      <c r="A91" s="67"/>
      <c r="C91"/>
      <c r="J91" s="79"/>
    </row>
    <row r="92" spans="1:11" ht="12" customHeight="1" x14ac:dyDescent="0.2">
      <c r="J92" s="55"/>
    </row>
    <row r="93" spans="1:11" ht="12" customHeight="1" x14ac:dyDescent="0.2">
      <c r="A93" s="67"/>
      <c r="J93" s="55"/>
    </row>
    <row r="94" spans="1:11" ht="12" customHeight="1" x14ac:dyDescent="0.2">
      <c r="J94" s="79"/>
    </row>
    <row r="95" spans="1:11" ht="12" customHeight="1" x14ac:dyDescent="0.2">
      <c r="A95" s="67"/>
      <c r="B95" s="55"/>
      <c r="J95" s="55"/>
    </row>
    <row r="96" spans="1:11" s="69" customFormat="1" ht="12" customHeight="1" x14ac:dyDescent="0.2">
      <c r="A96" s="80"/>
      <c r="B96" s="54"/>
      <c r="C96" s="54"/>
      <c r="D96" s="54"/>
      <c r="E96" s="54"/>
      <c r="F96" s="74"/>
      <c r="G96" s="54"/>
      <c r="H96" s="54"/>
      <c r="I96" s="74"/>
      <c r="J96" s="54"/>
      <c r="K96" s="68"/>
    </row>
    <row r="97" spans="1:11" s="69" customFormat="1" ht="12" customHeight="1" x14ac:dyDescent="0.2">
      <c r="B97" s="54"/>
      <c r="C97" s="54"/>
      <c r="D97" s="54"/>
      <c r="E97" s="54"/>
      <c r="F97" s="74"/>
      <c r="G97" s="54"/>
      <c r="H97" s="54"/>
      <c r="I97" s="74"/>
      <c r="J97" s="54"/>
      <c r="K97" s="68"/>
    </row>
    <row r="98" spans="1:11" ht="12" customHeight="1" x14ac:dyDescent="0.2">
      <c r="A98" s="101"/>
    </row>
    <row r="99" spans="1:11" ht="12" customHeight="1" x14ac:dyDescent="0.2">
      <c r="A99" s="102"/>
    </row>
    <row r="100" spans="1:11" s="69" customFormat="1" ht="12" customHeight="1" x14ac:dyDescent="0.2">
      <c r="A100" s="67"/>
      <c r="B100" s="54"/>
      <c r="C100" s="54"/>
      <c r="D100" s="54"/>
      <c r="E100" s="54"/>
      <c r="F100" s="74"/>
      <c r="G100" s="54"/>
      <c r="H100" s="54"/>
      <c r="I100" s="74"/>
      <c r="J100" s="54"/>
      <c r="K100" s="68"/>
    </row>
    <row r="101" spans="1:11" ht="12" customHeight="1" x14ac:dyDescent="0.2">
      <c r="B101" s="55"/>
    </row>
    <row r="102" spans="1:11" s="89" customFormat="1" ht="12.75" customHeight="1" x14ac:dyDescent="0.2">
      <c r="B102" s="54"/>
      <c r="C102" s="54"/>
      <c r="D102" s="54"/>
      <c r="E102" s="54"/>
      <c r="F102" s="74"/>
      <c r="G102" s="54"/>
      <c r="H102" s="54"/>
      <c r="I102" s="74"/>
      <c r="J102" s="54"/>
      <c r="K102" s="33"/>
    </row>
    <row r="103" spans="1:11" s="89" customFormat="1" ht="12.75" customHeight="1" x14ac:dyDescent="0.2">
      <c r="B103" s="55"/>
      <c r="C103" s="55"/>
      <c r="D103" s="55"/>
      <c r="E103" s="55"/>
      <c r="F103" s="64"/>
      <c r="G103" s="55"/>
      <c r="H103" s="55"/>
      <c r="I103" s="55"/>
      <c r="J103" s="55"/>
      <c r="K103" s="41"/>
    </row>
    <row r="104" spans="1:11" s="89" customFormat="1" ht="12.75" customHeight="1" x14ac:dyDescent="0.2">
      <c r="B104" s="55"/>
      <c r="C104" s="55"/>
      <c r="D104" s="55"/>
      <c r="E104" s="55"/>
      <c r="F104" s="64"/>
      <c r="G104" s="55"/>
      <c r="H104" s="55"/>
      <c r="I104" s="64"/>
      <c r="J104" s="55"/>
      <c r="K104" s="41"/>
    </row>
    <row r="105" spans="1:11" s="89" customFormat="1" ht="12.75" customHeight="1" x14ac:dyDescent="0.2">
      <c r="A105" s="90"/>
      <c r="B105" s="55"/>
      <c r="C105" s="55"/>
      <c r="D105" s="55"/>
      <c r="E105" s="55"/>
      <c r="F105" s="64"/>
      <c r="G105" s="55"/>
      <c r="H105" s="55"/>
      <c r="I105" s="64"/>
      <c r="J105" s="55"/>
      <c r="K105" s="41"/>
    </row>
    <row r="106" spans="1:11" s="89" customFormat="1" ht="12.75" customHeight="1" x14ac:dyDescent="0.2">
      <c r="B106" s="55"/>
      <c r="C106" s="55"/>
      <c r="D106" s="55"/>
      <c r="E106" s="55"/>
      <c r="F106" s="64"/>
      <c r="G106" s="55"/>
      <c r="H106" s="55"/>
      <c r="I106" s="64"/>
      <c r="J106" s="55"/>
      <c r="K106" s="41"/>
    </row>
    <row r="107" spans="1:11" s="89" customFormat="1" ht="12.75" customHeight="1" x14ac:dyDescent="0.2">
      <c r="B107" s="55"/>
      <c r="C107" s="55"/>
      <c r="D107" s="55"/>
      <c r="E107" s="55"/>
      <c r="F107" s="64"/>
      <c r="G107" s="55"/>
      <c r="H107" s="55"/>
      <c r="I107" s="64"/>
      <c r="J107" s="55"/>
      <c r="K107" s="41"/>
    </row>
    <row r="108" spans="1:11" s="89" customFormat="1" ht="12.75" customHeight="1" x14ac:dyDescent="0.2">
      <c r="B108" s="55"/>
      <c r="C108" s="55"/>
      <c r="D108" s="55"/>
      <c r="E108" s="55"/>
      <c r="F108" s="64"/>
      <c r="G108" s="55"/>
      <c r="H108" s="55"/>
      <c r="I108" s="91"/>
      <c r="J108" s="55"/>
      <c r="K108" s="41"/>
    </row>
    <row r="109" spans="1:11" s="89" customFormat="1" ht="12.75" customHeight="1" x14ac:dyDescent="0.2">
      <c r="B109" s="55"/>
      <c r="C109" s="55"/>
      <c r="D109" s="55"/>
      <c r="E109" s="55"/>
      <c r="F109" s="64"/>
      <c r="G109" s="55"/>
      <c r="H109" s="55"/>
      <c r="I109" s="64"/>
      <c r="J109" s="55"/>
      <c r="K109" s="41"/>
    </row>
    <row r="110" spans="1:11" s="92" customFormat="1" ht="12.75" customHeight="1" x14ac:dyDescent="0.2">
      <c r="A110" s="89"/>
      <c r="B110" s="55"/>
      <c r="C110" s="55"/>
      <c r="D110" s="55"/>
      <c r="E110" s="55"/>
      <c r="F110" s="64"/>
      <c r="G110" s="55"/>
      <c r="H110" s="55"/>
      <c r="I110" s="64"/>
      <c r="J110" s="55"/>
      <c r="K110" s="41"/>
    </row>
    <row r="112" spans="1:11" s="93" customFormat="1" x14ac:dyDescent="0.2">
      <c r="B112" s="94"/>
      <c r="C112" s="95"/>
      <c r="D112" s="95"/>
      <c r="E112" s="95"/>
      <c r="F112" s="97"/>
      <c r="G112" s="95"/>
      <c r="H112" s="95"/>
      <c r="I112" s="95"/>
      <c r="J112" s="95"/>
      <c r="K112" s="96"/>
    </row>
  </sheetData>
  <phoneticPr fontId="0" type="noConversion"/>
  <printOptions horizontalCentered="1"/>
  <pageMargins left="0.28999999999999998" right="0.34" top="0.9" bottom="0.19685039370078741" header="0.45" footer="0.19"/>
  <pageSetup paperSize="9" scale="90" orientation="landscape" horizontalDpi="4294967292" verticalDpi="300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116"/>
  <sheetViews>
    <sheetView zoomScaleNormal="100" workbookViewId="0">
      <pane xSplit="1" ySplit="4" topLeftCell="B5" activePane="bottomRight" state="frozenSplit"/>
      <selection activeCell="F20" sqref="F20"/>
      <selection pane="topRight" activeCell="F20" sqref="F20"/>
      <selection pane="bottomLeft" activeCell="F20" sqref="F20"/>
      <selection pane="bottomRight" activeCell="B5" sqref="B5"/>
    </sheetView>
  </sheetViews>
  <sheetFormatPr baseColWidth="10" defaultRowHeight="12.75" x14ac:dyDescent="0.2"/>
  <cols>
    <col min="1" max="1" width="41.28515625" style="1" customWidth="1"/>
    <col min="2" max="5" width="11.5703125" style="54" customWidth="1"/>
    <col min="6" max="6" width="11.5703125" style="74" customWidth="1"/>
    <col min="7" max="8" width="11.5703125" style="54" customWidth="1"/>
    <col min="9" max="9" width="11.5703125" style="74" customWidth="1"/>
    <col min="10" max="10" width="11.5703125" style="54" customWidth="1"/>
    <col min="11" max="11" width="11.5703125" style="33" customWidth="1"/>
    <col min="12" max="16384" width="11.42578125" style="1"/>
  </cols>
  <sheetData>
    <row r="1" spans="1:11" x14ac:dyDescent="0.2">
      <c r="A1" s="2" t="s">
        <v>183</v>
      </c>
    </row>
    <row r="2" spans="1:11" x14ac:dyDescent="0.2">
      <c r="A2" s="1" t="s">
        <v>184</v>
      </c>
    </row>
    <row r="3" spans="1:11" x14ac:dyDescent="0.2">
      <c r="A3" s="69"/>
    </row>
    <row r="4" spans="1:11" s="3" customFormat="1" x14ac:dyDescent="0.2">
      <c r="A4" s="5"/>
      <c r="B4" s="54" t="s">
        <v>3</v>
      </c>
      <c r="C4" s="54" t="s">
        <v>4</v>
      </c>
      <c r="D4" s="54" t="s">
        <v>5</v>
      </c>
      <c r="E4" s="54" t="s">
        <v>6</v>
      </c>
      <c r="F4" s="74" t="s">
        <v>185</v>
      </c>
      <c r="G4" s="54" t="s">
        <v>8</v>
      </c>
      <c r="H4" s="54" t="s">
        <v>9</v>
      </c>
      <c r="I4" s="74" t="s">
        <v>10</v>
      </c>
      <c r="J4" s="54" t="s">
        <v>11</v>
      </c>
      <c r="K4" s="33" t="s">
        <v>12</v>
      </c>
    </row>
    <row r="5" spans="1:11" x14ac:dyDescent="0.2">
      <c r="C5" s="83"/>
      <c r="D5" s="55"/>
      <c r="E5" s="83"/>
      <c r="F5" s="98"/>
      <c r="G5" s="83"/>
      <c r="H5" s="83"/>
      <c r="I5" s="83"/>
      <c r="J5" s="83"/>
    </row>
    <row r="6" spans="1:11" ht="15.75" x14ac:dyDescent="0.25">
      <c r="A6" s="6" t="s">
        <v>42</v>
      </c>
      <c r="D6" s="55"/>
    </row>
    <row r="7" spans="1:11" x14ac:dyDescent="0.2">
      <c r="D7" s="55"/>
    </row>
    <row r="8" spans="1:11" x14ac:dyDescent="0.2">
      <c r="A8" s="2" t="s">
        <v>13</v>
      </c>
    </row>
    <row r="9" spans="1:11" x14ac:dyDescent="0.2">
      <c r="D9" s="55"/>
    </row>
    <row r="10" spans="1:11" x14ac:dyDescent="0.2">
      <c r="A10" s="1" t="s">
        <v>72</v>
      </c>
      <c r="B10" s="55">
        <v>78.76293579</v>
      </c>
      <c r="C10" s="55">
        <v>86.03</v>
      </c>
      <c r="D10" s="55">
        <v>207.76847315000001</v>
      </c>
      <c r="E10" s="55">
        <v>106.76</v>
      </c>
      <c r="F10" s="64">
        <v>221.39342099999999</v>
      </c>
      <c r="G10" s="55">
        <v>15.22</v>
      </c>
      <c r="H10" s="55">
        <v>177.46899999999999</v>
      </c>
      <c r="I10" s="64">
        <v>82.964189439999998</v>
      </c>
      <c r="J10" s="55">
        <v>262.32400000000001</v>
      </c>
      <c r="K10" s="41">
        <f t="shared" ref="K10:K15" si="0">SUM(B10:J10)</f>
        <v>1238.6920193799999</v>
      </c>
    </row>
    <row r="11" spans="1:11" x14ac:dyDescent="0.2">
      <c r="A11" s="1" t="s">
        <v>104</v>
      </c>
      <c r="B11" s="55"/>
      <c r="C11" s="55">
        <v>5.69</v>
      </c>
      <c r="D11" s="55">
        <v>13.885159720000001</v>
      </c>
      <c r="E11" s="55">
        <v>4.53</v>
      </c>
      <c r="F11" s="64">
        <v>69.073464000000001</v>
      </c>
      <c r="G11" s="55">
        <v>237.92</v>
      </c>
      <c r="H11" s="55"/>
      <c r="I11" s="64">
        <v>4.0705897599999998</v>
      </c>
      <c r="J11" s="55"/>
      <c r="K11" s="41">
        <f t="shared" si="0"/>
        <v>335.16921348</v>
      </c>
    </row>
    <row r="12" spans="1:11" x14ac:dyDescent="0.2">
      <c r="A12" s="1" t="s">
        <v>109</v>
      </c>
      <c r="B12" s="55">
        <v>18.208340960000001</v>
      </c>
      <c r="C12" s="55">
        <v>9.98</v>
      </c>
      <c r="D12" s="55">
        <v>103.98808692999999</v>
      </c>
      <c r="E12" s="55">
        <v>50.3</v>
      </c>
      <c r="F12" s="64">
        <v>0.18305299999999999</v>
      </c>
      <c r="G12" s="55">
        <v>3.6</v>
      </c>
      <c r="H12" s="55">
        <v>19.369</v>
      </c>
      <c r="I12" s="64"/>
      <c r="J12" s="55">
        <v>12.225</v>
      </c>
      <c r="K12" s="41">
        <f t="shared" si="0"/>
        <v>217.85348088999996</v>
      </c>
    </row>
    <row r="13" spans="1:11" x14ac:dyDescent="0.2">
      <c r="A13" t="s">
        <v>69</v>
      </c>
      <c r="B13" s="55"/>
      <c r="C13" s="55"/>
      <c r="E13" s="55">
        <v>17</v>
      </c>
      <c r="F13" s="64"/>
      <c r="G13" s="55">
        <v>3.31</v>
      </c>
      <c r="H13" s="55">
        <v>11.802</v>
      </c>
      <c r="I13" s="64">
        <v>3.2431355000000002</v>
      </c>
      <c r="J13" s="55">
        <v>10.384</v>
      </c>
      <c r="K13" s="41">
        <f t="shared" si="0"/>
        <v>45.739135499999996</v>
      </c>
    </row>
    <row r="14" spans="1:11" x14ac:dyDescent="0.2">
      <c r="A14" s="1" t="s">
        <v>70</v>
      </c>
      <c r="B14" s="55"/>
      <c r="C14" s="55"/>
      <c r="D14" s="55"/>
      <c r="E14" s="55"/>
      <c r="F14" s="64"/>
      <c r="G14" s="55"/>
      <c r="H14" s="55"/>
      <c r="I14" s="64"/>
      <c r="J14" s="55"/>
      <c r="K14" s="41">
        <f t="shared" si="0"/>
        <v>0</v>
      </c>
    </row>
    <row r="15" spans="1:11" x14ac:dyDescent="0.2">
      <c r="A15" s="1" t="s">
        <v>71</v>
      </c>
      <c r="B15" s="55">
        <v>0.83206268999999999</v>
      </c>
      <c r="C15" s="55">
        <v>10.78</v>
      </c>
      <c r="D15" s="55">
        <f>5.5075366+42.66712802</f>
        <v>48.174664620000001</v>
      </c>
      <c r="E15" s="55">
        <v>68.47</v>
      </c>
      <c r="F15" s="63">
        <v>8.8586589999999994</v>
      </c>
      <c r="G15" s="55">
        <v>14.46</v>
      </c>
      <c r="H15" s="55">
        <v>11.945</v>
      </c>
      <c r="I15" s="64">
        <f>0.65677191+17.97253271</f>
        <v>18.629304619999999</v>
      </c>
      <c r="J15" s="55">
        <v>52.341000000000001</v>
      </c>
      <c r="K15" s="41">
        <f t="shared" si="0"/>
        <v>234.49069093</v>
      </c>
    </row>
    <row r="16" spans="1:11" x14ac:dyDescent="0.2">
      <c r="B16" s="55"/>
      <c r="C16" s="55"/>
      <c r="D16" s="55"/>
      <c r="E16" s="55"/>
      <c r="F16" s="64"/>
      <c r="G16" s="55"/>
      <c r="H16" s="55"/>
      <c r="I16" s="64"/>
      <c r="J16" s="55"/>
      <c r="K16" s="41"/>
    </row>
    <row r="17" spans="1:256" s="28" customFormat="1" x14ac:dyDescent="0.2">
      <c r="A17" s="28" t="s">
        <v>12</v>
      </c>
      <c r="B17" s="56">
        <f t="shared" ref="B17:J17" si="1">SUM(B10:B15)</f>
        <v>97.803339440000002</v>
      </c>
      <c r="C17" s="56">
        <f t="shared" si="1"/>
        <v>112.48</v>
      </c>
      <c r="D17" s="56">
        <f t="shared" si="1"/>
        <v>373.81638441999996</v>
      </c>
      <c r="E17" s="56">
        <f t="shared" si="1"/>
        <v>247.06</v>
      </c>
      <c r="F17" s="75">
        <f t="shared" si="1"/>
        <v>299.50859699999995</v>
      </c>
      <c r="G17" s="56">
        <f t="shared" si="1"/>
        <v>274.51</v>
      </c>
      <c r="H17" s="56">
        <f t="shared" si="1"/>
        <v>220.58499999999998</v>
      </c>
      <c r="I17" s="75">
        <f t="shared" si="1"/>
        <v>108.90721932</v>
      </c>
      <c r="J17" s="56">
        <f t="shared" si="1"/>
        <v>337.27400000000006</v>
      </c>
      <c r="K17" s="42">
        <f>SUM(B17:J17)</f>
        <v>2071.9445401799999</v>
      </c>
    </row>
    <row r="18" spans="1:256" x14ac:dyDescent="0.2">
      <c r="B18" s="55"/>
      <c r="C18" s="55"/>
      <c r="D18" s="55"/>
      <c r="E18" s="55"/>
      <c r="F18" s="64"/>
      <c r="G18" s="55"/>
      <c r="H18" s="55"/>
      <c r="I18" s="64"/>
      <c r="J18" s="55"/>
      <c r="K18" s="41"/>
    </row>
    <row r="19" spans="1:256" x14ac:dyDescent="0.2">
      <c r="B19" s="55"/>
      <c r="C19" s="55"/>
      <c r="D19" s="55"/>
      <c r="E19" s="55"/>
      <c r="F19" s="64"/>
      <c r="G19" s="55"/>
      <c r="H19" s="55"/>
      <c r="I19" s="64"/>
      <c r="J19" s="55"/>
      <c r="K19" s="41"/>
    </row>
    <row r="20" spans="1:256" x14ac:dyDescent="0.2">
      <c r="A20" s="2" t="s">
        <v>14</v>
      </c>
      <c r="B20" s="55"/>
      <c r="C20" s="55"/>
      <c r="D20" s="55"/>
      <c r="E20" s="55"/>
      <c r="F20" s="64"/>
      <c r="G20" s="55"/>
      <c r="H20" s="55"/>
      <c r="I20" s="64"/>
      <c r="J20" s="55"/>
      <c r="K20" s="41"/>
    </row>
    <row r="21" spans="1:256" x14ac:dyDescent="0.2">
      <c r="B21" s="55"/>
      <c r="C21" s="55"/>
      <c r="D21" s="55"/>
      <c r="E21" s="55"/>
      <c r="F21" s="64"/>
      <c r="G21" s="55"/>
      <c r="H21" s="55"/>
      <c r="I21" s="64"/>
      <c r="J21" s="55"/>
      <c r="K21" s="41"/>
    </row>
    <row r="22" spans="1:256" x14ac:dyDescent="0.2">
      <c r="A22" s="1" t="s">
        <v>72</v>
      </c>
      <c r="B22" s="55">
        <v>10.340082450000001</v>
      </c>
      <c r="C22" s="55"/>
      <c r="D22" s="55">
        <v>9.28448545</v>
      </c>
      <c r="E22" s="55"/>
      <c r="F22" s="64">
        <v>32.686596000000002</v>
      </c>
      <c r="G22" s="55">
        <v>42.77</v>
      </c>
      <c r="H22" s="55"/>
      <c r="I22" s="64">
        <v>2.9931091000000003</v>
      </c>
      <c r="J22" s="55">
        <v>65.537000000000006</v>
      </c>
      <c r="K22" s="41">
        <f t="shared" ref="K22:K27" si="2">SUM(B22:J22)</f>
        <v>163.61127300000001</v>
      </c>
    </row>
    <row r="23" spans="1:256" x14ac:dyDescent="0.2">
      <c r="A23" s="1" t="s">
        <v>104</v>
      </c>
      <c r="B23" s="55"/>
      <c r="C23" s="55"/>
      <c r="D23" s="55">
        <v>0.46124380999999998</v>
      </c>
      <c r="E23" s="55"/>
      <c r="F23" s="64"/>
      <c r="G23" s="55">
        <v>9.7899999999999991</v>
      </c>
      <c r="H23" s="55"/>
      <c r="I23" s="64"/>
      <c r="J23" s="55"/>
      <c r="K23" s="41">
        <f t="shared" si="2"/>
        <v>10.251243809999998</v>
      </c>
    </row>
    <row r="24" spans="1:256" x14ac:dyDescent="0.2">
      <c r="A24" s="1" t="s">
        <v>109</v>
      </c>
      <c r="B24" s="55">
        <v>0.41279767000000001</v>
      </c>
      <c r="C24" s="55"/>
      <c r="D24" s="55">
        <v>94.737349390000006</v>
      </c>
      <c r="E24" s="55">
        <v>42.6</v>
      </c>
      <c r="F24" s="64">
        <v>2.7992620000000001</v>
      </c>
      <c r="G24" s="55">
        <v>60.77</v>
      </c>
      <c r="H24" s="55">
        <v>13.021000000000001</v>
      </c>
      <c r="I24" s="64">
        <v>15.658644779999999</v>
      </c>
      <c r="J24" s="55">
        <v>93.724000000000004</v>
      </c>
      <c r="K24" s="41">
        <f t="shared" si="2"/>
        <v>323.72305384000003</v>
      </c>
    </row>
    <row r="25" spans="1:256" x14ac:dyDescent="0.2">
      <c r="A25" t="s">
        <v>69</v>
      </c>
      <c r="B25" s="55"/>
      <c r="C25" s="55">
        <v>22.8</v>
      </c>
      <c r="D25" s="55"/>
      <c r="E25" s="55"/>
      <c r="F25" s="64"/>
      <c r="G25" s="55">
        <v>1.3</v>
      </c>
      <c r="H25" s="55">
        <v>14.167999999999999</v>
      </c>
      <c r="I25" s="64">
        <v>2.7031619999999998</v>
      </c>
      <c r="J25" s="55">
        <v>44.143999999999998</v>
      </c>
      <c r="K25" s="41">
        <f t="shared" si="2"/>
        <v>85.115161999999998</v>
      </c>
    </row>
    <row r="26" spans="1:256" x14ac:dyDescent="0.2">
      <c r="A26" s="1" t="s">
        <v>70</v>
      </c>
      <c r="B26" s="55"/>
      <c r="C26" s="55"/>
      <c r="D26" s="55"/>
      <c r="E26" s="55"/>
      <c r="F26" s="64"/>
      <c r="G26" s="55"/>
      <c r="H26" s="55"/>
      <c r="I26" s="64"/>
      <c r="J26" s="55"/>
      <c r="K26" s="41">
        <f t="shared" si="2"/>
        <v>0</v>
      </c>
    </row>
    <row r="27" spans="1:256" x14ac:dyDescent="0.2">
      <c r="A27" s="1" t="s">
        <v>71</v>
      </c>
      <c r="B27" s="55"/>
      <c r="C27" s="55"/>
      <c r="D27" s="55">
        <f>2.37807392+2.96057053</f>
        <v>5.3386444500000003</v>
      </c>
      <c r="E27" s="55"/>
      <c r="F27" s="64"/>
      <c r="G27" s="55">
        <v>16.239999999999998</v>
      </c>
      <c r="H27" s="55"/>
      <c r="I27" s="64"/>
      <c r="J27" s="55">
        <v>7.7850000000000001</v>
      </c>
      <c r="K27" s="41">
        <f t="shared" si="2"/>
        <v>29.363644449999999</v>
      </c>
    </row>
    <row r="28" spans="1:256" x14ac:dyDescent="0.2">
      <c r="B28" s="55"/>
      <c r="C28" s="55"/>
      <c r="D28" s="55"/>
      <c r="E28" s="55"/>
      <c r="F28" s="64"/>
      <c r="G28" s="55"/>
      <c r="H28" s="55"/>
      <c r="I28" s="64"/>
      <c r="J28" s="55"/>
      <c r="K28" s="41"/>
    </row>
    <row r="29" spans="1:256" s="28" customFormat="1" x14ac:dyDescent="0.2">
      <c r="A29" s="28" t="s">
        <v>12</v>
      </c>
      <c r="B29" s="55">
        <f t="shared" ref="B29:J29" si="3">SUM(B22:B27)</f>
        <v>10.75288012</v>
      </c>
      <c r="C29" s="56">
        <f t="shared" si="3"/>
        <v>22.8</v>
      </c>
      <c r="D29" s="56">
        <f t="shared" si="3"/>
        <v>109.82172310000001</v>
      </c>
      <c r="E29" s="56">
        <f t="shared" si="3"/>
        <v>42.6</v>
      </c>
      <c r="F29" s="75">
        <f t="shared" si="3"/>
        <v>35.485858</v>
      </c>
      <c r="G29" s="56">
        <f t="shared" si="3"/>
        <v>130.87</v>
      </c>
      <c r="H29" s="56">
        <f t="shared" si="3"/>
        <v>27.189</v>
      </c>
      <c r="I29" s="75">
        <f t="shared" si="3"/>
        <v>21.35491588</v>
      </c>
      <c r="J29" s="56">
        <f t="shared" si="3"/>
        <v>211.19000000000003</v>
      </c>
      <c r="K29" s="42">
        <f>SUM(B29:J29)</f>
        <v>612.06437710000012</v>
      </c>
    </row>
    <row r="30" spans="1:256" x14ac:dyDescent="0.2">
      <c r="B30" s="55"/>
      <c r="C30" s="55"/>
      <c r="D30" s="55"/>
      <c r="E30" s="55"/>
      <c r="F30" s="64"/>
      <c r="G30" s="55"/>
      <c r="H30" s="55"/>
      <c r="I30" s="64"/>
      <c r="J30" s="55"/>
      <c r="K30" s="41"/>
    </row>
    <row r="31" spans="1:256" s="34" customFormat="1" x14ac:dyDescent="0.2">
      <c r="A31" s="34" t="s">
        <v>43</v>
      </c>
      <c r="B31" s="57">
        <f t="shared" ref="B31:J31" si="4">B17+B29</f>
        <v>108.55621956</v>
      </c>
      <c r="C31" s="57">
        <f t="shared" si="4"/>
        <v>135.28</v>
      </c>
      <c r="D31" s="57">
        <f t="shared" si="4"/>
        <v>483.63810751999995</v>
      </c>
      <c r="E31" s="57">
        <f t="shared" si="4"/>
        <v>289.66000000000003</v>
      </c>
      <c r="F31" s="77">
        <f t="shared" si="4"/>
        <v>334.99445499999996</v>
      </c>
      <c r="G31" s="57">
        <f t="shared" si="4"/>
        <v>405.38</v>
      </c>
      <c r="H31" s="57">
        <f t="shared" si="4"/>
        <v>247.77399999999997</v>
      </c>
      <c r="I31" s="77">
        <f t="shared" si="4"/>
        <v>130.26213519999999</v>
      </c>
      <c r="J31" s="57">
        <f t="shared" si="4"/>
        <v>548.46400000000006</v>
      </c>
      <c r="K31" s="41">
        <f>SUM(B31:J31)</f>
        <v>2684.0089172799999</v>
      </c>
    </row>
    <row r="32" spans="1:256" x14ac:dyDescent="0.2">
      <c r="B32" s="55"/>
      <c r="C32" s="55"/>
      <c r="D32" s="55"/>
      <c r="E32" s="55"/>
      <c r="F32" s="64"/>
      <c r="G32" s="55"/>
      <c r="H32" s="55"/>
      <c r="I32" s="64"/>
      <c r="J32" s="55"/>
      <c r="K32" s="32"/>
      <c r="L32" s="32"/>
      <c r="M32" s="32"/>
      <c r="N32" s="32"/>
      <c r="O32" s="32"/>
      <c r="P32" s="32"/>
      <c r="Q32" s="32"/>
      <c r="R32" s="32"/>
      <c r="S32" s="32"/>
      <c r="T32" s="32"/>
      <c r="U32" s="32"/>
      <c r="V32" s="32"/>
      <c r="W32" s="32"/>
      <c r="X32" s="32"/>
      <c r="Y32" s="32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2"/>
      <c r="AK32" s="32"/>
      <c r="AL32" s="32"/>
      <c r="AM32" s="32"/>
      <c r="AN32" s="32"/>
      <c r="AO32" s="32"/>
      <c r="AP32" s="32"/>
      <c r="AQ32" s="32"/>
      <c r="AR32" s="32"/>
      <c r="AS32" s="32"/>
      <c r="AT32" s="32"/>
      <c r="AU32" s="32"/>
      <c r="AV32" s="32"/>
      <c r="AW32" s="32"/>
      <c r="AX32" s="32"/>
      <c r="AY32" s="32"/>
      <c r="AZ32" s="32"/>
      <c r="BA32" s="32"/>
      <c r="BB32" s="32"/>
      <c r="BC32" s="32"/>
      <c r="BD32" s="32"/>
      <c r="BE32" s="32"/>
      <c r="BF32" s="32"/>
      <c r="BG32" s="32"/>
      <c r="BH32" s="32"/>
      <c r="BI32" s="32"/>
      <c r="BJ32" s="32"/>
      <c r="BK32" s="32"/>
      <c r="BL32" s="32"/>
      <c r="BM32" s="32"/>
      <c r="BN32" s="32"/>
      <c r="BO32" s="32"/>
      <c r="BP32" s="32"/>
      <c r="BQ32" s="32"/>
      <c r="BR32" s="32"/>
      <c r="BS32" s="32"/>
      <c r="BT32" s="32"/>
      <c r="BU32" s="32"/>
      <c r="BV32" s="32"/>
      <c r="BW32" s="32"/>
      <c r="BX32" s="32"/>
      <c r="BY32" s="32"/>
      <c r="BZ32" s="32"/>
      <c r="CA32" s="32"/>
      <c r="CB32" s="32"/>
      <c r="CC32" s="32"/>
      <c r="CD32" s="32"/>
      <c r="CE32" s="32"/>
      <c r="CF32" s="32"/>
      <c r="CG32" s="32"/>
      <c r="CH32" s="32"/>
      <c r="CI32" s="32"/>
      <c r="CJ32" s="32"/>
      <c r="CK32" s="32"/>
      <c r="CL32" s="32"/>
      <c r="CM32" s="32"/>
      <c r="CN32" s="32"/>
      <c r="CO32" s="32"/>
      <c r="CP32" s="32"/>
      <c r="CQ32" s="32"/>
      <c r="CR32" s="32"/>
      <c r="CS32" s="32"/>
      <c r="CT32" s="32"/>
      <c r="CU32" s="32"/>
      <c r="CV32" s="32"/>
      <c r="CW32" s="32"/>
      <c r="CX32" s="32"/>
      <c r="CY32" s="32"/>
      <c r="CZ32" s="32"/>
      <c r="DA32" s="32"/>
      <c r="DB32" s="32"/>
      <c r="DC32" s="32"/>
      <c r="DD32" s="32"/>
      <c r="DE32" s="32"/>
      <c r="DF32" s="32"/>
      <c r="DG32" s="32"/>
      <c r="DH32" s="32"/>
      <c r="DI32" s="32"/>
      <c r="DJ32" s="32"/>
      <c r="DK32" s="32"/>
      <c r="DL32" s="32"/>
      <c r="DM32" s="32"/>
      <c r="DN32" s="32"/>
      <c r="DO32" s="32"/>
      <c r="DP32" s="32"/>
      <c r="DQ32" s="32"/>
      <c r="DR32" s="32"/>
      <c r="DS32" s="32"/>
      <c r="DT32" s="32"/>
      <c r="DU32" s="32"/>
      <c r="DV32" s="32"/>
      <c r="DW32" s="32"/>
      <c r="DX32" s="32"/>
      <c r="DY32" s="32"/>
      <c r="DZ32" s="32"/>
      <c r="EA32" s="32"/>
      <c r="EB32" s="32"/>
      <c r="EC32" s="32"/>
      <c r="ED32" s="32"/>
      <c r="EE32" s="32"/>
      <c r="EF32" s="32"/>
      <c r="EG32" s="32"/>
      <c r="EH32" s="32"/>
      <c r="EI32" s="32"/>
      <c r="EJ32" s="32"/>
      <c r="EK32" s="32"/>
      <c r="EL32" s="32"/>
      <c r="EM32" s="32"/>
      <c r="EN32" s="32"/>
      <c r="EO32" s="32"/>
      <c r="EP32" s="32"/>
      <c r="EQ32" s="32"/>
      <c r="ER32" s="32"/>
      <c r="ES32" s="32"/>
      <c r="ET32" s="32"/>
      <c r="EU32" s="32"/>
      <c r="EV32" s="32"/>
      <c r="EW32" s="32"/>
      <c r="EX32" s="32"/>
      <c r="EY32" s="32"/>
      <c r="EZ32" s="32"/>
      <c r="FA32" s="32"/>
      <c r="FB32" s="32"/>
      <c r="FC32" s="32"/>
      <c r="FD32" s="32"/>
      <c r="FE32" s="32"/>
      <c r="FF32" s="32"/>
      <c r="FG32" s="32"/>
      <c r="FH32" s="32"/>
      <c r="FI32" s="32"/>
      <c r="FJ32" s="32"/>
      <c r="FK32" s="32"/>
      <c r="FL32" s="32"/>
      <c r="FM32" s="32"/>
      <c r="FN32" s="32"/>
      <c r="FO32" s="32"/>
      <c r="FP32" s="32"/>
      <c r="FQ32" s="32"/>
      <c r="FR32" s="32"/>
      <c r="FS32" s="32"/>
      <c r="FT32" s="32"/>
      <c r="FU32" s="32"/>
      <c r="FV32" s="32"/>
      <c r="FW32" s="32"/>
      <c r="FX32" s="32"/>
      <c r="FY32" s="32"/>
      <c r="FZ32" s="32"/>
      <c r="GA32" s="32"/>
      <c r="GB32" s="32"/>
      <c r="GC32" s="32"/>
      <c r="GD32" s="32"/>
      <c r="GE32" s="32"/>
      <c r="GF32" s="32"/>
      <c r="GG32" s="32"/>
      <c r="GH32" s="32"/>
      <c r="GI32" s="32"/>
      <c r="GJ32" s="32"/>
      <c r="GK32" s="32"/>
      <c r="GL32" s="32"/>
      <c r="GM32" s="32"/>
      <c r="GN32" s="32"/>
      <c r="GO32" s="32"/>
      <c r="GP32" s="32"/>
      <c r="GQ32" s="32"/>
      <c r="GR32" s="32"/>
      <c r="GS32" s="32"/>
      <c r="GT32" s="32"/>
      <c r="GU32" s="32"/>
      <c r="GV32" s="32"/>
      <c r="GW32" s="32"/>
      <c r="GX32" s="32"/>
      <c r="GY32" s="32"/>
      <c r="GZ32" s="32"/>
      <c r="HA32" s="32"/>
      <c r="HB32" s="32"/>
      <c r="HC32" s="32"/>
      <c r="HD32" s="32"/>
      <c r="HE32" s="32"/>
      <c r="HF32" s="32"/>
      <c r="HG32" s="32"/>
      <c r="HH32" s="32"/>
      <c r="HI32" s="32"/>
      <c r="HJ32" s="32"/>
      <c r="HK32" s="32"/>
      <c r="HL32" s="32"/>
      <c r="HM32" s="32"/>
      <c r="HN32" s="32"/>
      <c r="HO32" s="32"/>
      <c r="HP32" s="32"/>
      <c r="HQ32" s="32"/>
      <c r="HR32" s="32"/>
      <c r="HS32" s="32"/>
      <c r="HT32" s="32"/>
      <c r="HU32" s="32"/>
      <c r="HV32" s="32"/>
      <c r="HW32" s="32"/>
      <c r="HX32" s="32"/>
      <c r="HY32" s="32"/>
      <c r="HZ32" s="32"/>
      <c r="IA32" s="32"/>
      <c r="IB32" s="32"/>
      <c r="IC32" s="32"/>
      <c r="ID32" s="32"/>
      <c r="IE32" s="32"/>
      <c r="IF32" s="32"/>
      <c r="IG32" s="32"/>
      <c r="IH32" s="32"/>
      <c r="II32" s="32"/>
      <c r="IJ32" s="32"/>
      <c r="IK32" s="32"/>
      <c r="IL32" s="32"/>
      <c r="IM32" s="32"/>
      <c r="IN32" s="32"/>
      <c r="IO32" s="32"/>
      <c r="IP32" s="32"/>
      <c r="IQ32" s="32"/>
      <c r="IR32" s="32"/>
      <c r="IS32" s="32"/>
      <c r="IT32" s="32"/>
      <c r="IU32" s="32"/>
      <c r="IV32" s="32"/>
    </row>
    <row r="33" spans="1:11" x14ac:dyDescent="0.2">
      <c r="B33" s="55"/>
      <c r="C33" s="55"/>
      <c r="D33" s="55"/>
      <c r="E33" s="55"/>
      <c r="F33" s="64"/>
      <c r="G33" s="55"/>
      <c r="H33" s="55"/>
      <c r="I33" s="64"/>
      <c r="J33" s="55"/>
      <c r="K33" s="41"/>
    </row>
    <row r="34" spans="1:11" ht="15" customHeight="1" x14ac:dyDescent="0.25">
      <c r="A34" s="6" t="s">
        <v>44</v>
      </c>
      <c r="B34" s="55"/>
      <c r="C34" s="55"/>
      <c r="D34" s="55"/>
      <c r="E34" s="55"/>
      <c r="F34" s="64"/>
      <c r="G34" s="55"/>
      <c r="H34" s="55"/>
      <c r="I34" s="64"/>
      <c r="J34" s="55"/>
      <c r="K34" s="41"/>
    </row>
    <row r="35" spans="1:11" ht="12" customHeight="1" x14ac:dyDescent="0.2">
      <c r="B35" s="55"/>
      <c r="C35" s="55"/>
      <c r="D35" s="55"/>
      <c r="E35" s="55"/>
      <c r="F35" s="64"/>
      <c r="G35" s="55"/>
      <c r="H35" s="55"/>
      <c r="I35" s="64"/>
      <c r="J35" s="55"/>
      <c r="K35" s="41"/>
    </row>
    <row r="36" spans="1:11" ht="12" customHeight="1" x14ac:dyDescent="0.2">
      <c r="A36" s="2" t="s">
        <v>73</v>
      </c>
      <c r="B36" s="55"/>
      <c r="C36" s="55"/>
      <c r="D36" s="55"/>
      <c r="E36" s="55"/>
      <c r="F36" s="64"/>
      <c r="G36" s="55"/>
      <c r="H36" s="55"/>
      <c r="I36" s="64"/>
      <c r="J36" s="55"/>
      <c r="K36" s="41"/>
    </row>
    <row r="37" spans="1:11" ht="12" customHeight="1" x14ac:dyDescent="0.2">
      <c r="B37" s="55"/>
      <c r="C37" s="55"/>
      <c r="D37" s="55"/>
      <c r="E37" s="55"/>
      <c r="F37" s="64"/>
      <c r="G37" s="56"/>
      <c r="H37" s="55"/>
      <c r="I37" s="64"/>
      <c r="J37" s="55"/>
      <c r="K37" s="41"/>
    </row>
    <row r="38" spans="1:11" ht="12" customHeight="1" x14ac:dyDescent="0.2">
      <c r="A38" s="1" t="s">
        <v>74</v>
      </c>
      <c r="B38" s="55">
        <v>42.284571659999997</v>
      </c>
      <c r="C38" s="55">
        <v>50.6</v>
      </c>
      <c r="D38" s="63">
        <v>338.26889232000002</v>
      </c>
      <c r="E38" s="55">
        <v>220.19</v>
      </c>
      <c r="F38" s="64">
        <v>139.91200000000001</v>
      </c>
      <c r="G38" s="55">
        <v>34.57</v>
      </c>
      <c r="H38" s="55">
        <v>115.79900000000001</v>
      </c>
      <c r="I38" s="64">
        <v>49.331014000000003</v>
      </c>
      <c r="J38" s="55">
        <v>424.86642002999997</v>
      </c>
      <c r="K38" s="41">
        <f t="shared" ref="K38:K45" si="5">SUM(B38:J38)</f>
        <v>1415.82189801</v>
      </c>
    </row>
    <row r="39" spans="1:11" ht="12" customHeight="1" x14ac:dyDescent="0.2">
      <c r="A39" s="1" t="s">
        <v>75</v>
      </c>
      <c r="B39" s="55">
        <v>14.811420010000001</v>
      </c>
      <c r="C39" s="55"/>
      <c r="D39" s="55"/>
      <c r="E39" s="55"/>
      <c r="F39" s="64">
        <v>29.056000000000001</v>
      </c>
      <c r="G39" s="55">
        <v>7.17</v>
      </c>
      <c r="H39" s="55"/>
      <c r="I39" s="64">
        <v>9.4348449999999993</v>
      </c>
      <c r="J39" s="55">
        <v>48.86778202</v>
      </c>
      <c r="K39" s="41">
        <f t="shared" si="5"/>
        <v>109.34004702999999</v>
      </c>
    </row>
    <row r="40" spans="1:11" ht="12" customHeight="1" x14ac:dyDescent="0.2">
      <c r="A40" s="1" t="s">
        <v>105</v>
      </c>
      <c r="B40" s="55"/>
      <c r="C40" s="55">
        <v>185.37</v>
      </c>
      <c r="D40" s="55"/>
      <c r="E40" s="55">
        <v>18.52</v>
      </c>
      <c r="F40" s="64"/>
      <c r="G40" s="55">
        <v>1546</v>
      </c>
      <c r="H40" s="55"/>
      <c r="I40" s="64">
        <v>11.662529869999998</v>
      </c>
      <c r="J40" s="55"/>
      <c r="K40" s="41">
        <f t="shared" si="5"/>
        <v>1761.5525298700002</v>
      </c>
    </row>
    <row r="41" spans="1:11" ht="12" customHeight="1" x14ac:dyDescent="0.2">
      <c r="A41" s="1" t="s">
        <v>107</v>
      </c>
      <c r="B41" s="55">
        <v>26.609430029999999</v>
      </c>
      <c r="C41" s="55">
        <v>15.26</v>
      </c>
      <c r="D41" s="55">
        <v>1863.0949259199999</v>
      </c>
      <c r="E41" s="55">
        <v>379.91</v>
      </c>
      <c r="F41" s="64"/>
      <c r="G41" s="55">
        <v>58.62</v>
      </c>
      <c r="H41" s="55">
        <v>66.840999999999994</v>
      </c>
      <c r="I41" s="64"/>
      <c r="J41" s="55">
        <v>30.619608419999999</v>
      </c>
      <c r="K41" s="41">
        <f t="shared" si="5"/>
        <v>2440.9549643699997</v>
      </c>
    </row>
    <row r="42" spans="1:11" ht="12" customHeight="1" x14ac:dyDescent="0.2">
      <c r="A42" s="1" t="s">
        <v>106</v>
      </c>
      <c r="B42" s="55"/>
      <c r="C42" s="55"/>
      <c r="D42" s="63">
        <v>1075.8796214700001</v>
      </c>
      <c r="E42" s="55"/>
      <c r="F42" s="64"/>
      <c r="G42" s="55">
        <v>29.37</v>
      </c>
      <c r="H42" s="55"/>
      <c r="I42" s="64"/>
      <c r="J42" s="55"/>
      <c r="K42" s="41">
        <f t="shared" si="5"/>
        <v>1105.24962147</v>
      </c>
    </row>
    <row r="43" spans="1:11" ht="12" customHeight="1" x14ac:dyDescent="0.2">
      <c r="A43" s="1" t="s">
        <v>108</v>
      </c>
      <c r="B43" s="55"/>
      <c r="C43" s="55"/>
      <c r="D43" s="55">
        <v>1075.3922918000001</v>
      </c>
      <c r="E43" s="55">
        <v>572.58000000000004</v>
      </c>
      <c r="F43" s="64"/>
      <c r="G43" s="55">
        <v>418.24</v>
      </c>
      <c r="H43" s="55">
        <v>69.06</v>
      </c>
      <c r="I43" s="64">
        <v>55.805135530000001</v>
      </c>
      <c r="J43" s="55">
        <v>994.02383417999999</v>
      </c>
      <c r="K43" s="41">
        <f t="shared" si="5"/>
        <v>3185.1012615100003</v>
      </c>
    </row>
    <row r="44" spans="1:11" ht="12" customHeight="1" x14ac:dyDescent="0.2">
      <c r="A44" s="1" t="s">
        <v>78</v>
      </c>
      <c r="B44" s="55"/>
      <c r="C44" s="55"/>
      <c r="D44" s="55"/>
      <c r="E44" s="55"/>
      <c r="F44" s="64"/>
      <c r="G44" s="55">
        <v>1.49</v>
      </c>
      <c r="H44" s="55">
        <v>2.6829999999999998</v>
      </c>
      <c r="I44" s="64"/>
      <c r="J44" s="55">
        <v>1.17305803</v>
      </c>
      <c r="K44" s="41">
        <f t="shared" si="5"/>
        <v>5.34605803</v>
      </c>
    </row>
    <row r="45" spans="1:11" ht="12" customHeight="1" x14ac:dyDescent="0.2">
      <c r="A45" s="1" t="s">
        <v>79</v>
      </c>
      <c r="B45" s="55"/>
      <c r="C45" s="55">
        <v>166.29</v>
      </c>
      <c r="D45" s="55"/>
      <c r="E45" s="55"/>
      <c r="F45" s="64"/>
      <c r="G45" s="55">
        <v>0.3</v>
      </c>
      <c r="H45" s="55"/>
      <c r="I45" s="64"/>
      <c r="J45" s="55"/>
      <c r="K45" s="41">
        <f t="shared" si="5"/>
        <v>166.59</v>
      </c>
    </row>
    <row r="46" spans="1:11" ht="12" customHeight="1" x14ac:dyDescent="0.2">
      <c r="B46" s="55"/>
      <c r="C46" s="55"/>
      <c r="D46" s="55"/>
      <c r="E46" s="55"/>
      <c r="F46" s="64"/>
      <c r="G46" s="55"/>
      <c r="H46" s="55"/>
      <c r="I46" s="64"/>
      <c r="J46" s="55"/>
      <c r="K46" s="41"/>
    </row>
    <row r="47" spans="1:11" s="2" customFormat="1" ht="12" customHeight="1" x14ac:dyDescent="0.2">
      <c r="A47" s="7" t="s">
        <v>12</v>
      </c>
      <c r="B47" s="57">
        <f t="shared" ref="B47:J47" si="6">SUM(B38:B45)</f>
        <v>83.705421699999988</v>
      </c>
      <c r="C47" s="57">
        <f t="shared" si="6"/>
        <v>417.52</v>
      </c>
      <c r="D47" s="57">
        <f t="shared" si="6"/>
        <v>4352.6357315100004</v>
      </c>
      <c r="E47" s="57">
        <f t="shared" si="6"/>
        <v>1191.2</v>
      </c>
      <c r="F47" s="77">
        <f t="shared" si="6"/>
        <v>168.96800000000002</v>
      </c>
      <c r="G47" s="57">
        <f t="shared" si="6"/>
        <v>2095.7599999999998</v>
      </c>
      <c r="H47" s="57">
        <f t="shared" si="6"/>
        <v>254.38299999999998</v>
      </c>
      <c r="I47" s="77">
        <f t="shared" si="6"/>
        <v>126.23352440000001</v>
      </c>
      <c r="J47" s="57">
        <f t="shared" si="6"/>
        <v>1499.5507026800001</v>
      </c>
      <c r="K47" s="41">
        <f>SUM(B47:J47)</f>
        <v>10189.956380290001</v>
      </c>
    </row>
    <row r="48" spans="1:11" ht="12" customHeight="1" x14ac:dyDescent="0.2">
      <c r="B48" s="55"/>
      <c r="C48" s="55"/>
      <c r="D48" s="55"/>
      <c r="E48" s="55"/>
      <c r="F48" s="64"/>
      <c r="G48" s="55"/>
      <c r="H48" s="55"/>
      <c r="I48" s="64"/>
      <c r="J48" s="55"/>
      <c r="K48" s="41"/>
    </row>
    <row r="49" spans="1:11" ht="12" customHeight="1" x14ac:dyDescent="0.2">
      <c r="A49" s="2" t="s">
        <v>45</v>
      </c>
      <c r="B49" s="55"/>
      <c r="C49" s="55"/>
      <c r="D49" s="55"/>
      <c r="E49" s="55"/>
      <c r="F49" s="64"/>
      <c r="G49" s="55"/>
      <c r="H49" s="55"/>
      <c r="I49" s="64"/>
      <c r="J49" s="55"/>
      <c r="K49" s="41"/>
    </row>
    <row r="50" spans="1:11" ht="12" customHeight="1" x14ac:dyDescent="0.2">
      <c r="B50" s="55"/>
      <c r="C50" s="55"/>
      <c r="D50" s="55"/>
      <c r="E50" s="55"/>
      <c r="F50" s="64"/>
      <c r="G50" s="55"/>
      <c r="H50" s="55"/>
      <c r="I50" s="64"/>
      <c r="J50" s="55"/>
      <c r="K50" s="41"/>
    </row>
    <row r="51" spans="1:11" ht="12" customHeight="1" x14ac:dyDescent="0.2">
      <c r="A51" s="1" t="s">
        <v>46</v>
      </c>
      <c r="B51" s="86">
        <v>786.26970303999997</v>
      </c>
      <c r="C51" s="55">
        <v>1401.19</v>
      </c>
      <c r="D51" s="63">
        <v>704.56779540000002</v>
      </c>
      <c r="E51" s="55">
        <v>417.48</v>
      </c>
      <c r="F51" s="64">
        <v>1431.420993</v>
      </c>
      <c r="G51" s="55">
        <v>2138.75</v>
      </c>
      <c r="H51" s="55">
        <v>3057.723</v>
      </c>
      <c r="I51" s="64">
        <v>1776.0958185699999</v>
      </c>
      <c r="J51" s="55">
        <v>2582.0184043700001</v>
      </c>
      <c r="K51" s="41">
        <f>SUM(B51:J51)</f>
        <v>14295.515714379999</v>
      </c>
    </row>
    <row r="52" spans="1:11" ht="12" customHeight="1" x14ac:dyDescent="0.2">
      <c r="A52" s="1" t="s">
        <v>47</v>
      </c>
      <c r="B52" s="87">
        <v>118.19903741</v>
      </c>
      <c r="C52" s="55"/>
      <c r="D52" s="55"/>
      <c r="E52" s="55"/>
      <c r="F52" s="64">
        <v>74.890343999999999</v>
      </c>
      <c r="G52" s="55">
        <v>339.22</v>
      </c>
      <c r="H52" s="55">
        <v>38.953000000000003</v>
      </c>
      <c r="I52" s="64">
        <v>4.41074565</v>
      </c>
      <c r="J52" s="55">
        <v>274.56057031</v>
      </c>
      <c r="K52" s="41">
        <f>SUM(B52:J52)</f>
        <v>850.23369736999996</v>
      </c>
    </row>
    <row r="53" spans="1:11" ht="12" customHeight="1" x14ac:dyDescent="0.2">
      <c r="B53" s="55"/>
      <c r="C53" s="55"/>
      <c r="D53" s="55"/>
      <c r="E53" s="55"/>
      <c r="F53" s="64"/>
      <c r="G53" s="55"/>
      <c r="H53" s="55"/>
      <c r="I53" s="64"/>
      <c r="J53" s="55"/>
      <c r="K53" s="41"/>
    </row>
    <row r="54" spans="1:11" s="34" customFormat="1" ht="12" customHeight="1" x14ac:dyDescent="0.2">
      <c r="A54" s="34" t="s">
        <v>12</v>
      </c>
      <c r="B54" s="57">
        <f t="shared" ref="B54:J54" si="7">SUM(B51:B52)</f>
        <v>904.46874044999993</v>
      </c>
      <c r="C54" s="57">
        <f t="shared" si="7"/>
        <v>1401.19</v>
      </c>
      <c r="D54" s="57">
        <f t="shared" si="7"/>
        <v>704.56779540000002</v>
      </c>
      <c r="E54" s="57">
        <f t="shared" si="7"/>
        <v>417.48</v>
      </c>
      <c r="F54" s="77">
        <f t="shared" si="7"/>
        <v>1506.3113369999999</v>
      </c>
      <c r="G54" s="57">
        <f t="shared" si="7"/>
        <v>2477.9700000000003</v>
      </c>
      <c r="H54" s="57">
        <f t="shared" si="7"/>
        <v>3096.6759999999999</v>
      </c>
      <c r="I54" s="77">
        <f t="shared" si="7"/>
        <v>1780.50656422</v>
      </c>
      <c r="J54" s="57">
        <f t="shared" si="7"/>
        <v>2856.5789746800001</v>
      </c>
      <c r="K54" s="41">
        <f>SUM(B54:J54)</f>
        <v>15145.749411750001</v>
      </c>
    </row>
    <row r="55" spans="1:11" ht="12" customHeight="1" x14ac:dyDescent="0.2">
      <c r="B55" s="55"/>
      <c r="C55" s="55"/>
      <c r="D55" s="55"/>
      <c r="E55" s="55"/>
      <c r="F55" s="64"/>
      <c r="G55" s="55"/>
      <c r="H55" s="55"/>
      <c r="I55" s="64"/>
      <c r="J55" s="55"/>
      <c r="K55" s="41"/>
    </row>
    <row r="56" spans="1:11" s="2" customFormat="1" ht="12" customHeight="1" x14ac:dyDescent="0.2">
      <c r="A56" s="2" t="s">
        <v>48</v>
      </c>
      <c r="B56" s="87">
        <v>37.415038819999999</v>
      </c>
      <c r="C56" s="55">
        <v>13.65</v>
      </c>
      <c r="D56" s="55">
        <v>341.27560833000001</v>
      </c>
      <c r="E56" s="55">
        <v>0</v>
      </c>
      <c r="F56" s="55">
        <v>0</v>
      </c>
      <c r="G56" s="55">
        <v>76.040000000000006</v>
      </c>
      <c r="H56" s="55">
        <v>0</v>
      </c>
      <c r="I56" s="64">
        <v>0</v>
      </c>
      <c r="J56" s="55">
        <v>235.65963095000001</v>
      </c>
      <c r="K56" s="41">
        <f>SUM(B56:J56)</f>
        <v>704.04027810000002</v>
      </c>
    </row>
    <row r="57" spans="1:11" ht="12" customHeight="1" x14ac:dyDescent="0.2">
      <c r="B57" s="55"/>
      <c r="C57" s="55"/>
      <c r="D57" s="55"/>
      <c r="E57" s="55"/>
      <c r="F57" s="64"/>
      <c r="G57" s="55"/>
      <c r="H57" s="55"/>
      <c r="I57" s="64"/>
      <c r="J57" s="55"/>
      <c r="K57" s="41"/>
    </row>
    <row r="58" spans="1:11" ht="12" customHeight="1" x14ac:dyDescent="0.2">
      <c r="A58" s="2" t="s">
        <v>49</v>
      </c>
      <c r="B58" s="55"/>
      <c r="C58" s="55"/>
      <c r="D58" s="55"/>
      <c r="E58" s="55"/>
      <c r="F58" s="64"/>
      <c r="G58" s="55"/>
      <c r="H58" s="55"/>
      <c r="I58" s="64"/>
      <c r="J58" s="55"/>
      <c r="K58" s="41"/>
    </row>
    <row r="59" spans="1:11" ht="12" customHeight="1" x14ac:dyDescent="0.2">
      <c r="B59" s="55"/>
      <c r="C59" s="55"/>
      <c r="D59" s="55"/>
      <c r="E59" s="55"/>
      <c r="F59" s="64"/>
      <c r="G59" s="55"/>
      <c r="H59" s="55"/>
      <c r="I59" s="64"/>
      <c r="J59" s="55"/>
      <c r="K59" s="41"/>
    </row>
    <row r="60" spans="1:11" ht="12" customHeight="1" x14ac:dyDescent="0.2">
      <c r="A60" s="34" t="s">
        <v>117</v>
      </c>
      <c r="B60" s="79"/>
      <c r="C60" s="79"/>
      <c r="D60" s="79"/>
      <c r="E60" s="79"/>
      <c r="F60" s="99"/>
      <c r="G60" s="79"/>
      <c r="H60" s="79"/>
      <c r="I60" s="99"/>
      <c r="J60" s="79"/>
      <c r="K60" s="41"/>
    </row>
    <row r="61" spans="1:11" ht="12" customHeight="1" x14ac:dyDescent="0.2">
      <c r="A61" s="1" t="s">
        <v>50</v>
      </c>
      <c r="B61" s="55">
        <v>51.206000000000003</v>
      </c>
      <c r="C61" s="55">
        <v>114.47</v>
      </c>
      <c r="D61" s="55">
        <v>299.78800000000001</v>
      </c>
      <c r="E61" s="55">
        <v>285.64999999999998</v>
      </c>
      <c r="F61" s="55">
        <v>112.593</v>
      </c>
      <c r="G61" s="55">
        <v>238.16</v>
      </c>
      <c r="H61" s="55">
        <v>138.94300000000001</v>
      </c>
      <c r="I61" s="55">
        <v>75.436000000000007</v>
      </c>
      <c r="J61" s="55">
        <v>464.25299999999999</v>
      </c>
      <c r="K61" s="41">
        <f>SUM(B61:J61)</f>
        <v>1780.4989999999998</v>
      </c>
    </row>
    <row r="62" spans="1:11" ht="12" customHeight="1" x14ac:dyDescent="0.2">
      <c r="A62" s="1" t="s">
        <v>81</v>
      </c>
      <c r="B62" s="86">
        <v>0.18590630999999999</v>
      </c>
      <c r="C62" s="58">
        <f>3.48+0.42</f>
        <v>3.9</v>
      </c>
      <c r="D62" s="55">
        <v>200.84163908000002</v>
      </c>
      <c r="E62" s="55">
        <v>17.489999999999998</v>
      </c>
      <c r="F62" s="64">
        <v>0.40796100000000002</v>
      </c>
      <c r="G62" s="55">
        <v>0.86</v>
      </c>
      <c r="H62" s="55">
        <v>0.503</v>
      </c>
      <c r="I62" s="64">
        <v>4.9440954000000001</v>
      </c>
      <c r="J62" s="55">
        <v>1.68283939</v>
      </c>
      <c r="K62" s="41">
        <f>SUM(B62:J62)</f>
        <v>230.81544118000005</v>
      </c>
    </row>
    <row r="63" spans="1:11" ht="12" customHeight="1" x14ac:dyDescent="0.2">
      <c r="A63" s="1" t="s">
        <v>110</v>
      </c>
      <c r="B63" s="55"/>
      <c r="C63" s="55"/>
      <c r="D63" s="55"/>
      <c r="E63" s="55"/>
      <c r="F63" s="64"/>
      <c r="G63" s="55"/>
      <c r="H63" s="55"/>
      <c r="I63" s="64"/>
      <c r="J63" s="55"/>
      <c r="K63" s="41"/>
    </row>
    <row r="64" spans="1:11" ht="12" customHeight="1" x14ac:dyDescent="0.2">
      <c r="A64" s="1" t="s">
        <v>111</v>
      </c>
      <c r="B64" s="55"/>
      <c r="C64" s="55">
        <v>-8.14</v>
      </c>
      <c r="D64" s="55"/>
      <c r="E64" s="55"/>
      <c r="F64" s="64"/>
      <c r="G64" s="55">
        <v>-31.46</v>
      </c>
      <c r="H64" s="55"/>
      <c r="I64" s="64"/>
      <c r="J64" s="55">
        <v>-31.971000870000001</v>
      </c>
      <c r="K64" s="41">
        <f t="shared" ref="K64:K73" si="8">SUM(B64:J64)</f>
        <v>-71.571000870000006</v>
      </c>
    </row>
    <row r="65" spans="1:11" ht="12" customHeight="1" x14ac:dyDescent="0.2">
      <c r="A65" s="1" t="s">
        <v>112</v>
      </c>
      <c r="B65" s="55"/>
      <c r="C65" s="55">
        <v>-0.22</v>
      </c>
      <c r="D65" s="104">
        <v>-2.0369797300000001</v>
      </c>
      <c r="E65" s="55"/>
      <c r="F65" s="64">
        <v>-0.49243399999999998</v>
      </c>
      <c r="G65" s="55">
        <v>-0.28000000000000003</v>
      </c>
      <c r="H65" s="55"/>
      <c r="I65" s="64"/>
      <c r="J65" s="55">
        <v>-1.0630085899999999</v>
      </c>
      <c r="K65" s="41">
        <f t="shared" si="8"/>
        <v>-4.0924223199999998</v>
      </c>
    </row>
    <row r="66" spans="1:11" ht="12" customHeight="1" x14ac:dyDescent="0.2">
      <c r="A66" s="1" t="s">
        <v>113</v>
      </c>
      <c r="B66" s="55"/>
      <c r="C66" s="55"/>
      <c r="D66" s="55">
        <v>-0.99</v>
      </c>
      <c r="E66" s="55">
        <v>-4.5999999999999996</v>
      </c>
      <c r="F66" s="64"/>
      <c r="G66" s="55">
        <v>-10.68</v>
      </c>
      <c r="H66" s="55"/>
      <c r="J66" s="55"/>
      <c r="K66" s="41">
        <f t="shared" si="8"/>
        <v>-16.27</v>
      </c>
    </row>
    <row r="67" spans="1:11" ht="12" customHeight="1" x14ac:dyDescent="0.2">
      <c r="A67" s="1" t="s">
        <v>114</v>
      </c>
      <c r="B67" s="55"/>
      <c r="C67" s="55"/>
      <c r="D67" s="55"/>
      <c r="E67" s="55"/>
      <c r="F67" s="64"/>
      <c r="G67" s="55"/>
      <c r="H67" s="55"/>
      <c r="I67" s="64">
        <v>-1.1117929799999999</v>
      </c>
      <c r="J67" s="55"/>
      <c r="K67" s="41">
        <f t="shared" si="8"/>
        <v>-1.1117929799999999</v>
      </c>
    </row>
    <row r="68" spans="1:11" ht="12" customHeight="1" x14ac:dyDescent="0.2">
      <c r="A68" s="1" t="s">
        <v>115</v>
      </c>
      <c r="B68" s="55">
        <v>-74.961611020000007</v>
      </c>
      <c r="C68" s="55">
        <v>-8.56</v>
      </c>
      <c r="D68" s="55"/>
      <c r="E68" s="55">
        <v>-6.26</v>
      </c>
      <c r="F68" s="64"/>
      <c r="G68" s="55"/>
      <c r="H68" s="55">
        <v>-12</v>
      </c>
      <c r="I68" s="64">
        <v>-39.137020479999997</v>
      </c>
      <c r="J68" s="55"/>
      <c r="K68" s="41">
        <f t="shared" si="8"/>
        <v>-140.9186315</v>
      </c>
    </row>
    <row r="69" spans="1:11" ht="12" customHeight="1" x14ac:dyDescent="0.2">
      <c r="A69" s="1" t="s">
        <v>116</v>
      </c>
      <c r="B69" s="55"/>
      <c r="D69" s="66">
        <v>-2.6345342299999999</v>
      </c>
      <c r="E69" s="55">
        <v>-0.44</v>
      </c>
      <c r="F69" s="64"/>
      <c r="G69" s="55"/>
      <c r="H69" s="55"/>
      <c r="I69" s="105">
        <v>-1.57179935</v>
      </c>
      <c r="J69" s="73">
        <v>-16.59433112</v>
      </c>
      <c r="K69" s="41">
        <f t="shared" si="8"/>
        <v>-21.2406647</v>
      </c>
    </row>
    <row r="70" spans="1:11" ht="12" customHeight="1" x14ac:dyDescent="0.2">
      <c r="A70" s="1" t="s">
        <v>52</v>
      </c>
      <c r="B70" s="55"/>
      <c r="C70" s="55">
        <f>1.45-0.36</f>
        <v>1.0899999999999999</v>
      </c>
      <c r="D70" s="55"/>
      <c r="E70" s="55"/>
      <c r="F70" s="64">
        <f>7.479054-5.191998</f>
        <v>2.2870559999999998</v>
      </c>
      <c r="G70" s="55"/>
      <c r="H70" s="55">
        <v>0.59899999999999998</v>
      </c>
      <c r="I70" s="64"/>
      <c r="J70" s="55"/>
      <c r="K70" s="41">
        <f t="shared" si="8"/>
        <v>3.9760559999999998</v>
      </c>
    </row>
    <row r="71" spans="1:11" ht="12" customHeight="1" x14ac:dyDescent="0.2">
      <c r="A71" s="1" t="s">
        <v>53</v>
      </c>
      <c r="B71" s="55">
        <v>133.45611493000001</v>
      </c>
      <c r="C71" s="55">
        <f>30.33-0.06</f>
        <v>30.27</v>
      </c>
      <c r="D71" s="55">
        <v>12.66404498</v>
      </c>
      <c r="E71" s="55">
        <f>6.26</f>
        <v>6.26</v>
      </c>
      <c r="F71" s="64">
        <f>66.026976+0.634469-0.21979</f>
        <v>66.441654999999997</v>
      </c>
      <c r="G71" s="55">
        <v>200.99</v>
      </c>
      <c r="H71" s="55">
        <f>110.454+14.52</f>
        <v>124.97399999999999</v>
      </c>
      <c r="I71" s="64">
        <v>92.972206159999999</v>
      </c>
      <c r="J71" s="55">
        <v>191.92889986</v>
      </c>
      <c r="K71" s="41">
        <f t="shared" si="8"/>
        <v>859.95692093000002</v>
      </c>
    </row>
    <row r="72" spans="1:11" ht="12" customHeight="1" x14ac:dyDescent="0.2">
      <c r="A72" s="1" t="s">
        <v>60</v>
      </c>
      <c r="B72" s="55"/>
      <c r="C72" s="58"/>
      <c r="D72" s="55"/>
      <c r="E72" s="62">
        <v>0.55000000000000004</v>
      </c>
      <c r="F72" s="100"/>
      <c r="G72" s="55"/>
      <c r="H72" s="55"/>
      <c r="I72" s="64"/>
      <c r="J72" s="55"/>
      <c r="K72" s="41">
        <f t="shared" si="8"/>
        <v>0.55000000000000004</v>
      </c>
    </row>
    <row r="73" spans="1:11" s="34" customFormat="1" ht="12" customHeight="1" x14ac:dyDescent="0.2">
      <c r="A73" s="34" t="s">
        <v>12</v>
      </c>
      <c r="B73" s="57">
        <f t="shared" ref="B73:J73" si="9">SUM(B61:B72)</f>
        <v>109.88641022000002</v>
      </c>
      <c r="C73" s="57">
        <f t="shared" si="9"/>
        <v>132.81</v>
      </c>
      <c r="D73" s="57">
        <f t="shared" si="9"/>
        <v>507.63217010000005</v>
      </c>
      <c r="E73" s="57">
        <f t="shared" si="9"/>
        <v>298.64999999999998</v>
      </c>
      <c r="F73" s="108">
        <f t="shared" si="9"/>
        <v>181.23723799999999</v>
      </c>
      <c r="G73" s="57">
        <f t="shared" si="9"/>
        <v>397.59000000000003</v>
      </c>
      <c r="H73" s="57">
        <f t="shared" si="9"/>
        <v>253.01899999999998</v>
      </c>
      <c r="I73" s="77">
        <f t="shared" si="9"/>
        <v>131.53168875</v>
      </c>
      <c r="J73" s="57">
        <f t="shared" si="9"/>
        <v>608.23639866999997</v>
      </c>
      <c r="K73" s="41">
        <f t="shared" si="8"/>
        <v>2620.5929057399999</v>
      </c>
    </row>
    <row r="74" spans="1:11" ht="12" customHeight="1" x14ac:dyDescent="0.2">
      <c r="B74" s="55"/>
      <c r="C74" s="55"/>
      <c r="D74" s="55"/>
      <c r="E74" s="55"/>
      <c r="F74" s="64"/>
      <c r="G74" s="55"/>
      <c r="H74" s="55"/>
      <c r="I74" s="64"/>
      <c r="J74" s="55"/>
      <c r="K74" s="41"/>
    </row>
    <row r="75" spans="1:11" ht="12" customHeight="1" x14ac:dyDescent="0.2">
      <c r="A75" s="34" t="s">
        <v>42</v>
      </c>
      <c r="B75" s="103"/>
      <c r="C75" s="55"/>
      <c r="D75" s="55"/>
      <c r="E75" s="55"/>
      <c r="F75" s="64"/>
      <c r="G75" s="55"/>
      <c r="H75" s="55"/>
      <c r="I75" s="64"/>
      <c r="J75" s="55"/>
      <c r="K75" s="41"/>
    </row>
    <row r="76" spans="1:11" ht="12" customHeight="1" x14ac:dyDescent="0.2">
      <c r="A76" s="1" t="s">
        <v>118</v>
      </c>
      <c r="B76" s="55">
        <f t="shared" ref="B76:G76" si="10">B17</f>
        <v>97.803339440000002</v>
      </c>
      <c r="C76" s="55">
        <f t="shared" si="10"/>
        <v>112.48</v>
      </c>
      <c r="D76" s="55">
        <f t="shared" si="10"/>
        <v>373.81638441999996</v>
      </c>
      <c r="E76" s="55">
        <f t="shared" si="10"/>
        <v>247.06</v>
      </c>
      <c r="F76" s="64">
        <f t="shared" si="10"/>
        <v>299.50859699999995</v>
      </c>
      <c r="G76" s="55">
        <f t="shared" si="10"/>
        <v>274.51</v>
      </c>
      <c r="H76" s="55">
        <v>220.58500000000001</v>
      </c>
      <c r="I76" s="64">
        <v>108.90721932</v>
      </c>
      <c r="J76" s="55">
        <f>J17</f>
        <v>337.27400000000006</v>
      </c>
      <c r="K76" s="41">
        <f t="shared" ref="K76:K81" si="11">SUM(B76:J76)</f>
        <v>2071.9445401799999</v>
      </c>
    </row>
    <row r="77" spans="1:11" ht="12" customHeight="1" x14ac:dyDescent="0.2">
      <c r="A77" s="1" t="s">
        <v>47</v>
      </c>
      <c r="B77" s="55">
        <f t="shared" ref="B77:G77" si="12">B29</f>
        <v>10.75288012</v>
      </c>
      <c r="C77" s="55">
        <f t="shared" si="12"/>
        <v>22.8</v>
      </c>
      <c r="D77" s="63">
        <f t="shared" si="12"/>
        <v>109.82172310000001</v>
      </c>
      <c r="E77" s="55">
        <f t="shared" si="12"/>
        <v>42.6</v>
      </c>
      <c r="F77" s="64">
        <f t="shared" si="12"/>
        <v>35.485858</v>
      </c>
      <c r="G77" s="55">
        <f t="shared" si="12"/>
        <v>130.87</v>
      </c>
      <c r="H77" s="55">
        <v>27.189</v>
      </c>
      <c r="I77" s="64">
        <v>21.35491588</v>
      </c>
      <c r="J77" s="55">
        <f>J29</f>
        <v>211.19000000000003</v>
      </c>
      <c r="K77" s="41">
        <f t="shared" si="11"/>
        <v>612.06437710000012</v>
      </c>
    </row>
    <row r="78" spans="1:11" ht="12" customHeight="1" x14ac:dyDescent="0.2">
      <c r="A78" s="1" t="s">
        <v>119</v>
      </c>
      <c r="B78" s="55"/>
      <c r="C78" s="55"/>
      <c r="D78" s="55"/>
      <c r="E78" s="55">
        <v>8.99</v>
      </c>
      <c r="F78" s="64"/>
      <c r="G78" s="55"/>
      <c r="H78" s="55"/>
      <c r="I78" s="64">
        <v>0.81915555000000007</v>
      </c>
      <c r="J78" s="55">
        <v>6.5810254300000004</v>
      </c>
      <c r="K78" s="41">
        <f t="shared" si="11"/>
        <v>16.39018098</v>
      </c>
    </row>
    <row r="79" spans="1:11" ht="12" customHeight="1" x14ac:dyDescent="0.2">
      <c r="A79" s="1" t="s">
        <v>120</v>
      </c>
      <c r="B79" s="55">
        <v>0.70547508999999997</v>
      </c>
      <c r="C79" s="55">
        <v>6.91</v>
      </c>
      <c r="D79" s="55"/>
      <c r="E79" s="55"/>
      <c r="F79" s="64"/>
      <c r="G79" s="55">
        <v>59.54</v>
      </c>
      <c r="H79" s="55"/>
      <c r="I79" s="64"/>
      <c r="J79" s="55">
        <v>104.58770733999999</v>
      </c>
      <c r="K79" s="41">
        <f t="shared" si="11"/>
        <v>171.74318242999999</v>
      </c>
    </row>
    <row r="80" spans="1:11" ht="12" customHeight="1" x14ac:dyDescent="0.2">
      <c r="A80" s="1" t="s">
        <v>121</v>
      </c>
      <c r="B80" s="55"/>
      <c r="C80" s="55">
        <f>0.36+1</f>
        <v>1.3599999999999999</v>
      </c>
      <c r="D80" s="55"/>
      <c r="E80" s="55"/>
      <c r="F80" s="64"/>
      <c r="G80" s="55">
        <v>4.0999999999999996</v>
      </c>
      <c r="H80" s="55"/>
      <c r="I80" s="64"/>
      <c r="J80" s="55">
        <v>37.271293720000003</v>
      </c>
      <c r="K80" s="41">
        <f t="shared" si="11"/>
        <v>42.731293720000004</v>
      </c>
    </row>
    <row r="81" spans="1:11" ht="12" customHeight="1" x14ac:dyDescent="0.2">
      <c r="A81" s="34" t="s">
        <v>12</v>
      </c>
      <c r="B81" s="55">
        <f t="shared" ref="B81:J81" si="13">SUM(B76:B80)</f>
        <v>109.26169465</v>
      </c>
      <c r="C81" s="57">
        <f t="shared" si="13"/>
        <v>143.55000000000001</v>
      </c>
      <c r="D81" s="57">
        <f t="shared" si="13"/>
        <v>483.63810751999995</v>
      </c>
      <c r="E81" s="57">
        <f t="shared" si="13"/>
        <v>298.65000000000003</v>
      </c>
      <c r="F81" s="108">
        <f t="shared" si="13"/>
        <v>334.99445499999996</v>
      </c>
      <c r="G81" s="57">
        <f t="shared" si="13"/>
        <v>469.02000000000004</v>
      </c>
      <c r="H81" s="57">
        <f t="shared" si="13"/>
        <v>247.774</v>
      </c>
      <c r="I81" s="77">
        <f t="shared" si="13"/>
        <v>131.08129074999999</v>
      </c>
      <c r="J81" s="57">
        <f t="shared" si="13"/>
        <v>696.90402648999998</v>
      </c>
      <c r="K81" s="41">
        <f t="shared" si="11"/>
        <v>2914.8735744099999</v>
      </c>
    </row>
    <row r="82" spans="1:11" ht="12" customHeight="1" x14ac:dyDescent="0.2">
      <c r="B82" s="55"/>
      <c r="C82" s="55"/>
      <c r="D82" s="55"/>
      <c r="E82" s="55"/>
      <c r="F82" s="64"/>
      <c r="G82" s="55"/>
      <c r="H82" s="55"/>
      <c r="I82" s="64"/>
      <c r="J82" s="55"/>
      <c r="K82" s="41"/>
    </row>
    <row r="83" spans="1:11" s="2" customFormat="1" ht="12" customHeight="1" x14ac:dyDescent="0.2">
      <c r="A83" s="7" t="s">
        <v>122</v>
      </c>
      <c r="B83" s="55">
        <f t="shared" ref="B83:J83" si="14">B73-B81</f>
        <v>0.62471557000002065</v>
      </c>
      <c r="C83" s="55">
        <f t="shared" si="14"/>
        <v>-10.740000000000009</v>
      </c>
      <c r="D83" s="55">
        <f t="shared" si="14"/>
        <v>23.994062580000104</v>
      </c>
      <c r="E83" s="55">
        <f t="shared" si="14"/>
        <v>0</v>
      </c>
      <c r="F83" s="64">
        <f t="shared" si="14"/>
        <v>-153.75721699999997</v>
      </c>
      <c r="G83" s="55">
        <f t="shared" si="14"/>
        <v>-71.430000000000007</v>
      </c>
      <c r="H83" s="55">
        <f t="shared" si="14"/>
        <v>5.2449999999999761</v>
      </c>
      <c r="I83" s="64">
        <f t="shared" si="14"/>
        <v>0.45039800000000696</v>
      </c>
      <c r="J83" s="55">
        <f t="shared" si="14"/>
        <v>-88.667627820000007</v>
      </c>
      <c r="K83" s="41">
        <f>SUM(B83:J83)</f>
        <v>-294.28066866999984</v>
      </c>
    </row>
    <row r="84" spans="1:11" s="2" customFormat="1" ht="12" customHeight="1" x14ac:dyDescent="0.2">
      <c r="A84" s="7"/>
      <c r="B84" s="55"/>
      <c r="C84" s="55"/>
      <c r="D84" s="55"/>
      <c r="E84" s="55"/>
      <c r="F84" s="64"/>
      <c r="G84" s="55"/>
      <c r="H84" s="55"/>
      <c r="I84" s="64"/>
      <c r="J84" s="55"/>
      <c r="K84" s="41"/>
    </row>
    <row r="85" spans="1:11" s="2" customFormat="1" ht="12" customHeight="1" x14ac:dyDescent="0.2">
      <c r="A85" s="7" t="s">
        <v>123</v>
      </c>
      <c r="B85" s="55"/>
      <c r="C85" s="55"/>
      <c r="D85" s="55"/>
      <c r="F85" s="64"/>
      <c r="G85" s="55"/>
      <c r="H85" s="55"/>
      <c r="I85" s="64"/>
      <c r="J85" s="55"/>
      <c r="K85" s="41"/>
    </row>
    <row r="86" spans="1:11" s="2" customFormat="1" ht="12" customHeight="1" x14ac:dyDescent="0.2">
      <c r="A86" s="7" t="s">
        <v>124</v>
      </c>
      <c r="B86" s="55">
        <v>7.5148138800000002</v>
      </c>
      <c r="C86" s="55">
        <v>4.5599999999999996</v>
      </c>
      <c r="D86" s="55"/>
      <c r="E86" s="55"/>
      <c r="F86" s="64"/>
      <c r="G86" s="55"/>
      <c r="H86" s="55">
        <v>0</v>
      </c>
      <c r="I86" s="64"/>
      <c r="J86" s="55"/>
      <c r="K86" s="41">
        <f>SUM(B86:J86)</f>
        <v>12.074813880000001</v>
      </c>
    </row>
    <row r="87" spans="1:11" s="2" customFormat="1" ht="12" customHeight="1" x14ac:dyDescent="0.2">
      <c r="A87" s="7" t="s">
        <v>125</v>
      </c>
      <c r="B87" s="55">
        <v>100</v>
      </c>
      <c r="C87" s="55"/>
      <c r="D87" s="55"/>
      <c r="E87" s="55"/>
      <c r="F87" s="64"/>
      <c r="G87" s="55">
        <v>85.96</v>
      </c>
      <c r="H87" s="55">
        <v>0</v>
      </c>
      <c r="I87" s="64"/>
      <c r="J87" s="55">
        <v>37.451039039999998</v>
      </c>
      <c r="K87" s="41">
        <f>SUM(B87:J87)</f>
        <v>223.41103903999999</v>
      </c>
    </row>
    <row r="88" spans="1:11" ht="12" customHeight="1" x14ac:dyDescent="0.2">
      <c r="C88" s="88"/>
    </row>
    <row r="89" spans="1:11" ht="12" customHeight="1" x14ac:dyDescent="0.2">
      <c r="A89" s="52"/>
      <c r="C89"/>
    </row>
    <row r="90" spans="1:11" ht="12" customHeight="1" x14ac:dyDescent="0.2">
      <c r="A90" s="67" t="s">
        <v>189</v>
      </c>
      <c r="C90"/>
      <c r="J90" s="79"/>
    </row>
    <row r="91" spans="1:11" ht="12" customHeight="1" x14ac:dyDescent="0.2">
      <c r="A91" s="67" t="s">
        <v>190</v>
      </c>
      <c r="J91" s="55"/>
    </row>
    <row r="92" spans="1:11" ht="12" customHeight="1" x14ac:dyDescent="0.2">
      <c r="A92" s="67" t="s">
        <v>191</v>
      </c>
      <c r="J92" s="55"/>
    </row>
    <row r="93" spans="1:11" ht="12" customHeight="1" x14ac:dyDescent="0.2">
      <c r="A93" s="80" t="s">
        <v>187</v>
      </c>
      <c r="J93" s="55"/>
    </row>
    <row r="94" spans="1:11" ht="12" customHeight="1" x14ac:dyDescent="0.2">
      <c r="A94" s="43" t="s">
        <v>192</v>
      </c>
      <c r="J94" s="79"/>
    </row>
    <row r="95" spans="1:11" ht="12" customHeight="1" x14ac:dyDescent="0.2">
      <c r="A95" s="69" t="s">
        <v>193</v>
      </c>
      <c r="B95" s="55"/>
      <c r="J95" s="55"/>
    </row>
    <row r="96" spans="1:11" ht="12" customHeight="1" x14ac:dyDescent="0.2">
      <c r="A96" s="69" t="s">
        <v>188</v>
      </c>
      <c r="B96" s="55"/>
      <c r="J96" s="55"/>
    </row>
    <row r="97" spans="1:11" s="69" customFormat="1" ht="12" customHeight="1" x14ac:dyDescent="0.2">
      <c r="A97" s="67" t="s">
        <v>194</v>
      </c>
      <c r="B97" s="54"/>
      <c r="C97" s="54"/>
      <c r="D97" s="54"/>
      <c r="E97" s="54"/>
      <c r="F97" s="74"/>
      <c r="G97" s="54"/>
      <c r="H97" s="54"/>
      <c r="I97" s="74"/>
      <c r="J97" s="54"/>
      <c r="K97" s="68"/>
    </row>
    <row r="98" spans="1:11" s="69" customFormat="1" ht="12" customHeight="1" x14ac:dyDescent="0.2">
      <c r="A98" s="106" t="s">
        <v>195</v>
      </c>
      <c r="B98" s="54"/>
      <c r="C98" s="54"/>
      <c r="D98" s="54"/>
      <c r="E98" s="54"/>
      <c r="F98" s="74"/>
      <c r="G98" s="54"/>
      <c r="H98" s="54"/>
      <c r="I98" s="74"/>
      <c r="J98" s="54"/>
      <c r="K98" s="68"/>
    </row>
    <row r="99" spans="1:11" ht="12" customHeight="1" x14ac:dyDescent="0.2">
      <c r="A99" s="107" t="s">
        <v>196</v>
      </c>
    </row>
    <row r="100" spans="1:11" ht="12" customHeight="1" x14ac:dyDescent="0.2">
      <c r="A100" s="102" t="s">
        <v>186</v>
      </c>
    </row>
    <row r="101" spans="1:11" s="69" customFormat="1" ht="12" customHeight="1" x14ac:dyDescent="0.2">
      <c r="A101" s="67"/>
      <c r="B101" s="54"/>
      <c r="C101" s="54"/>
      <c r="D101" s="54"/>
      <c r="E101" s="54"/>
      <c r="F101" s="74"/>
      <c r="G101" s="54"/>
      <c r="H101" s="54"/>
      <c r="I101" s="74"/>
      <c r="J101" s="54"/>
      <c r="K101" s="68"/>
    </row>
    <row r="102" spans="1:11" ht="12" customHeight="1" x14ac:dyDescent="0.2">
      <c r="B102" s="55"/>
    </row>
    <row r="103" spans="1:11" s="89" customFormat="1" ht="12.75" customHeight="1" x14ac:dyDescent="0.2">
      <c r="B103" s="54"/>
      <c r="C103" s="54"/>
      <c r="D103" s="54"/>
      <c r="E103" s="54"/>
      <c r="F103" s="74"/>
      <c r="G103" s="54"/>
      <c r="H103" s="54"/>
      <c r="I103" s="74"/>
      <c r="J103" s="54"/>
      <c r="K103" s="33"/>
    </row>
    <row r="104" spans="1:11" s="89" customFormat="1" ht="12.75" customHeight="1" x14ac:dyDescent="0.2">
      <c r="B104" s="55"/>
      <c r="C104" s="55"/>
      <c r="D104" s="55"/>
      <c r="E104" s="55"/>
      <c r="F104" s="64"/>
      <c r="G104" s="55"/>
      <c r="H104" s="55"/>
      <c r="I104" s="55"/>
      <c r="J104" s="55"/>
      <c r="K104" s="41"/>
    </row>
    <row r="105" spans="1:11" s="89" customFormat="1" ht="12.75" customHeight="1" x14ac:dyDescent="0.2">
      <c r="B105" s="55"/>
      <c r="C105" s="55"/>
      <c r="D105" s="55"/>
      <c r="E105" s="55"/>
      <c r="F105" s="64"/>
      <c r="G105" s="55"/>
      <c r="H105" s="55"/>
      <c r="I105" s="64"/>
      <c r="J105" s="55"/>
      <c r="K105" s="41"/>
    </row>
    <row r="106" spans="1:11" s="89" customFormat="1" ht="12.75" customHeight="1" x14ac:dyDescent="0.2">
      <c r="B106" s="55"/>
      <c r="C106" s="55"/>
      <c r="D106" s="55"/>
      <c r="E106" s="55"/>
      <c r="F106" s="64"/>
      <c r="G106" s="55"/>
      <c r="H106" s="55"/>
      <c r="I106" s="64"/>
      <c r="J106" s="55"/>
      <c r="K106" s="41"/>
    </row>
    <row r="107" spans="1:11" s="89" customFormat="1" ht="12.75" customHeight="1" x14ac:dyDescent="0.2">
      <c r="B107" s="55"/>
      <c r="C107" s="55"/>
      <c r="D107" s="55"/>
      <c r="E107" s="55"/>
      <c r="F107" s="64"/>
      <c r="G107" s="55"/>
      <c r="H107" s="55"/>
      <c r="I107" s="64"/>
      <c r="J107" s="55"/>
      <c r="K107" s="41"/>
    </row>
    <row r="108" spans="1:11" s="89" customFormat="1" ht="12.75" customHeight="1" x14ac:dyDescent="0.2">
      <c r="B108" s="55"/>
      <c r="C108" s="55"/>
      <c r="D108" s="55"/>
      <c r="E108" s="55"/>
      <c r="F108" s="55"/>
      <c r="G108" s="55"/>
      <c r="H108" s="55"/>
      <c r="I108" s="55"/>
      <c r="J108" s="55"/>
      <c r="K108" s="41"/>
    </row>
    <row r="109" spans="1:11" s="89" customFormat="1" ht="12.75" customHeight="1" x14ac:dyDescent="0.2">
      <c r="A109" s="90"/>
      <c r="B109" s="55"/>
      <c r="C109" s="55"/>
      <c r="D109" s="55"/>
      <c r="E109" s="55"/>
      <c r="F109" s="55"/>
      <c r="G109" s="55"/>
      <c r="H109" s="55"/>
      <c r="I109" s="55"/>
      <c r="J109" s="55"/>
      <c r="K109" s="41"/>
    </row>
    <row r="110" spans="1:11" s="89" customFormat="1" ht="12.75" customHeight="1" x14ac:dyDescent="0.2">
      <c r="B110" s="55"/>
      <c r="C110" s="55"/>
      <c r="D110" s="55"/>
      <c r="E110" s="55"/>
      <c r="F110" s="64"/>
      <c r="G110" s="55"/>
      <c r="H110" s="55"/>
      <c r="I110" s="64"/>
      <c r="J110" s="55"/>
      <c r="K110" s="41"/>
    </row>
    <row r="111" spans="1:11" s="92" customFormat="1" ht="12.75" customHeight="1" x14ac:dyDescent="0.2">
      <c r="A111" s="89"/>
      <c r="B111" s="55"/>
      <c r="C111" s="55"/>
      <c r="D111" s="55"/>
      <c r="E111" s="55"/>
      <c r="F111" s="64"/>
      <c r="G111" s="55"/>
      <c r="H111" s="55"/>
      <c r="I111" s="64"/>
      <c r="J111" s="55"/>
      <c r="K111" s="41"/>
    </row>
    <row r="112" spans="1:11" x14ac:dyDescent="0.2">
      <c r="A112" s="89"/>
      <c r="B112" s="55"/>
      <c r="C112" s="55"/>
      <c r="D112" s="55"/>
      <c r="E112" s="55"/>
      <c r="F112" s="55"/>
      <c r="G112" s="55"/>
      <c r="H112" s="55"/>
      <c r="I112" s="55"/>
      <c r="J112" s="55"/>
      <c r="K112" s="41"/>
    </row>
    <row r="113" spans="1:11" s="93" customFormat="1" x14ac:dyDescent="0.2">
      <c r="A113" s="89"/>
      <c r="B113" s="55"/>
      <c r="C113" s="55"/>
      <c r="D113" s="55"/>
      <c r="E113" s="55"/>
      <c r="F113" s="55"/>
      <c r="G113" s="55"/>
      <c r="H113" s="55"/>
      <c r="I113" s="55"/>
      <c r="J113" s="55"/>
      <c r="K113" s="41"/>
    </row>
    <row r="114" spans="1:11" x14ac:dyDescent="0.2">
      <c r="A114" s="89"/>
      <c r="B114" s="55"/>
      <c r="C114" s="55"/>
      <c r="D114" s="55"/>
      <c r="E114" s="55"/>
      <c r="F114" s="55"/>
      <c r="G114" s="55"/>
      <c r="H114" s="55"/>
      <c r="I114" s="55"/>
      <c r="J114" s="55"/>
      <c r="K114" s="41"/>
    </row>
    <row r="116" spans="1:11" s="93" customFormat="1" x14ac:dyDescent="0.2">
      <c r="B116" s="94"/>
      <c r="C116" s="95"/>
      <c r="D116" s="95"/>
      <c r="E116" s="95"/>
      <c r="F116" s="97"/>
      <c r="G116" s="95"/>
      <c r="H116" s="95"/>
      <c r="I116" s="95"/>
      <c r="J116" s="95"/>
      <c r="K116" s="96"/>
    </row>
  </sheetData>
  <phoneticPr fontId="0" type="noConversion"/>
  <printOptions horizontalCentered="1"/>
  <pageMargins left="0.28999999999999998" right="0.34" top="0.9" bottom="0.19685039370078741" header="0.45" footer="0.19"/>
  <pageSetup paperSize="9" scale="90" orientation="landscape" horizontalDpi="4294967292" verticalDpi="300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U75"/>
  <sheetViews>
    <sheetView zoomScaleNormal="100" workbookViewId="0">
      <pane xSplit="1" ySplit="4" topLeftCell="B5" activePane="bottomRight" state="frozenSplit"/>
      <selection pane="topRight" activeCell="E62" sqref="E62"/>
      <selection pane="bottomLeft" activeCell="A53" sqref="A53"/>
      <selection pane="bottomRight" activeCell="B5" sqref="B5"/>
    </sheetView>
  </sheetViews>
  <sheetFormatPr baseColWidth="10" defaultRowHeight="12.75" x14ac:dyDescent="0.2"/>
  <cols>
    <col min="1" max="1" width="41.28515625" style="113" customWidth="1"/>
    <col min="2" max="5" width="11.5703125" style="110" customWidth="1"/>
    <col min="6" max="6" width="11.5703125" style="111" customWidth="1"/>
    <col min="7" max="8" width="11.5703125" style="110" customWidth="1"/>
    <col min="9" max="9" width="11.5703125" style="111" customWidth="1"/>
    <col min="10" max="10" width="11.5703125" style="110" customWidth="1"/>
    <col min="11" max="11" width="11.5703125" style="112" customWidth="1"/>
    <col min="12" max="16384" width="11.42578125" style="113"/>
  </cols>
  <sheetData>
    <row r="1" spans="1:11" x14ac:dyDescent="0.2">
      <c r="A1" s="109" t="s">
        <v>197</v>
      </c>
    </row>
    <row r="2" spans="1:11" x14ac:dyDescent="0.2">
      <c r="A2" s="113" t="s">
        <v>211</v>
      </c>
    </row>
    <row r="3" spans="1:11" x14ac:dyDescent="0.2">
      <c r="A3" s="114"/>
    </row>
    <row r="4" spans="1:11" s="117" customFormat="1" x14ac:dyDescent="0.2">
      <c r="A4" s="115"/>
      <c r="B4" s="110" t="s">
        <v>3</v>
      </c>
      <c r="C4" s="110" t="s">
        <v>4</v>
      </c>
      <c r="D4" s="110" t="s">
        <v>5</v>
      </c>
      <c r="E4" s="110" t="s">
        <v>6</v>
      </c>
      <c r="F4" s="116" t="s">
        <v>7</v>
      </c>
      <c r="G4" s="110" t="s">
        <v>8</v>
      </c>
      <c r="H4" s="110" t="s">
        <v>9</v>
      </c>
      <c r="I4" s="116" t="s">
        <v>198</v>
      </c>
      <c r="J4" s="110" t="s">
        <v>11</v>
      </c>
      <c r="K4" s="112" t="s">
        <v>12</v>
      </c>
    </row>
    <row r="5" spans="1:11" x14ac:dyDescent="0.2">
      <c r="C5" s="118"/>
      <c r="D5" s="119"/>
      <c r="E5" s="118"/>
      <c r="F5" s="120"/>
      <c r="G5" s="118"/>
      <c r="H5" s="118"/>
      <c r="I5" s="118"/>
      <c r="J5" s="118"/>
    </row>
    <row r="6" spans="1:11" ht="15.75" x14ac:dyDescent="0.25">
      <c r="A6" s="121" t="s">
        <v>42</v>
      </c>
      <c r="D6" s="119"/>
    </row>
    <row r="7" spans="1:11" x14ac:dyDescent="0.2">
      <c r="D7" s="119"/>
    </row>
    <row r="8" spans="1:11" x14ac:dyDescent="0.2">
      <c r="A8" s="109" t="s">
        <v>13</v>
      </c>
    </row>
    <row r="9" spans="1:11" x14ac:dyDescent="0.2">
      <c r="D9" s="119"/>
    </row>
    <row r="10" spans="1:11" x14ac:dyDescent="0.2">
      <c r="A10" s="113" t="s">
        <v>72</v>
      </c>
      <c r="B10" s="119">
        <v>78.533254499999998</v>
      </c>
      <c r="C10" s="119">
        <v>64.78</v>
      </c>
      <c r="D10" s="119">
        <v>193.406125</v>
      </c>
      <c r="E10" s="119">
        <v>83.01</v>
      </c>
      <c r="F10" s="122">
        <v>174.35889599999999</v>
      </c>
      <c r="G10" s="119">
        <v>8.92</v>
      </c>
      <c r="H10" s="119">
        <v>159.87799999999999</v>
      </c>
      <c r="I10" s="122">
        <v>85.695070830000006</v>
      </c>
      <c r="J10" s="119">
        <v>274.83067361000002</v>
      </c>
      <c r="K10" s="123">
        <f t="shared" ref="K10:K16" si="0">SUM(B10:J10)</f>
        <v>1123.4120199399999</v>
      </c>
    </row>
    <row r="11" spans="1:11" x14ac:dyDescent="0.2">
      <c r="A11" s="114" t="s">
        <v>67</v>
      </c>
      <c r="B11" s="119">
        <v>1.54761948</v>
      </c>
      <c r="C11" s="119">
        <v>0.11600000000000001</v>
      </c>
      <c r="D11" s="119"/>
      <c r="E11" s="119"/>
      <c r="F11" s="122"/>
      <c r="G11" s="119"/>
      <c r="H11" s="119"/>
      <c r="I11" s="122"/>
      <c r="J11" s="119">
        <v>18.625845000000002</v>
      </c>
      <c r="K11" s="123">
        <f t="shared" si="0"/>
        <v>20.289464480000003</v>
      </c>
    </row>
    <row r="12" spans="1:11" x14ac:dyDescent="0.2">
      <c r="A12" s="113" t="s">
        <v>104</v>
      </c>
      <c r="B12" s="119"/>
      <c r="C12" s="119">
        <v>8.6460000000000008</v>
      </c>
      <c r="D12" s="119">
        <v>20.107527999999999</v>
      </c>
      <c r="E12" s="119">
        <v>5.08</v>
      </c>
      <c r="F12" s="122">
        <v>50.212317000000006</v>
      </c>
      <c r="G12" s="119">
        <v>247.77</v>
      </c>
      <c r="H12" s="119"/>
      <c r="I12" s="122">
        <v>2.49992079</v>
      </c>
      <c r="J12" s="119"/>
      <c r="K12" s="123">
        <f t="shared" si="0"/>
        <v>334.31576579</v>
      </c>
    </row>
    <row r="13" spans="1:11" x14ac:dyDescent="0.2">
      <c r="A13" s="113" t="s">
        <v>109</v>
      </c>
      <c r="B13" s="119">
        <v>7.4138015599999996</v>
      </c>
      <c r="C13" s="119">
        <v>10.4</v>
      </c>
      <c r="D13" s="119">
        <v>105.94809100000001</v>
      </c>
      <c r="E13" s="119">
        <v>49.55</v>
      </c>
      <c r="F13" s="122">
        <v>0.14021</v>
      </c>
      <c r="G13" s="119">
        <v>3.33</v>
      </c>
      <c r="H13" s="119">
        <v>21.821999999999999</v>
      </c>
      <c r="I13" s="122"/>
      <c r="J13" s="119">
        <v>7.44443169</v>
      </c>
      <c r="K13" s="123">
        <f t="shared" si="0"/>
        <v>206.04853424999999</v>
      </c>
    </row>
    <row r="14" spans="1:11" x14ac:dyDescent="0.2">
      <c r="A14" s="124" t="s">
        <v>69</v>
      </c>
      <c r="B14" s="119">
        <v>4.0926770000000001</v>
      </c>
      <c r="C14" s="119"/>
      <c r="E14" s="119">
        <v>17.72</v>
      </c>
      <c r="F14" s="122"/>
      <c r="G14" s="119">
        <v>6.39</v>
      </c>
      <c r="H14" s="119">
        <v>12.452</v>
      </c>
      <c r="I14" s="122">
        <v>3.9271611499999999</v>
      </c>
      <c r="J14" s="119">
        <v>10.224940650000001</v>
      </c>
      <c r="K14" s="123">
        <f t="shared" si="0"/>
        <v>54.806778799999996</v>
      </c>
    </row>
    <row r="15" spans="1:11" x14ac:dyDescent="0.2">
      <c r="A15" s="113" t="s">
        <v>70</v>
      </c>
      <c r="B15" s="119"/>
      <c r="C15" s="119"/>
      <c r="D15" s="119"/>
      <c r="E15" s="119"/>
      <c r="F15" s="122"/>
      <c r="G15" s="119"/>
      <c r="H15" s="119"/>
      <c r="I15" s="122"/>
      <c r="J15" s="119"/>
      <c r="K15" s="123">
        <f t="shared" si="0"/>
        <v>0</v>
      </c>
    </row>
    <row r="16" spans="1:11" x14ac:dyDescent="0.2">
      <c r="A16" s="113" t="s">
        <v>71</v>
      </c>
      <c r="B16" s="119">
        <v>1.2215050000000001</v>
      </c>
      <c r="C16" s="119">
        <v>13.21</v>
      </c>
      <c r="D16" s="119">
        <v>51.172234000000003</v>
      </c>
      <c r="E16" s="119">
        <v>44.1</v>
      </c>
      <c r="F16" s="125">
        <v>8.7724630000000001</v>
      </c>
      <c r="G16" s="119">
        <v>21.14</v>
      </c>
      <c r="H16" s="119">
        <v>12.521000000000001</v>
      </c>
      <c r="I16" s="122">
        <v>24.761197410000001</v>
      </c>
      <c r="J16" s="119">
        <v>50.931836769999997</v>
      </c>
      <c r="K16" s="123">
        <f t="shared" si="0"/>
        <v>227.83023617999999</v>
      </c>
    </row>
    <row r="17" spans="1:11" x14ac:dyDescent="0.2">
      <c r="B17" s="119"/>
      <c r="C17" s="119"/>
      <c r="D17" s="119"/>
      <c r="E17" s="119"/>
      <c r="F17" s="122"/>
      <c r="G17" s="119"/>
      <c r="H17" s="119"/>
      <c r="I17" s="122"/>
      <c r="J17" s="119"/>
      <c r="K17" s="123"/>
    </row>
    <row r="18" spans="1:11" s="126" customFormat="1" x14ac:dyDescent="0.2">
      <c r="A18" s="126" t="s">
        <v>12</v>
      </c>
      <c r="B18" s="127">
        <f>SUM(B10:B16)</f>
        <v>92.808857539999977</v>
      </c>
      <c r="C18" s="127">
        <f t="shared" ref="C18:J18" si="1">SUM(C10:C16)</f>
        <v>97.152000000000015</v>
      </c>
      <c r="D18" s="127">
        <f t="shared" si="1"/>
        <v>370.63397800000001</v>
      </c>
      <c r="E18" s="127">
        <f t="shared" si="1"/>
        <v>199.45999999999998</v>
      </c>
      <c r="F18" s="128">
        <f t="shared" si="1"/>
        <v>233.48388599999998</v>
      </c>
      <c r="G18" s="127">
        <f t="shared" si="1"/>
        <v>287.54999999999995</v>
      </c>
      <c r="H18" s="127">
        <f t="shared" si="1"/>
        <v>206.673</v>
      </c>
      <c r="I18" s="128">
        <f t="shared" si="1"/>
        <v>116.88335018000001</v>
      </c>
      <c r="J18" s="127">
        <f t="shared" si="1"/>
        <v>362.05772772000006</v>
      </c>
      <c r="K18" s="123">
        <f>SUM(B18:J18)</f>
        <v>1966.70279944</v>
      </c>
    </row>
    <row r="19" spans="1:11" x14ac:dyDescent="0.2">
      <c r="B19" s="119"/>
      <c r="C19" s="119"/>
      <c r="D19" s="119"/>
      <c r="E19" s="119"/>
      <c r="F19" s="122"/>
      <c r="G19" s="119"/>
      <c r="H19" s="119"/>
      <c r="I19" s="122"/>
      <c r="J19" s="119"/>
      <c r="K19" s="123"/>
    </row>
    <row r="20" spans="1:11" x14ac:dyDescent="0.2">
      <c r="B20" s="119"/>
      <c r="C20" s="119"/>
      <c r="D20" s="119"/>
      <c r="E20" s="119"/>
      <c r="F20" s="122"/>
      <c r="G20" s="119"/>
      <c r="H20" s="119"/>
      <c r="I20" s="122"/>
      <c r="J20" s="119"/>
      <c r="K20" s="123"/>
    </row>
    <row r="21" spans="1:11" x14ac:dyDescent="0.2">
      <c r="A21" s="109" t="s">
        <v>14</v>
      </c>
      <c r="B21" s="119"/>
      <c r="C21" s="119"/>
      <c r="D21" s="119"/>
      <c r="E21" s="119"/>
      <c r="F21" s="122"/>
      <c r="G21" s="119"/>
      <c r="H21" s="119"/>
      <c r="I21" s="122"/>
      <c r="J21" s="119"/>
      <c r="K21" s="123"/>
    </row>
    <row r="22" spans="1:11" x14ac:dyDescent="0.2">
      <c r="B22" s="119"/>
      <c r="C22" s="119"/>
      <c r="D22" s="119"/>
      <c r="E22" s="119"/>
      <c r="F22" s="122"/>
      <c r="G22" s="119"/>
      <c r="H22" s="119"/>
      <c r="I22" s="122"/>
      <c r="J22" s="119"/>
      <c r="K22" s="123"/>
    </row>
    <row r="23" spans="1:11" x14ac:dyDescent="0.2">
      <c r="A23" s="113" t="s">
        <v>72</v>
      </c>
      <c r="B23" s="119">
        <v>12.39160725</v>
      </c>
      <c r="C23" s="119"/>
      <c r="D23" s="119">
        <v>7.7524230000000003</v>
      </c>
      <c r="E23" s="119"/>
      <c r="F23" s="122">
        <v>37.864488000000001</v>
      </c>
      <c r="G23" s="119">
        <v>36.46</v>
      </c>
      <c r="H23" s="119"/>
      <c r="I23" s="122">
        <v>9.7829197800000003</v>
      </c>
      <c r="J23" s="119">
        <v>40.122516179999998</v>
      </c>
      <c r="K23" s="123">
        <f t="shared" ref="K23:K28" si="2">SUM(B23:J23)</f>
        <v>144.37395420999999</v>
      </c>
    </row>
    <row r="24" spans="1:11" x14ac:dyDescent="0.2">
      <c r="A24" s="113" t="s">
        <v>104</v>
      </c>
      <c r="B24" s="119"/>
      <c r="C24" s="119"/>
      <c r="D24" s="119">
        <v>1.3369580000000001</v>
      </c>
      <c r="E24" s="119"/>
      <c r="F24" s="122"/>
      <c r="G24" s="119">
        <v>15.33</v>
      </c>
      <c r="H24" s="119"/>
      <c r="I24" s="122"/>
      <c r="J24" s="119"/>
      <c r="K24" s="123">
        <f t="shared" si="2"/>
        <v>16.666958000000001</v>
      </c>
    </row>
    <row r="25" spans="1:11" x14ac:dyDescent="0.2">
      <c r="A25" s="113" t="s">
        <v>109</v>
      </c>
      <c r="B25" s="119"/>
      <c r="C25" s="119"/>
      <c r="D25" s="119">
        <v>74.564419999999998</v>
      </c>
      <c r="E25" s="119">
        <v>47.73</v>
      </c>
      <c r="F25" s="122">
        <v>2.3262550000000002</v>
      </c>
      <c r="G25" s="119">
        <v>60.7</v>
      </c>
      <c r="H25" s="119">
        <v>13.006</v>
      </c>
      <c r="I25" s="122">
        <v>14.50214899</v>
      </c>
      <c r="J25" s="119">
        <v>99.409467910000004</v>
      </c>
      <c r="K25" s="123">
        <f t="shared" si="2"/>
        <v>312.23829189999998</v>
      </c>
    </row>
    <row r="26" spans="1:11" x14ac:dyDescent="0.2">
      <c r="A26" s="124" t="s">
        <v>69</v>
      </c>
      <c r="B26" s="119">
        <v>1.7919290000000001</v>
      </c>
      <c r="C26" s="119">
        <v>24.22</v>
      </c>
      <c r="D26" s="129">
        <v>70.857775000000004</v>
      </c>
      <c r="E26" s="119">
        <v>1.66</v>
      </c>
      <c r="F26" s="122"/>
      <c r="G26" s="119">
        <v>2.39</v>
      </c>
      <c r="H26" s="119">
        <v>25.550999999999998</v>
      </c>
      <c r="I26" s="122">
        <v>7.33591076</v>
      </c>
      <c r="J26" s="119">
        <v>73.862055150000003</v>
      </c>
      <c r="K26" s="123">
        <f t="shared" si="2"/>
        <v>207.66866991000001</v>
      </c>
    </row>
    <row r="27" spans="1:11" x14ac:dyDescent="0.2">
      <c r="A27" s="113" t="s">
        <v>70</v>
      </c>
      <c r="B27" s="119"/>
      <c r="C27" s="119"/>
      <c r="D27" s="119"/>
      <c r="E27" s="119"/>
      <c r="F27" s="122"/>
      <c r="G27" s="119"/>
      <c r="H27" s="119"/>
      <c r="I27" s="122"/>
      <c r="J27" s="119"/>
      <c r="K27" s="123">
        <f t="shared" si="2"/>
        <v>0</v>
      </c>
    </row>
    <row r="28" spans="1:11" x14ac:dyDescent="0.2">
      <c r="A28" s="113" t="s">
        <v>71</v>
      </c>
      <c r="B28" s="119"/>
      <c r="C28" s="119"/>
      <c r="D28" s="119">
        <v>6.0753630000000003</v>
      </c>
      <c r="E28" s="119"/>
      <c r="F28" s="122"/>
      <c r="G28" s="119">
        <v>16.82</v>
      </c>
      <c r="H28" s="119"/>
      <c r="I28" s="122"/>
      <c r="J28" s="119">
        <v>7.3944531800000002</v>
      </c>
      <c r="K28" s="123">
        <f t="shared" si="2"/>
        <v>30.289816179999999</v>
      </c>
    </row>
    <row r="29" spans="1:11" x14ac:dyDescent="0.2">
      <c r="B29" s="119"/>
      <c r="C29" s="119"/>
      <c r="D29" s="119"/>
      <c r="E29" s="119"/>
      <c r="F29" s="122"/>
      <c r="G29" s="119"/>
      <c r="H29" s="119"/>
      <c r="I29" s="122"/>
      <c r="J29" s="119"/>
      <c r="K29" s="123"/>
    </row>
    <row r="30" spans="1:11" s="126" customFormat="1" x14ac:dyDescent="0.2">
      <c r="A30" s="126" t="s">
        <v>12</v>
      </c>
      <c r="B30" s="119">
        <f t="shared" ref="B30:J30" si="3">SUM(B23:B28)</f>
        <v>14.18353625</v>
      </c>
      <c r="C30" s="127">
        <f t="shared" si="3"/>
        <v>24.22</v>
      </c>
      <c r="D30" s="127">
        <f t="shared" si="3"/>
        <v>160.586939</v>
      </c>
      <c r="E30" s="127">
        <f t="shared" si="3"/>
        <v>49.389999999999993</v>
      </c>
      <c r="F30" s="128">
        <f t="shared" si="3"/>
        <v>40.190743000000005</v>
      </c>
      <c r="G30" s="127">
        <f t="shared" si="3"/>
        <v>131.70000000000002</v>
      </c>
      <c r="H30" s="127">
        <f t="shared" si="3"/>
        <v>38.557000000000002</v>
      </c>
      <c r="I30" s="128">
        <f t="shared" si="3"/>
        <v>31.620979530000003</v>
      </c>
      <c r="J30" s="127">
        <f t="shared" si="3"/>
        <v>220.78849242000001</v>
      </c>
      <c r="K30" s="123">
        <f>SUM(B30:J30)</f>
        <v>711.23769020000009</v>
      </c>
    </row>
    <row r="31" spans="1:11" s="126" customFormat="1" x14ac:dyDescent="0.2">
      <c r="B31" s="119"/>
      <c r="C31" s="127"/>
      <c r="D31" s="127"/>
      <c r="E31" s="127"/>
      <c r="F31" s="128"/>
      <c r="G31" s="127"/>
      <c r="H31" s="127"/>
      <c r="I31" s="128"/>
      <c r="J31" s="127"/>
      <c r="K31" s="130"/>
    </row>
    <row r="32" spans="1:11" s="109" customFormat="1" x14ac:dyDescent="0.2">
      <c r="A32" s="109" t="s">
        <v>43</v>
      </c>
      <c r="B32" s="131">
        <f t="shared" ref="B32:J32" si="4">B18+B30</f>
        <v>106.99239378999998</v>
      </c>
      <c r="C32" s="131">
        <f t="shared" si="4"/>
        <v>121.37200000000001</v>
      </c>
      <c r="D32" s="131">
        <f t="shared" si="4"/>
        <v>531.22091699999999</v>
      </c>
      <c r="E32" s="131">
        <f t="shared" si="4"/>
        <v>248.84999999999997</v>
      </c>
      <c r="F32" s="132">
        <f t="shared" si="4"/>
        <v>273.67462899999998</v>
      </c>
      <c r="G32" s="131">
        <f t="shared" si="4"/>
        <v>419.25</v>
      </c>
      <c r="H32" s="131">
        <f t="shared" si="4"/>
        <v>245.23000000000002</v>
      </c>
      <c r="I32" s="132">
        <f t="shared" si="4"/>
        <v>148.50432971000001</v>
      </c>
      <c r="J32" s="131">
        <f t="shared" si="4"/>
        <v>582.84622014000001</v>
      </c>
      <c r="K32" s="123">
        <f>SUM(B32:J32)</f>
        <v>2677.9404896400001</v>
      </c>
    </row>
    <row r="33" spans="1:255" s="109" customFormat="1" x14ac:dyDescent="0.2">
      <c r="B33" s="131"/>
      <c r="C33" s="131"/>
      <c r="D33" s="131"/>
      <c r="E33" s="131"/>
      <c r="F33" s="132"/>
      <c r="G33" s="131"/>
      <c r="H33" s="131"/>
      <c r="I33" s="132"/>
      <c r="J33" s="131"/>
      <c r="K33" s="123"/>
    </row>
    <row r="34" spans="1:255" s="126" customFormat="1" ht="14.25" x14ac:dyDescent="0.2">
      <c r="A34" s="109" t="s">
        <v>199</v>
      </c>
      <c r="B34" s="119"/>
      <c r="C34" s="127">
        <v>10.119999999999999</v>
      </c>
      <c r="D34" s="127"/>
      <c r="E34" s="127">
        <v>39.5</v>
      </c>
      <c r="F34" s="128">
        <v>1.1367989999999999</v>
      </c>
      <c r="G34" s="127">
        <v>36.799999999999997</v>
      </c>
      <c r="H34" s="127">
        <v>17.457000000000001</v>
      </c>
      <c r="I34" s="128"/>
      <c r="J34" s="127">
        <v>34.914748850000002</v>
      </c>
      <c r="K34" s="123">
        <f>SUM(B34:J34)</f>
        <v>139.92854785</v>
      </c>
    </row>
    <row r="35" spans="1:255" x14ac:dyDescent="0.2">
      <c r="B35" s="119"/>
      <c r="C35" s="119"/>
      <c r="D35" s="119"/>
      <c r="E35" s="119"/>
      <c r="F35" s="122"/>
      <c r="G35" s="119"/>
      <c r="H35" s="119"/>
      <c r="I35" s="122"/>
      <c r="J35" s="119"/>
      <c r="K35" s="133"/>
      <c r="L35" s="133"/>
      <c r="M35" s="133"/>
      <c r="N35" s="133"/>
      <c r="O35" s="133"/>
      <c r="P35" s="133"/>
      <c r="Q35" s="133"/>
      <c r="R35" s="133"/>
      <c r="S35" s="133"/>
      <c r="T35" s="133"/>
      <c r="U35" s="133"/>
      <c r="V35" s="133"/>
      <c r="W35" s="133"/>
      <c r="X35" s="133"/>
      <c r="Y35" s="133"/>
      <c r="Z35" s="133"/>
      <c r="AA35" s="133"/>
      <c r="AB35" s="133"/>
      <c r="AC35" s="133"/>
      <c r="AD35" s="133"/>
      <c r="AE35" s="133"/>
      <c r="AF35" s="133"/>
      <c r="AG35" s="133"/>
      <c r="AH35" s="133"/>
      <c r="AI35" s="133"/>
      <c r="AJ35" s="133"/>
      <c r="AK35" s="133"/>
      <c r="AL35" s="133"/>
      <c r="AM35" s="133"/>
      <c r="AN35" s="133"/>
      <c r="AO35" s="133"/>
      <c r="AP35" s="133"/>
      <c r="AQ35" s="133"/>
      <c r="AR35" s="133"/>
      <c r="AS35" s="133"/>
      <c r="AT35" s="133"/>
      <c r="AU35" s="133"/>
      <c r="AV35" s="133"/>
      <c r="AW35" s="133"/>
      <c r="AX35" s="133"/>
      <c r="AY35" s="133"/>
      <c r="AZ35" s="133"/>
      <c r="BA35" s="133"/>
      <c r="BB35" s="133"/>
      <c r="BC35" s="133"/>
      <c r="BD35" s="133"/>
      <c r="BE35" s="133"/>
      <c r="BF35" s="133"/>
      <c r="BG35" s="133"/>
      <c r="BH35" s="133"/>
      <c r="BI35" s="133"/>
      <c r="BJ35" s="133"/>
      <c r="BK35" s="133"/>
      <c r="BL35" s="133"/>
      <c r="BM35" s="133"/>
      <c r="BN35" s="133"/>
      <c r="BO35" s="133"/>
      <c r="BP35" s="133"/>
      <c r="BQ35" s="133"/>
      <c r="BR35" s="133"/>
      <c r="BS35" s="133"/>
      <c r="BT35" s="133"/>
      <c r="BU35" s="133"/>
      <c r="BV35" s="133"/>
      <c r="BW35" s="133"/>
      <c r="BX35" s="133"/>
      <c r="BY35" s="133"/>
      <c r="BZ35" s="133"/>
      <c r="CA35" s="133"/>
      <c r="CB35" s="133"/>
      <c r="CC35" s="133"/>
      <c r="CD35" s="133"/>
      <c r="CE35" s="133"/>
      <c r="CF35" s="133"/>
      <c r="CG35" s="133"/>
      <c r="CH35" s="133"/>
      <c r="CI35" s="133"/>
      <c r="CJ35" s="133"/>
      <c r="CK35" s="133"/>
      <c r="CL35" s="133"/>
      <c r="CM35" s="133"/>
      <c r="CN35" s="133"/>
      <c r="CO35" s="133"/>
      <c r="CP35" s="133"/>
      <c r="CQ35" s="133"/>
      <c r="CR35" s="133"/>
      <c r="CS35" s="133"/>
      <c r="CT35" s="133"/>
      <c r="CU35" s="133"/>
      <c r="CV35" s="133"/>
      <c r="CW35" s="133"/>
      <c r="CX35" s="133"/>
      <c r="CY35" s="133"/>
      <c r="CZ35" s="133"/>
      <c r="DA35" s="133"/>
      <c r="DB35" s="133"/>
      <c r="DC35" s="133"/>
      <c r="DD35" s="133"/>
      <c r="DE35" s="133"/>
      <c r="DF35" s="133"/>
      <c r="DG35" s="133"/>
      <c r="DH35" s="133"/>
      <c r="DI35" s="133"/>
      <c r="DJ35" s="133"/>
      <c r="DK35" s="133"/>
      <c r="DL35" s="133"/>
      <c r="DM35" s="133"/>
      <c r="DN35" s="133"/>
      <c r="DO35" s="133"/>
      <c r="DP35" s="133"/>
      <c r="DQ35" s="133"/>
      <c r="DR35" s="133"/>
      <c r="DS35" s="133"/>
      <c r="DT35" s="133"/>
      <c r="DU35" s="133"/>
      <c r="DV35" s="133"/>
      <c r="DW35" s="133"/>
      <c r="DX35" s="133"/>
      <c r="DY35" s="133"/>
      <c r="DZ35" s="133"/>
      <c r="EA35" s="133"/>
      <c r="EB35" s="133"/>
      <c r="EC35" s="133"/>
      <c r="ED35" s="133"/>
      <c r="EE35" s="133"/>
      <c r="EF35" s="133"/>
      <c r="EG35" s="133"/>
      <c r="EH35" s="133"/>
      <c r="EI35" s="133"/>
      <c r="EJ35" s="133"/>
      <c r="EK35" s="133"/>
      <c r="EL35" s="133"/>
      <c r="EM35" s="133"/>
      <c r="EN35" s="133"/>
      <c r="EO35" s="133"/>
      <c r="EP35" s="133"/>
      <c r="EQ35" s="133"/>
      <c r="ER35" s="133"/>
      <c r="ES35" s="133"/>
      <c r="ET35" s="133"/>
      <c r="EU35" s="133"/>
      <c r="EV35" s="133"/>
      <c r="EW35" s="133"/>
      <c r="EX35" s="133"/>
      <c r="EY35" s="133"/>
      <c r="EZ35" s="133"/>
      <c r="FA35" s="133"/>
      <c r="FB35" s="133"/>
      <c r="FC35" s="133"/>
      <c r="FD35" s="133"/>
      <c r="FE35" s="133"/>
      <c r="FF35" s="133"/>
      <c r="FG35" s="133"/>
      <c r="FH35" s="133"/>
      <c r="FI35" s="133"/>
      <c r="FJ35" s="133"/>
      <c r="FK35" s="133"/>
      <c r="FL35" s="133"/>
      <c r="FM35" s="133"/>
      <c r="FN35" s="133"/>
      <c r="FO35" s="133"/>
      <c r="FP35" s="133"/>
      <c r="FQ35" s="133"/>
      <c r="FR35" s="133"/>
      <c r="FS35" s="133"/>
      <c r="FT35" s="133"/>
      <c r="FU35" s="133"/>
      <c r="FV35" s="133"/>
      <c r="FW35" s="133"/>
      <c r="FX35" s="133"/>
      <c r="FY35" s="133"/>
      <c r="FZ35" s="133"/>
      <c r="GA35" s="133"/>
      <c r="GB35" s="133"/>
      <c r="GC35" s="133"/>
      <c r="GD35" s="133"/>
      <c r="GE35" s="133"/>
      <c r="GF35" s="133"/>
      <c r="GG35" s="133"/>
      <c r="GH35" s="133"/>
      <c r="GI35" s="133"/>
      <c r="GJ35" s="133"/>
      <c r="GK35" s="133"/>
      <c r="GL35" s="133"/>
      <c r="GM35" s="133"/>
      <c r="GN35" s="133"/>
      <c r="GO35" s="133"/>
      <c r="GP35" s="133"/>
      <c r="GQ35" s="133"/>
      <c r="GR35" s="133"/>
      <c r="GS35" s="133"/>
      <c r="GT35" s="133"/>
      <c r="GU35" s="133"/>
      <c r="GV35" s="133"/>
      <c r="GW35" s="133"/>
      <c r="GX35" s="133"/>
      <c r="GY35" s="133"/>
      <c r="GZ35" s="133"/>
      <c r="HA35" s="133"/>
      <c r="HB35" s="133"/>
      <c r="HC35" s="133"/>
      <c r="HD35" s="133"/>
      <c r="HE35" s="133"/>
      <c r="HF35" s="133"/>
      <c r="HG35" s="133"/>
      <c r="HH35" s="133"/>
      <c r="HI35" s="133"/>
      <c r="HJ35" s="133"/>
      <c r="HK35" s="133"/>
      <c r="HL35" s="133"/>
      <c r="HM35" s="133"/>
      <c r="HN35" s="133"/>
      <c r="HO35" s="133"/>
      <c r="HP35" s="133"/>
      <c r="HQ35" s="133"/>
      <c r="HR35" s="133"/>
      <c r="HS35" s="133"/>
      <c r="HT35" s="133"/>
      <c r="HU35" s="133"/>
      <c r="HV35" s="133"/>
      <c r="HW35" s="133"/>
      <c r="HX35" s="133"/>
      <c r="HY35" s="133"/>
      <c r="HZ35" s="133"/>
      <c r="IA35" s="133"/>
      <c r="IB35" s="133"/>
      <c r="IC35" s="133"/>
      <c r="ID35" s="133"/>
      <c r="IE35" s="133"/>
      <c r="IF35" s="133"/>
      <c r="IG35" s="133"/>
      <c r="IH35" s="133"/>
      <c r="II35" s="133"/>
      <c r="IJ35" s="133"/>
      <c r="IK35" s="133"/>
      <c r="IL35" s="133"/>
      <c r="IM35" s="133"/>
      <c r="IN35" s="133"/>
      <c r="IO35" s="133"/>
      <c r="IP35" s="133"/>
      <c r="IQ35" s="133"/>
      <c r="IR35" s="133"/>
      <c r="IS35" s="133"/>
      <c r="IT35" s="133"/>
      <c r="IU35" s="133"/>
    </row>
    <row r="36" spans="1:255" ht="14.25" x14ac:dyDescent="0.2">
      <c r="A36" s="109" t="s">
        <v>200</v>
      </c>
      <c r="F36" s="110"/>
      <c r="I36" s="110"/>
      <c r="K36" s="110"/>
      <c r="L36" s="133"/>
      <c r="M36" s="133"/>
      <c r="N36" s="133"/>
      <c r="O36" s="133"/>
      <c r="P36" s="133"/>
      <c r="Q36" s="133"/>
      <c r="R36" s="133"/>
      <c r="S36" s="133"/>
      <c r="T36" s="133"/>
      <c r="U36" s="133"/>
      <c r="V36" s="133"/>
      <c r="W36" s="133"/>
      <c r="X36" s="133"/>
      <c r="Y36" s="133"/>
      <c r="Z36" s="133"/>
      <c r="AA36" s="133"/>
      <c r="AB36" s="133"/>
      <c r="AC36" s="133"/>
      <c r="AD36" s="133"/>
      <c r="AE36" s="133"/>
      <c r="AF36" s="133"/>
      <c r="AG36" s="133"/>
      <c r="AH36" s="133"/>
      <c r="AI36" s="133"/>
      <c r="AJ36" s="133"/>
      <c r="AK36" s="133"/>
      <c r="AL36" s="133"/>
      <c r="AM36" s="133"/>
      <c r="AN36" s="133"/>
      <c r="AO36" s="133"/>
      <c r="AP36" s="133"/>
      <c r="AQ36" s="133"/>
      <c r="AR36" s="133"/>
      <c r="AS36" s="133"/>
      <c r="AT36" s="133"/>
      <c r="AU36" s="133"/>
      <c r="AV36" s="133"/>
      <c r="AW36" s="133"/>
      <c r="AX36" s="133"/>
      <c r="AY36" s="133"/>
      <c r="AZ36" s="133"/>
      <c r="BA36" s="133"/>
      <c r="BB36" s="133"/>
      <c r="BC36" s="133"/>
      <c r="BD36" s="133"/>
      <c r="BE36" s="133"/>
      <c r="BF36" s="133"/>
      <c r="BG36" s="133"/>
      <c r="BH36" s="133"/>
      <c r="BI36" s="133"/>
      <c r="BJ36" s="133"/>
      <c r="BK36" s="133"/>
      <c r="BL36" s="133"/>
      <c r="BM36" s="133"/>
      <c r="BN36" s="133"/>
      <c r="BO36" s="133"/>
      <c r="BP36" s="133"/>
      <c r="BQ36" s="133"/>
      <c r="BR36" s="133"/>
      <c r="BS36" s="133"/>
      <c r="BT36" s="133"/>
      <c r="BU36" s="133"/>
      <c r="BV36" s="133"/>
      <c r="BW36" s="133"/>
      <c r="BX36" s="133"/>
      <c r="BY36" s="133"/>
      <c r="BZ36" s="133"/>
      <c r="CA36" s="133"/>
      <c r="CB36" s="133"/>
      <c r="CC36" s="133"/>
      <c r="CD36" s="133"/>
      <c r="CE36" s="133"/>
      <c r="CF36" s="133"/>
      <c r="CG36" s="133"/>
      <c r="CH36" s="133"/>
      <c r="CI36" s="133"/>
      <c r="CJ36" s="133"/>
      <c r="CK36" s="133"/>
      <c r="CL36" s="133"/>
      <c r="CM36" s="133"/>
      <c r="CN36" s="133"/>
      <c r="CO36" s="133"/>
      <c r="CP36" s="133"/>
      <c r="CQ36" s="133"/>
      <c r="CR36" s="133"/>
      <c r="CS36" s="133"/>
      <c r="CT36" s="133"/>
      <c r="CU36" s="133"/>
      <c r="CV36" s="133"/>
      <c r="CW36" s="133"/>
      <c r="CX36" s="133"/>
      <c r="CY36" s="133"/>
      <c r="CZ36" s="133"/>
      <c r="DA36" s="133"/>
      <c r="DB36" s="133"/>
      <c r="DC36" s="133"/>
      <c r="DD36" s="133"/>
      <c r="DE36" s="133"/>
      <c r="DF36" s="133"/>
      <c r="DG36" s="133"/>
      <c r="DH36" s="133"/>
      <c r="DI36" s="133"/>
      <c r="DJ36" s="133"/>
      <c r="DK36" s="133"/>
      <c r="DL36" s="133"/>
      <c r="DM36" s="133"/>
      <c r="DN36" s="133"/>
      <c r="DO36" s="133"/>
      <c r="DP36" s="133"/>
      <c r="DQ36" s="133"/>
      <c r="DR36" s="133"/>
      <c r="DS36" s="133"/>
      <c r="DT36" s="133"/>
      <c r="DU36" s="133"/>
      <c r="DV36" s="133"/>
      <c r="DW36" s="133"/>
      <c r="DX36" s="133"/>
      <c r="DY36" s="133"/>
      <c r="DZ36" s="133"/>
      <c r="EA36" s="133"/>
      <c r="EB36" s="133"/>
      <c r="EC36" s="133"/>
      <c r="ED36" s="133"/>
      <c r="EE36" s="133"/>
      <c r="EF36" s="133"/>
      <c r="EG36" s="133"/>
      <c r="EH36" s="133"/>
      <c r="EI36" s="133"/>
      <c r="EJ36" s="133"/>
      <c r="EK36" s="133"/>
      <c r="EL36" s="133"/>
      <c r="EM36" s="133"/>
      <c r="EN36" s="133"/>
      <c r="EO36" s="133"/>
      <c r="EP36" s="133"/>
      <c r="EQ36" s="133"/>
      <c r="ER36" s="133"/>
      <c r="ES36" s="133"/>
      <c r="ET36" s="133"/>
      <c r="EU36" s="133"/>
      <c r="EV36" s="133"/>
      <c r="EW36" s="133"/>
      <c r="EX36" s="133"/>
      <c r="EY36" s="133"/>
      <c r="EZ36" s="133"/>
      <c r="FA36" s="133"/>
      <c r="FB36" s="133"/>
      <c r="FC36" s="133"/>
      <c r="FD36" s="133"/>
      <c r="FE36" s="133"/>
      <c r="FF36" s="133"/>
      <c r="FG36" s="133"/>
      <c r="FH36" s="133"/>
      <c r="FI36" s="133"/>
      <c r="FJ36" s="133"/>
      <c r="FK36" s="133"/>
      <c r="FL36" s="133"/>
      <c r="FM36" s="133"/>
      <c r="FN36" s="133"/>
      <c r="FO36" s="133"/>
      <c r="FP36" s="133"/>
      <c r="FQ36" s="133"/>
      <c r="FR36" s="133"/>
      <c r="FS36" s="133"/>
      <c r="FT36" s="133"/>
      <c r="FU36" s="133"/>
      <c r="FV36" s="133"/>
      <c r="FW36" s="133"/>
      <c r="FX36" s="133"/>
      <c r="FY36" s="133"/>
      <c r="FZ36" s="133"/>
      <c r="GA36" s="133"/>
      <c r="GB36" s="133"/>
      <c r="GC36" s="133"/>
      <c r="GD36" s="133"/>
      <c r="GE36" s="133"/>
      <c r="GF36" s="133"/>
      <c r="GG36" s="133"/>
      <c r="GH36" s="133"/>
      <c r="GI36" s="133"/>
      <c r="GJ36" s="133"/>
      <c r="GK36" s="133"/>
      <c r="GL36" s="133"/>
      <c r="GM36" s="133"/>
      <c r="GN36" s="133"/>
      <c r="GO36" s="133"/>
      <c r="GP36" s="133"/>
      <c r="GQ36" s="133"/>
      <c r="GR36" s="133"/>
      <c r="GS36" s="133"/>
      <c r="GT36" s="133"/>
      <c r="GU36" s="133"/>
      <c r="GV36" s="133"/>
      <c r="GW36" s="133"/>
      <c r="GX36" s="133"/>
      <c r="GY36" s="133"/>
      <c r="GZ36" s="133"/>
      <c r="HA36" s="133"/>
      <c r="HB36" s="133"/>
      <c r="HC36" s="133"/>
      <c r="HD36" s="133"/>
      <c r="HE36" s="133"/>
      <c r="HF36" s="133"/>
      <c r="HG36" s="133"/>
      <c r="HH36" s="133"/>
      <c r="HI36" s="133"/>
      <c r="HJ36" s="133"/>
      <c r="HK36" s="133"/>
      <c r="HL36" s="133"/>
      <c r="HM36" s="133"/>
      <c r="HN36" s="133"/>
      <c r="HO36" s="133"/>
      <c r="HP36" s="133"/>
      <c r="HQ36" s="133"/>
      <c r="HR36" s="133"/>
      <c r="HS36" s="133"/>
      <c r="HT36" s="133"/>
      <c r="HU36" s="133"/>
      <c r="HV36" s="133"/>
      <c r="HW36" s="133"/>
      <c r="HX36" s="133"/>
      <c r="HY36" s="133"/>
      <c r="HZ36" s="133"/>
      <c r="IA36" s="133"/>
      <c r="IB36" s="133"/>
      <c r="IC36" s="133"/>
      <c r="ID36" s="133"/>
      <c r="IE36" s="133"/>
      <c r="IF36" s="133"/>
      <c r="IG36" s="133"/>
      <c r="IH36" s="133"/>
      <c r="II36" s="133"/>
      <c r="IJ36" s="133"/>
      <c r="IK36" s="133"/>
      <c r="IL36" s="133"/>
      <c r="IM36" s="133"/>
      <c r="IN36" s="133"/>
      <c r="IO36" s="133"/>
      <c r="IP36" s="133"/>
      <c r="IQ36" s="133"/>
      <c r="IR36" s="133"/>
      <c r="IS36" s="133"/>
      <c r="IT36" s="133"/>
      <c r="IU36" s="133"/>
    </row>
    <row r="37" spans="1:255" x14ac:dyDescent="0.2">
      <c r="A37" s="113" t="s">
        <v>46</v>
      </c>
      <c r="B37" s="110">
        <v>762</v>
      </c>
      <c r="C37" s="110">
        <v>7668</v>
      </c>
      <c r="D37" s="110">
        <v>25406</v>
      </c>
      <c r="E37" s="110">
        <v>35463</v>
      </c>
      <c r="F37" s="134">
        <v>5710</v>
      </c>
      <c r="G37" s="135">
        <v>34946</v>
      </c>
      <c r="H37" s="110">
        <v>5983</v>
      </c>
      <c r="I37" s="110">
        <v>9816</v>
      </c>
      <c r="J37" s="110">
        <v>23829</v>
      </c>
      <c r="K37" s="136">
        <f>SUM(B37:J37)</f>
        <v>149583</v>
      </c>
      <c r="L37" s="133"/>
      <c r="M37" s="133"/>
      <c r="N37" s="133"/>
      <c r="O37" s="133"/>
      <c r="P37" s="133"/>
      <c r="Q37" s="133"/>
      <c r="R37" s="133"/>
      <c r="S37" s="133"/>
      <c r="T37" s="133"/>
      <c r="U37" s="133"/>
      <c r="V37" s="133"/>
      <c r="W37" s="133"/>
      <c r="X37" s="133"/>
      <c r="Y37" s="133"/>
      <c r="Z37" s="133"/>
      <c r="AA37" s="133"/>
      <c r="AB37" s="133"/>
      <c r="AC37" s="133"/>
      <c r="AD37" s="133"/>
      <c r="AE37" s="133"/>
      <c r="AF37" s="133"/>
      <c r="AG37" s="133"/>
      <c r="AH37" s="133"/>
      <c r="AI37" s="133"/>
      <c r="AJ37" s="133"/>
      <c r="AK37" s="133"/>
      <c r="AL37" s="133"/>
      <c r="AM37" s="133"/>
      <c r="AN37" s="133"/>
      <c r="AO37" s="133"/>
      <c r="AP37" s="133"/>
      <c r="AQ37" s="133"/>
      <c r="AR37" s="133"/>
      <c r="AS37" s="133"/>
      <c r="AT37" s="133"/>
      <c r="AU37" s="133"/>
      <c r="AV37" s="133"/>
      <c r="AW37" s="133"/>
      <c r="AX37" s="133"/>
      <c r="AY37" s="133"/>
      <c r="AZ37" s="133"/>
      <c r="BA37" s="133"/>
      <c r="BB37" s="133"/>
      <c r="BC37" s="133"/>
      <c r="BD37" s="133"/>
      <c r="BE37" s="133"/>
      <c r="BF37" s="133"/>
      <c r="BG37" s="133"/>
      <c r="BH37" s="133"/>
      <c r="BI37" s="133"/>
      <c r="BJ37" s="133"/>
      <c r="BK37" s="133"/>
      <c r="BL37" s="133"/>
      <c r="BM37" s="133"/>
      <c r="BN37" s="133"/>
      <c r="BO37" s="133"/>
      <c r="BP37" s="133"/>
      <c r="BQ37" s="133"/>
      <c r="BR37" s="133"/>
      <c r="BS37" s="133"/>
      <c r="BT37" s="133"/>
      <c r="BU37" s="133"/>
      <c r="BV37" s="133"/>
      <c r="BW37" s="133"/>
      <c r="BX37" s="133"/>
      <c r="BY37" s="133"/>
      <c r="BZ37" s="133"/>
      <c r="CA37" s="133"/>
      <c r="CB37" s="133"/>
      <c r="CC37" s="133"/>
      <c r="CD37" s="133"/>
      <c r="CE37" s="133"/>
      <c r="CF37" s="133"/>
      <c r="CG37" s="133"/>
      <c r="CH37" s="133"/>
      <c r="CI37" s="133"/>
      <c r="CJ37" s="133"/>
      <c r="CK37" s="133"/>
      <c r="CL37" s="133"/>
      <c r="CM37" s="133"/>
      <c r="CN37" s="133"/>
      <c r="CO37" s="133"/>
      <c r="CP37" s="133"/>
      <c r="CQ37" s="133"/>
      <c r="CR37" s="133"/>
      <c r="CS37" s="133"/>
      <c r="CT37" s="133"/>
      <c r="CU37" s="133"/>
      <c r="CV37" s="133"/>
      <c r="CW37" s="133"/>
      <c r="CX37" s="133"/>
      <c r="CY37" s="133"/>
      <c r="CZ37" s="133"/>
      <c r="DA37" s="133"/>
      <c r="DB37" s="133"/>
      <c r="DC37" s="133"/>
      <c r="DD37" s="133"/>
      <c r="DE37" s="133"/>
      <c r="DF37" s="133"/>
      <c r="DG37" s="133"/>
      <c r="DH37" s="133"/>
      <c r="DI37" s="133"/>
      <c r="DJ37" s="133"/>
      <c r="DK37" s="133"/>
      <c r="DL37" s="133"/>
      <c r="DM37" s="133"/>
      <c r="DN37" s="133"/>
      <c r="DO37" s="133"/>
      <c r="DP37" s="133"/>
      <c r="DQ37" s="133"/>
      <c r="DR37" s="133"/>
      <c r="DS37" s="133"/>
      <c r="DT37" s="133"/>
      <c r="DU37" s="133"/>
      <c r="DV37" s="133"/>
      <c r="DW37" s="133"/>
      <c r="DX37" s="133"/>
      <c r="DY37" s="133"/>
      <c r="DZ37" s="133"/>
      <c r="EA37" s="133"/>
      <c r="EB37" s="133"/>
      <c r="EC37" s="133"/>
      <c r="ED37" s="133"/>
      <c r="EE37" s="133"/>
      <c r="EF37" s="133"/>
      <c r="EG37" s="133"/>
      <c r="EH37" s="133"/>
      <c r="EI37" s="133"/>
      <c r="EJ37" s="133"/>
      <c r="EK37" s="133"/>
      <c r="EL37" s="133"/>
      <c r="EM37" s="133"/>
      <c r="EN37" s="133"/>
      <c r="EO37" s="133"/>
      <c r="EP37" s="133"/>
      <c r="EQ37" s="133"/>
      <c r="ER37" s="133"/>
      <c r="ES37" s="133"/>
      <c r="ET37" s="133"/>
      <c r="EU37" s="133"/>
      <c r="EV37" s="133"/>
      <c r="EW37" s="133"/>
      <c r="EX37" s="133"/>
      <c r="EY37" s="133"/>
      <c r="EZ37" s="133"/>
      <c r="FA37" s="133"/>
      <c r="FB37" s="133"/>
      <c r="FC37" s="133"/>
      <c r="FD37" s="133"/>
      <c r="FE37" s="133"/>
      <c r="FF37" s="133"/>
      <c r="FG37" s="133"/>
      <c r="FH37" s="133"/>
      <c r="FI37" s="133"/>
      <c r="FJ37" s="133"/>
      <c r="FK37" s="133"/>
      <c r="FL37" s="133"/>
      <c r="FM37" s="133"/>
      <c r="FN37" s="133"/>
      <c r="FO37" s="133"/>
      <c r="FP37" s="133"/>
      <c r="FQ37" s="133"/>
      <c r="FR37" s="133"/>
      <c r="FS37" s="133"/>
      <c r="FT37" s="133"/>
      <c r="FU37" s="133"/>
      <c r="FV37" s="133"/>
      <c r="FW37" s="133"/>
      <c r="FX37" s="133"/>
      <c r="FY37" s="133"/>
      <c r="FZ37" s="133"/>
      <c r="GA37" s="133"/>
      <c r="GB37" s="133"/>
      <c r="GC37" s="133"/>
      <c r="GD37" s="133"/>
      <c r="GE37" s="133"/>
      <c r="GF37" s="133"/>
      <c r="GG37" s="133"/>
      <c r="GH37" s="133"/>
      <c r="GI37" s="133"/>
      <c r="GJ37" s="133"/>
      <c r="GK37" s="133"/>
      <c r="GL37" s="133"/>
      <c r="GM37" s="133"/>
      <c r="GN37" s="133"/>
      <c r="GO37" s="133"/>
      <c r="GP37" s="133"/>
      <c r="GQ37" s="133"/>
      <c r="GR37" s="133"/>
      <c r="GS37" s="133"/>
      <c r="GT37" s="133"/>
      <c r="GU37" s="133"/>
      <c r="GV37" s="133"/>
      <c r="GW37" s="133"/>
      <c r="GX37" s="133"/>
      <c r="GY37" s="133"/>
      <c r="GZ37" s="133"/>
      <c r="HA37" s="133"/>
      <c r="HB37" s="133"/>
      <c r="HC37" s="133"/>
      <c r="HD37" s="133"/>
      <c r="HE37" s="133"/>
      <c r="HF37" s="133"/>
      <c r="HG37" s="133"/>
      <c r="HH37" s="133"/>
      <c r="HI37" s="133"/>
      <c r="HJ37" s="133"/>
      <c r="HK37" s="133"/>
      <c r="HL37" s="133"/>
      <c r="HM37" s="133"/>
      <c r="HN37" s="133"/>
      <c r="HO37" s="133"/>
      <c r="HP37" s="133"/>
      <c r="HQ37" s="133"/>
      <c r="HR37" s="133"/>
      <c r="HS37" s="133"/>
      <c r="HT37" s="133"/>
      <c r="HU37" s="133"/>
      <c r="HV37" s="133"/>
      <c r="HW37" s="133"/>
      <c r="HX37" s="133"/>
      <c r="HY37" s="133"/>
      <c r="HZ37" s="133"/>
      <c r="IA37" s="133"/>
      <c r="IB37" s="133"/>
      <c r="IC37" s="133"/>
      <c r="ID37" s="133"/>
      <c r="IE37" s="133"/>
      <c r="IF37" s="133"/>
      <c r="IG37" s="133"/>
      <c r="IH37" s="133"/>
      <c r="II37" s="133"/>
      <c r="IJ37" s="133"/>
      <c r="IK37" s="133"/>
      <c r="IL37" s="133"/>
      <c r="IM37" s="133"/>
      <c r="IN37" s="133"/>
      <c r="IO37" s="133"/>
      <c r="IP37" s="133"/>
      <c r="IQ37" s="133"/>
      <c r="IR37" s="133"/>
      <c r="IS37" s="133"/>
      <c r="IT37" s="133"/>
      <c r="IU37" s="133"/>
    </row>
    <row r="38" spans="1:255" x14ac:dyDescent="0.2">
      <c r="A38" s="113" t="s">
        <v>201</v>
      </c>
      <c r="D38" s="110">
        <v>5365</v>
      </c>
      <c r="F38" s="110"/>
      <c r="I38" s="110"/>
      <c r="J38" s="110">
        <v>6430</v>
      </c>
      <c r="K38" s="136">
        <f>SUM(B38:J38)</f>
        <v>11795</v>
      </c>
      <c r="L38" s="133"/>
      <c r="M38" s="133"/>
      <c r="N38" s="133"/>
      <c r="O38" s="133"/>
      <c r="P38" s="133"/>
      <c r="Q38" s="133"/>
      <c r="R38" s="133"/>
      <c r="S38" s="133"/>
      <c r="T38" s="133"/>
      <c r="U38" s="133"/>
      <c r="V38" s="133"/>
      <c r="W38" s="133"/>
      <c r="X38" s="133"/>
      <c r="Y38" s="133"/>
      <c r="Z38" s="133"/>
      <c r="AA38" s="133"/>
      <c r="AB38" s="133"/>
      <c r="AC38" s="133"/>
      <c r="AD38" s="133"/>
      <c r="AE38" s="133"/>
      <c r="AF38" s="133"/>
      <c r="AG38" s="133"/>
      <c r="AH38" s="133"/>
      <c r="AI38" s="133"/>
      <c r="AJ38" s="133"/>
      <c r="AK38" s="133"/>
      <c r="AL38" s="133"/>
      <c r="AM38" s="133"/>
      <c r="AN38" s="133"/>
      <c r="AO38" s="133"/>
      <c r="AP38" s="133"/>
      <c r="AQ38" s="133"/>
      <c r="AR38" s="133"/>
      <c r="AS38" s="133"/>
      <c r="AT38" s="133"/>
      <c r="AU38" s="133"/>
      <c r="AV38" s="133"/>
      <c r="AW38" s="133"/>
      <c r="AX38" s="133"/>
      <c r="AY38" s="133"/>
      <c r="AZ38" s="133"/>
      <c r="BA38" s="133"/>
      <c r="BB38" s="133"/>
      <c r="BC38" s="133"/>
      <c r="BD38" s="133"/>
      <c r="BE38" s="133"/>
      <c r="BF38" s="133"/>
      <c r="BG38" s="133"/>
      <c r="BH38" s="133"/>
      <c r="BI38" s="133"/>
      <c r="BJ38" s="133"/>
      <c r="BK38" s="133"/>
      <c r="BL38" s="133"/>
      <c r="BM38" s="133"/>
      <c r="BN38" s="133"/>
      <c r="BO38" s="133"/>
      <c r="BP38" s="133"/>
      <c r="BQ38" s="133"/>
      <c r="BR38" s="133"/>
      <c r="BS38" s="133"/>
      <c r="BT38" s="133"/>
      <c r="BU38" s="133"/>
      <c r="BV38" s="133"/>
      <c r="BW38" s="133"/>
      <c r="BX38" s="133"/>
      <c r="BY38" s="133"/>
      <c r="BZ38" s="133"/>
      <c r="CA38" s="133"/>
      <c r="CB38" s="133"/>
      <c r="CC38" s="133"/>
      <c r="CD38" s="133"/>
      <c r="CE38" s="133"/>
      <c r="CF38" s="133"/>
      <c r="CG38" s="133"/>
      <c r="CH38" s="133"/>
      <c r="CI38" s="133"/>
      <c r="CJ38" s="133"/>
      <c r="CK38" s="133"/>
      <c r="CL38" s="133"/>
      <c r="CM38" s="133"/>
      <c r="CN38" s="133"/>
      <c r="CO38" s="133"/>
      <c r="CP38" s="133"/>
      <c r="CQ38" s="133"/>
      <c r="CR38" s="133"/>
      <c r="CS38" s="133"/>
      <c r="CT38" s="133"/>
      <c r="CU38" s="133"/>
      <c r="CV38" s="133"/>
      <c r="CW38" s="133"/>
      <c r="CX38" s="133"/>
      <c r="CY38" s="133"/>
      <c r="CZ38" s="133"/>
      <c r="DA38" s="133"/>
      <c r="DB38" s="133"/>
      <c r="DC38" s="133"/>
      <c r="DD38" s="133"/>
      <c r="DE38" s="133"/>
      <c r="DF38" s="133"/>
      <c r="DG38" s="133"/>
      <c r="DH38" s="133"/>
      <c r="DI38" s="133"/>
      <c r="DJ38" s="133"/>
      <c r="DK38" s="133"/>
      <c r="DL38" s="133"/>
      <c r="DM38" s="133"/>
      <c r="DN38" s="133"/>
      <c r="DO38" s="133"/>
      <c r="DP38" s="133"/>
      <c r="DQ38" s="133"/>
      <c r="DR38" s="133"/>
      <c r="DS38" s="133"/>
      <c r="DT38" s="133"/>
      <c r="DU38" s="133"/>
      <c r="DV38" s="133"/>
      <c r="DW38" s="133"/>
      <c r="DX38" s="133"/>
      <c r="DY38" s="133"/>
      <c r="DZ38" s="133"/>
      <c r="EA38" s="133"/>
      <c r="EB38" s="133"/>
      <c r="EC38" s="133"/>
      <c r="ED38" s="133"/>
      <c r="EE38" s="133"/>
      <c r="EF38" s="133"/>
      <c r="EG38" s="133"/>
      <c r="EH38" s="133"/>
      <c r="EI38" s="133"/>
      <c r="EJ38" s="133"/>
      <c r="EK38" s="133"/>
      <c r="EL38" s="133"/>
      <c r="EM38" s="133"/>
      <c r="EN38" s="133"/>
      <c r="EO38" s="133"/>
      <c r="EP38" s="133"/>
      <c r="EQ38" s="133"/>
      <c r="ER38" s="133"/>
      <c r="ES38" s="133"/>
      <c r="ET38" s="133"/>
      <c r="EU38" s="133"/>
      <c r="EV38" s="133"/>
      <c r="EW38" s="133"/>
      <c r="EX38" s="133"/>
      <c r="EY38" s="133"/>
      <c r="EZ38" s="133"/>
      <c r="FA38" s="133"/>
      <c r="FB38" s="133"/>
      <c r="FC38" s="133"/>
      <c r="FD38" s="133"/>
      <c r="FE38" s="133"/>
      <c r="FF38" s="133"/>
      <c r="FG38" s="133"/>
      <c r="FH38" s="133"/>
      <c r="FI38" s="133"/>
      <c r="FJ38" s="133"/>
      <c r="FK38" s="133"/>
      <c r="FL38" s="133"/>
      <c r="FM38" s="133"/>
      <c r="FN38" s="133"/>
      <c r="FO38" s="133"/>
      <c r="FP38" s="133"/>
      <c r="FQ38" s="133"/>
      <c r="FR38" s="133"/>
      <c r="FS38" s="133"/>
      <c r="FT38" s="133"/>
      <c r="FU38" s="133"/>
      <c r="FV38" s="133"/>
      <c r="FW38" s="133"/>
      <c r="FX38" s="133"/>
      <c r="FY38" s="133"/>
      <c r="FZ38" s="133"/>
      <c r="GA38" s="133"/>
      <c r="GB38" s="133"/>
      <c r="GC38" s="133"/>
      <c r="GD38" s="133"/>
      <c r="GE38" s="133"/>
      <c r="GF38" s="133"/>
      <c r="GG38" s="133"/>
      <c r="GH38" s="133"/>
      <c r="GI38" s="133"/>
      <c r="GJ38" s="133"/>
      <c r="GK38" s="133"/>
      <c r="GL38" s="133"/>
      <c r="GM38" s="133"/>
      <c r="GN38" s="133"/>
      <c r="GO38" s="133"/>
      <c r="GP38" s="133"/>
      <c r="GQ38" s="133"/>
      <c r="GR38" s="133"/>
      <c r="GS38" s="133"/>
      <c r="GT38" s="133"/>
      <c r="GU38" s="133"/>
      <c r="GV38" s="133"/>
      <c r="GW38" s="133"/>
      <c r="GX38" s="133"/>
      <c r="GY38" s="133"/>
      <c r="GZ38" s="133"/>
      <c r="HA38" s="133"/>
      <c r="HB38" s="133"/>
      <c r="HC38" s="133"/>
      <c r="HD38" s="133"/>
      <c r="HE38" s="133"/>
      <c r="HF38" s="133"/>
      <c r="HG38" s="133"/>
      <c r="HH38" s="133"/>
      <c r="HI38" s="133"/>
      <c r="HJ38" s="133"/>
      <c r="HK38" s="133"/>
      <c r="HL38" s="133"/>
      <c r="HM38" s="133"/>
      <c r="HN38" s="133"/>
      <c r="HO38" s="133"/>
      <c r="HP38" s="133"/>
      <c r="HQ38" s="133"/>
      <c r="HR38" s="133"/>
      <c r="HS38" s="133"/>
      <c r="HT38" s="133"/>
      <c r="HU38" s="133"/>
      <c r="HV38" s="133"/>
      <c r="HW38" s="133"/>
      <c r="HX38" s="133"/>
      <c r="HY38" s="133"/>
      <c r="HZ38" s="133"/>
      <c r="IA38" s="133"/>
      <c r="IB38" s="133"/>
      <c r="IC38" s="133"/>
      <c r="ID38" s="133"/>
      <c r="IE38" s="133"/>
      <c r="IF38" s="133"/>
      <c r="IG38" s="133"/>
      <c r="IH38" s="133"/>
      <c r="II38" s="133"/>
      <c r="IJ38" s="133"/>
      <c r="IK38" s="133"/>
      <c r="IL38" s="133"/>
      <c r="IM38" s="133"/>
      <c r="IN38" s="133"/>
      <c r="IO38" s="133"/>
      <c r="IP38" s="133"/>
      <c r="IQ38" s="133"/>
      <c r="IR38" s="133"/>
      <c r="IS38" s="133"/>
      <c r="IT38" s="133"/>
      <c r="IU38" s="133"/>
    </row>
    <row r="39" spans="1:255" ht="14.25" x14ac:dyDescent="0.2">
      <c r="A39" s="126" t="s">
        <v>202</v>
      </c>
      <c r="C39" s="110">
        <v>6698</v>
      </c>
      <c r="F39" s="110">
        <v>1062</v>
      </c>
      <c r="H39" s="110">
        <v>9787</v>
      </c>
      <c r="I39" s="110"/>
      <c r="J39" s="110">
        <v>26662</v>
      </c>
      <c r="K39" s="136">
        <f>SUM(B39:J39)</f>
        <v>44209</v>
      </c>
      <c r="L39" s="133"/>
      <c r="M39" s="133"/>
      <c r="N39" s="133"/>
      <c r="O39" s="133"/>
      <c r="P39" s="133"/>
      <c r="Q39" s="133"/>
      <c r="R39" s="133"/>
      <c r="S39" s="133"/>
      <c r="T39" s="133"/>
      <c r="U39" s="133"/>
      <c r="V39" s="133"/>
      <c r="W39" s="133"/>
      <c r="X39" s="133"/>
      <c r="Y39" s="133"/>
      <c r="Z39" s="133"/>
      <c r="AA39" s="133"/>
      <c r="AB39" s="133"/>
      <c r="AC39" s="133"/>
      <c r="AD39" s="133"/>
      <c r="AE39" s="133"/>
      <c r="AF39" s="133"/>
      <c r="AG39" s="133"/>
      <c r="AH39" s="133"/>
      <c r="AI39" s="133"/>
      <c r="AJ39" s="133"/>
      <c r="AK39" s="133"/>
      <c r="AL39" s="133"/>
      <c r="AM39" s="133"/>
      <c r="AN39" s="133"/>
      <c r="AO39" s="133"/>
      <c r="AP39" s="133"/>
      <c r="AQ39" s="133"/>
      <c r="AR39" s="133"/>
      <c r="AS39" s="133"/>
      <c r="AT39" s="133"/>
      <c r="AU39" s="133"/>
      <c r="AV39" s="133"/>
      <c r="AW39" s="133"/>
      <c r="AX39" s="133"/>
      <c r="AY39" s="133"/>
      <c r="AZ39" s="133"/>
      <c r="BA39" s="133"/>
      <c r="BB39" s="133"/>
      <c r="BC39" s="133"/>
      <c r="BD39" s="133"/>
      <c r="BE39" s="133"/>
      <c r="BF39" s="133"/>
      <c r="BG39" s="133"/>
      <c r="BH39" s="133"/>
      <c r="BI39" s="133"/>
      <c r="BJ39" s="133"/>
      <c r="BK39" s="133"/>
      <c r="BL39" s="133"/>
      <c r="BM39" s="133"/>
      <c r="BN39" s="133"/>
      <c r="BO39" s="133"/>
      <c r="BP39" s="133"/>
      <c r="BQ39" s="133"/>
      <c r="BR39" s="133"/>
      <c r="BS39" s="133"/>
      <c r="BT39" s="133"/>
      <c r="BU39" s="133"/>
      <c r="BV39" s="133"/>
      <c r="BW39" s="133"/>
      <c r="BX39" s="133"/>
      <c r="BY39" s="133"/>
      <c r="BZ39" s="133"/>
      <c r="CA39" s="133"/>
      <c r="CB39" s="133"/>
      <c r="CC39" s="133"/>
      <c r="CD39" s="133"/>
      <c r="CE39" s="133"/>
      <c r="CF39" s="133"/>
      <c r="CG39" s="133"/>
      <c r="CH39" s="133"/>
      <c r="CI39" s="133"/>
      <c r="CJ39" s="133"/>
      <c r="CK39" s="133"/>
      <c r="CL39" s="133"/>
      <c r="CM39" s="133"/>
      <c r="CN39" s="133"/>
      <c r="CO39" s="133"/>
      <c r="CP39" s="133"/>
      <c r="CQ39" s="133"/>
      <c r="CR39" s="133"/>
      <c r="CS39" s="133"/>
      <c r="CT39" s="133"/>
      <c r="CU39" s="133"/>
      <c r="CV39" s="133"/>
      <c r="CW39" s="133"/>
      <c r="CX39" s="133"/>
      <c r="CY39" s="133"/>
      <c r="CZ39" s="133"/>
      <c r="DA39" s="133"/>
      <c r="DB39" s="133"/>
      <c r="DC39" s="133"/>
      <c r="DD39" s="133"/>
      <c r="DE39" s="133"/>
      <c r="DF39" s="133"/>
      <c r="DG39" s="133"/>
      <c r="DH39" s="133"/>
      <c r="DI39" s="133"/>
      <c r="DJ39" s="133"/>
      <c r="DK39" s="133"/>
      <c r="DL39" s="133"/>
      <c r="DM39" s="133"/>
      <c r="DN39" s="133"/>
      <c r="DO39" s="133"/>
      <c r="DP39" s="133"/>
      <c r="DQ39" s="133"/>
      <c r="DR39" s="133"/>
      <c r="DS39" s="133"/>
      <c r="DT39" s="133"/>
      <c r="DU39" s="133"/>
      <c r="DV39" s="133"/>
      <c r="DW39" s="133"/>
      <c r="DX39" s="133"/>
      <c r="DY39" s="133"/>
      <c r="DZ39" s="133"/>
      <c r="EA39" s="133"/>
      <c r="EB39" s="133"/>
      <c r="EC39" s="133"/>
      <c r="ED39" s="133"/>
      <c r="EE39" s="133"/>
      <c r="EF39" s="133"/>
      <c r="EG39" s="133"/>
      <c r="EH39" s="133"/>
      <c r="EI39" s="133"/>
      <c r="EJ39" s="133"/>
      <c r="EK39" s="133"/>
      <c r="EL39" s="133"/>
      <c r="EM39" s="133"/>
      <c r="EN39" s="133"/>
      <c r="EO39" s="133"/>
      <c r="EP39" s="133"/>
      <c r="EQ39" s="133"/>
      <c r="ER39" s="133"/>
      <c r="ES39" s="133"/>
      <c r="ET39" s="133"/>
      <c r="EU39" s="133"/>
      <c r="EV39" s="133"/>
      <c r="EW39" s="133"/>
      <c r="EX39" s="133"/>
      <c r="EY39" s="133"/>
      <c r="EZ39" s="133"/>
      <c r="FA39" s="133"/>
      <c r="FB39" s="133"/>
      <c r="FC39" s="133"/>
      <c r="FD39" s="133"/>
      <c r="FE39" s="133"/>
      <c r="FF39" s="133"/>
      <c r="FG39" s="133"/>
      <c r="FH39" s="133"/>
      <c r="FI39" s="133"/>
      <c r="FJ39" s="133"/>
      <c r="FK39" s="133"/>
      <c r="FL39" s="133"/>
      <c r="FM39" s="133"/>
      <c r="FN39" s="133"/>
      <c r="FO39" s="133"/>
      <c r="FP39" s="133"/>
      <c r="FQ39" s="133"/>
      <c r="FR39" s="133"/>
      <c r="FS39" s="133"/>
      <c r="FT39" s="133"/>
      <c r="FU39" s="133"/>
      <c r="FV39" s="133"/>
      <c r="FW39" s="133"/>
      <c r="FX39" s="133"/>
      <c r="FY39" s="133"/>
      <c r="FZ39" s="133"/>
      <c r="GA39" s="133"/>
      <c r="GB39" s="133"/>
      <c r="GC39" s="133"/>
      <c r="GD39" s="133"/>
      <c r="GE39" s="133"/>
      <c r="GF39" s="133"/>
      <c r="GG39" s="133"/>
      <c r="GH39" s="133"/>
      <c r="GI39" s="133"/>
      <c r="GJ39" s="133"/>
      <c r="GK39" s="133"/>
      <c r="GL39" s="133"/>
      <c r="GM39" s="133"/>
      <c r="GN39" s="133"/>
      <c r="GO39" s="133"/>
      <c r="GP39" s="133"/>
      <c r="GQ39" s="133"/>
      <c r="GR39" s="133"/>
      <c r="GS39" s="133"/>
      <c r="GT39" s="133"/>
      <c r="GU39" s="133"/>
      <c r="GV39" s="133"/>
      <c r="GW39" s="133"/>
      <c r="GX39" s="133"/>
      <c r="GY39" s="133"/>
      <c r="GZ39" s="133"/>
      <c r="HA39" s="133"/>
      <c r="HB39" s="133"/>
      <c r="HC39" s="133"/>
      <c r="HD39" s="133"/>
      <c r="HE39" s="133"/>
      <c r="HF39" s="133"/>
      <c r="HG39" s="133"/>
      <c r="HH39" s="133"/>
      <c r="HI39" s="133"/>
      <c r="HJ39" s="133"/>
      <c r="HK39" s="133"/>
      <c r="HL39" s="133"/>
      <c r="HM39" s="133"/>
      <c r="HN39" s="133"/>
      <c r="HO39" s="133"/>
      <c r="HP39" s="133"/>
      <c r="HQ39" s="133"/>
      <c r="HR39" s="133"/>
      <c r="HS39" s="133"/>
      <c r="HT39" s="133"/>
      <c r="HU39" s="133"/>
      <c r="HV39" s="133"/>
      <c r="HW39" s="133"/>
      <c r="HX39" s="133"/>
      <c r="HY39" s="133"/>
      <c r="HZ39" s="133"/>
      <c r="IA39" s="133"/>
      <c r="IB39" s="133"/>
      <c r="IC39" s="133"/>
      <c r="ID39" s="133"/>
      <c r="IE39" s="133"/>
      <c r="IF39" s="133"/>
      <c r="IG39" s="133"/>
      <c r="IH39" s="133"/>
      <c r="II39" s="133"/>
      <c r="IJ39" s="133"/>
      <c r="IK39" s="133"/>
      <c r="IL39" s="133"/>
      <c r="IM39" s="133"/>
      <c r="IN39" s="133"/>
      <c r="IO39" s="133"/>
      <c r="IP39" s="133"/>
      <c r="IQ39" s="133"/>
      <c r="IR39" s="133"/>
      <c r="IS39" s="133"/>
      <c r="IT39" s="133"/>
      <c r="IU39" s="133"/>
    </row>
    <row r="40" spans="1:255" x14ac:dyDescent="0.2">
      <c r="F40" s="110"/>
      <c r="I40" s="110"/>
      <c r="J40" s="137"/>
      <c r="K40" s="110"/>
      <c r="L40" s="133"/>
      <c r="M40" s="133"/>
      <c r="N40" s="133"/>
      <c r="O40" s="133"/>
      <c r="P40" s="133"/>
      <c r="Q40" s="133"/>
      <c r="R40" s="133"/>
      <c r="S40" s="133"/>
      <c r="T40" s="133"/>
      <c r="U40" s="133"/>
      <c r="V40" s="133"/>
      <c r="W40" s="133"/>
      <c r="X40" s="133"/>
      <c r="Y40" s="133"/>
      <c r="Z40" s="133"/>
      <c r="AA40" s="133"/>
      <c r="AB40" s="133"/>
      <c r="AC40" s="133"/>
      <c r="AD40" s="133"/>
      <c r="AE40" s="133"/>
      <c r="AF40" s="133"/>
      <c r="AG40" s="133"/>
      <c r="AH40" s="133"/>
      <c r="AI40" s="133"/>
      <c r="AJ40" s="133"/>
      <c r="AK40" s="133"/>
      <c r="AL40" s="133"/>
      <c r="AM40" s="133"/>
      <c r="AN40" s="133"/>
      <c r="AO40" s="133"/>
      <c r="AP40" s="133"/>
      <c r="AQ40" s="133"/>
      <c r="AR40" s="133"/>
      <c r="AS40" s="133"/>
      <c r="AT40" s="133"/>
      <c r="AU40" s="133"/>
      <c r="AV40" s="133"/>
      <c r="AW40" s="133"/>
      <c r="AX40" s="133"/>
      <c r="AY40" s="133"/>
      <c r="AZ40" s="133"/>
      <c r="BA40" s="133"/>
      <c r="BB40" s="133"/>
      <c r="BC40" s="133"/>
      <c r="BD40" s="133"/>
      <c r="BE40" s="133"/>
      <c r="BF40" s="133"/>
      <c r="BG40" s="133"/>
      <c r="BH40" s="133"/>
      <c r="BI40" s="133"/>
      <c r="BJ40" s="133"/>
      <c r="BK40" s="133"/>
      <c r="BL40" s="133"/>
      <c r="BM40" s="133"/>
      <c r="BN40" s="133"/>
      <c r="BO40" s="133"/>
      <c r="BP40" s="133"/>
      <c r="BQ40" s="133"/>
      <c r="BR40" s="133"/>
      <c r="BS40" s="133"/>
      <c r="BT40" s="133"/>
      <c r="BU40" s="133"/>
      <c r="BV40" s="133"/>
      <c r="BW40" s="133"/>
      <c r="BX40" s="133"/>
      <c r="BY40" s="133"/>
      <c r="BZ40" s="133"/>
      <c r="CA40" s="133"/>
      <c r="CB40" s="133"/>
      <c r="CC40" s="133"/>
      <c r="CD40" s="133"/>
      <c r="CE40" s="133"/>
      <c r="CF40" s="133"/>
      <c r="CG40" s="133"/>
      <c r="CH40" s="133"/>
      <c r="CI40" s="133"/>
      <c r="CJ40" s="133"/>
      <c r="CK40" s="133"/>
      <c r="CL40" s="133"/>
      <c r="CM40" s="133"/>
      <c r="CN40" s="133"/>
      <c r="CO40" s="133"/>
      <c r="CP40" s="133"/>
      <c r="CQ40" s="133"/>
      <c r="CR40" s="133"/>
      <c r="CS40" s="133"/>
      <c r="CT40" s="133"/>
      <c r="CU40" s="133"/>
      <c r="CV40" s="133"/>
      <c r="CW40" s="133"/>
      <c r="CX40" s="133"/>
      <c r="CY40" s="133"/>
      <c r="CZ40" s="133"/>
      <c r="DA40" s="133"/>
      <c r="DB40" s="133"/>
      <c r="DC40" s="133"/>
      <c r="DD40" s="133"/>
      <c r="DE40" s="133"/>
      <c r="DF40" s="133"/>
      <c r="DG40" s="133"/>
      <c r="DH40" s="133"/>
      <c r="DI40" s="133"/>
      <c r="DJ40" s="133"/>
      <c r="DK40" s="133"/>
      <c r="DL40" s="133"/>
      <c r="DM40" s="133"/>
      <c r="DN40" s="133"/>
      <c r="DO40" s="133"/>
      <c r="DP40" s="133"/>
      <c r="DQ40" s="133"/>
      <c r="DR40" s="133"/>
      <c r="DS40" s="133"/>
      <c r="DT40" s="133"/>
      <c r="DU40" s="133"/>
      <c r="DV40" s="133"/>
      <c r="DW40" s="133"/>
      <c r="DX40" s="133"/>
      <c r="DY40" s="133"/>
      <c r="DZ40" s="133"/>
      <c r="EA40" s="133"/>
      <c r="EB40" s="133"/>
      <c r="EC40" s="133"/>
      <c r="ED40" s="133"/>
      <c r="EE40" s="133"/>
      <c r="EF40" s="133"/>
      <c r="EG40" s="133"/>
      <c r="EH40" s="133"/>
      <c r="EI40" s="133"/>
      <c r="EJ40" s="133"/>
      <c r="EK40" s="133"/>
      <c r="EL40" s="133"/>
      <c r="EM40" s="133"/>
      <c r="EN40" s="133"/>
      <c r="EO40" s="133"/>
      <c r="EP40" s="133"/>
      <c r="EQ40" s="133"/>
      <c r="ER40" s="133"/>
      <c r="ES40" s="133"/>
      <c r="ET40" s="133"/>
      <c r="EU40" s="133"/>
      <c r="EV40" s="133"/>
      <c r="EW40" s="133"/>
      <c r="EX40" s="133"/>
      <c r="EY40" s="133"/>
      <c r="EZ40" s="133"/>
      <c r="FA40" s="133"/>
      <c r="FB40" s="133"/>
      <c r="FC40" s="133"/>
      <c r="FD40" s="133"/>
      <c r="FE40" s="133"/>
      <c r="FF40" s="133"/>
      <c r="FG40" s="133"/>
      <c r="FH40" s="133"/>
      <c r="FI40" s="133"/>
      <c r="FJ40" s="133"/>
      <c r="FK40" s="133"/>
      <c r="FL40" s="133"/>
      <c r="FM40" s="133"/>
      <c r="FN40" s="133"/>
      <c r="FO40" s="133"/>
      <c r="FP40" s="133"/>
      <c r="FQ40" s="133"/>
      <c r="FR40" s="133"/>
      <c r="FS40" s="133"/>
      <c r="FT40" s="133"/>
      <c r="FU40" s="133"/>
      <c r="FV40" s="133"/>
      <c r="FW40" s="133"/>
      <c r="FX40" s="133"/>
      <c r="FY40" s="133"/>
      <c r="FZ40" s="133"/>
      <c r="GA40" s="133"/>
      <c r="GB40" s="133"/>
      <c r="GC40" s="133"/>
      <c r="GD40" s="133"/>
      <c r="GE40" s="133"/>
      <c r="GF40" s="133"/>
      <c r="GG40" s="133"/>
      <c r="GH40" s="133"/>
      <c r="GI40" s="133"/>
      <c r="GJ40" s="133"/>
      <c r="GK40" s="133"/>
      <c r="GL40" s="133"/>
      <c r="GM40" s="133"/>
      <c r="GN40" s="133"/>
      <c r="GO40" s="133"/>
      <c r="GP40" s="133"/>
      <c r="GQ40" s="133"/>
      <c r="GR40" s="133"/>
      <c r="GS40" s="133"/>
      <c r="GT40" s="133"/>
      <c r="GU40" s="133"/>
      <c r="GV40" s="133"/>
      <c r="GW40" s="133"/>
      <c r="GX40" s="133"/>
      <c r="GY40" s="133"/>
      <c r="GZ40" s="133"/>
      <c r="HA40" s="133"/>
      <c r="HB40" s="133"/>
      <c r="HC40" s="133"/>
      <c r="HD40" s="133"/>
      <c r="HE40" s="133"/>
      <c r="HF40" s="133"/>
      <c r="HG40" s="133"/>
      <c r="HH40" s="133"/>
      <c r="HI40" s="133"/>
      <c r="HJ40" s="133"/>
      <c r="HK40" s="133"/>
      <c r="HL40" s="133"/>
      <c r="HM40" s="133"/>
      <c r="HN40" s="133"/>
      <c r="HO40" s="133"/>
      <c r="HP40" s="133"/>
      <c r="HQ40" s="133"/>
      <c r="HR40" s="133"/>
      <c r="HS40" s="133"/>
      <c r="HT40" s="133"/>
      <c r="HU40" s="133"/>
      <c r="HV40" s="133"/>
      <c r="HW40" s="133"/>
      <c r="HX40" s="133"/>
      <c r="HY40" s="133"/>
      <c r="HZ40" s="133"/>
      <c r="IA40" s="133"/>
      <c r="IB40" s="133"/>
      <c r="IC40" s="133"/>
      <c r="ID40" s="133"/>
      <c r="IE40" s="133"/>
      <c r="IF40" s="133"/>
      <c r="IG40" s="133"/>
      <c r="IH40" s="133"/>
      <c r="II40" s="133"/>
      <c r="IJ40" s="133"/>
      <c r="IK40" s="133"/>
      <c r="IL40" s="133"/>
      <c r="IM40" s="133"/>
      <c r="IN40" s="133"/>
      <c r="IO40" s="133"/>
      <c r="IP40" s="133"/>
      <c r="IQ40" s="133"/>
      <c r="IR40" s="133"/>
      <c r="IS40" s="133"/>
      <c r="IT40" s="133"/>
      <c r="IU40" s="133"/>
    </row>
    <row r="41" spans="1:255" ht="15" customHeight="1" x14ac:dyDescent="0.25">
      <c r="A41" s="121" t="s">
        <v>44</v>
      </c>
      <c r="B41" s="119"/>
      <c r="C41" s="119"/>
      <c r="D41" s="119"/>
      <c r="E41" s="119"/>
      <c r="F41" s="122"/>
      <c r="G41" s="119"/>
      <c r="H41" s="119"/>
      <c r="I41" s="122"/>
      <c r="J41" s="119"/>
      <c r="K41" s="123"/>
    </row>
    <row r="42" spans="1:255" ht="12" customHeight="1" x14ac:dyDescent="0.2">
      <c r="B42" s="119"/>
      <c r="C42" s="119"/>
      <c r="D42" s="119"/>
      <c r="E42" s="119"/>
      <c r="F42" s="122"/>
      <c r="G42" s="119"/>
      <c r="H42" s="119"/>
      <c r="I42" s="122"/>
      <c r="J42" s="119"/>
      <c r="K42" s="123"/>
    </row>
    <row r="43" spans="1:255" ht="12" customHeight="1" x14ac:dyDescent="0.2">
      <c r="A43" s="109" t="s">
        <v>73</v>
      </c>
      <c r="B43" s="119"/>
      <c r="C43" s="119"/>
      <c r="D43" s="119"/>
      <c r="E43" s="119"/>
      <c r="F43" s="122"/>
      <c r="G43" s="119"/>
      <c r="H43" s="119"/>
      <c r="I43" s="122"/>
      <c r="J43" s="119"/>
      <c r="K43" s="123"/>
    </row>
    <row r="44" spans="1:255" ht="12" customHeight="1" x14ac:dyDescent="0.2">
      <c r="B44" s="119"/>
      <c r="C44" s="119"/>
      <c r="D44" s="119"/>
      <c r="E44" s="119"/>
      <c r="F44" s="122"/>
      <c r="G44" s="127"/>
      <c r="H44" s="119"/>
      <c r="I44" s="122"/>
      <c r="J44" s="119"/>
      <c r="K44" s="123"/>
    </row>
    <row r="45" spans="1:255" ht="12" customHeight="1" x14ac:dyDescent="0.2">
      <c r="A45" s="113" t="s">
        <v>74</v>
      </c>
      <c r="B45" s="119">
        <v>48.228629890000001</v>
      </c>
      <c r="C45" s="119">
        <v>63.56</v>
      </c>
      <c r="D45" s="125">
        <v>362.29212322000001</v>
      </c>
      <c r="E45" s="119">
        <v>225.12</v>
      </c>
      <c r="F45" s="122">
        <v>166.16702699999999</v>
      </c>
      <c r="G45" s="119">
        <v>37.11</v>
      </c>
      <c r="H45" s="119">
        <v>99.634</v>
      </c>
      <c r="I45" s="122">
        <v>39.378704999999997</v>
      </c>
      <c r="J45" s="119">
        <v>448.69803824000002</v>
      </c>
      <c r="K45" s="123">
        <f t="shared" ref="K45:K52" si="5">SUM(B45:J45)</f>
        <v>1490.18852335</v>
      </c>
    </row>
    <row r="46" spans="1:255" ht="12" customHeight="1" x14ac:dyDescent="0.2">
      <c r="A46" s="113" t="s">
        <v>75</v>
      </c>
      <c r="B46" s="119">
        <v>18.253847709999999</v>
      </c>
      <c r="C46" s="119"/>
      <c r="D46" s="119"/>
      <c r="E46" s="119"/>
      <c r="F46" s="122">
        <v>56.915844</v>
      </c>
      <c r="G46" s="119">
        <v>15.12</v>
      </c>
      <c r="H46" s="119"/>
      <c r="I46" s="122">
        <v>36.963923000000001</v>
      </c>
      <c r="J46" s="119">
        <v>127.47023663</v>
      </c>
      <c r="K46" s="123">
        <f t="shared" si="5"/>
        <v>254.72385134000001</v>
      </c>
    </row>
    <row r="47" spans="1:255" ht="12" customHeight="1" x14ac:dyDescent="0.2">
      <c r="A47" s="113" t="s">
        <v>105</v>
      </c>
      <c r="B47" s="119"/>
      <c r="C47" s="119">
        <v>235.59</v>
      </c>
      <c r="D47" s="119"/>
      <c r="E47" s="119"/>
      <c r="F47" s="122"/>
      <c r="G47" s="119">
        <v>1577.9</v>
      </c>
      <c r="H47" s="119"/>
      <c r="I47" s="122">
        <v>14.702866670000001</v>
      </c>
      <c r="J47" s="119"/>
      <c r="K47" s="123">
        <f t="shared" si="5"/>
        <v>1828.1928666700001</v>
      </c>
    </row>
    <row r="48" spans="1:255" ht="12" customHeight="1" x14ac:dyDescent="0.2">
      <c r="A48" s="113" t="s">
        <v>107</v>
      </c>
      <c r="B48" s="119">
        <v>34.023231629999998</v>
      </c>
      <c r="C48" s="119">
        <v>15.52</v>
      </c>
      <c r="D48" s="119">
        <v>1845.42616275</v>
      </c>
      <c r="E48" s="119">
        <v>134.27000000000001</v>
      </c>
      <c r="F48" s="122"/>
      <c r="G48" s="119">
        <v>58.51</v>
      </c>
      <c r="H48" s="119">
        <v>72.36</v>
      </c>
      <c r="I48" s="122"/>
      <c r="J48" s="119">
        <v>24.70000495</v>
      </c>
      <c r="K48" s="123">
        <f t="shared" si="5"/>
        <v>2184.8093993300004</v>
      </c>
    </row>
    <row r="49" spans="1:11" ht="12" customHeight="1" x14ac:dyDescent="0.2">
      <c r="A49" s="113" t="s">
        <v>106</v>
      </c>
      <c r="B49" s="119"/>
      <c r="C49" s="119"/>
      <c r="D49" s="125">
        <v>1294.3391657300001</v>
      </c>
      <c r="E49" s="119"/>
      <c r="F49" s="122"/>
      <c r="G49" s="119">
        <v>22.39</v>
      </c>
      <c r="H49" s="119"/>
      <c r="I49" s="122"/>
      <c r="J49" s="119"/>
      <c r="K49" s="123">
        <f t="shared" si="5"/>
        <v>1316.7291657300002</v>
      </c>
    </row>
    <row r="50" spans="1:11" ht="12" customHeight="1" x14ac:dyDescent="0.2">
      <c r="A50" s="113" t="s">
        <v>108</v>
      </c>
      <c r="B50" s="119"/>
      <c r="C50" s="119"/>
      <c r="D50" s="119">
        <v>1178.53404009</v>
      </c>
      <c r="E50" s="119">
        <v>593.77</v>
      </c>
      <c r="F50" s="122"/>
      <c r="G50" s="119">
        <v>400.68</v>
      </c>
      <c r="H50" s="119">
        <v>72.39</v>
      </c>
      <c r="I50" s="122">
        <v>45.84117612</v>
      </c>
      <c r="J50" s="119">
        <v>1011.2001815</v>
      </c>
      <c r="K50" s="123">
        <f t="shared" si="5"/>
        <v>3302.4153977099995</v>
      </c>
    </row>
    <row r="51" spans="1:11" ht="12" customHeight="1" x14ac:dyDescent="0.2">
      <c r="A51" s="113" t="s">
        <v>78</v>
      </c>
      <c r="B51" s="119"/>
      <c r="C51" s="119"/>
      <c r="D51" s="119"/>
      <c r="E51" s="119"/>
      <c r="F51" s="122"/>
      <c r="G51" s="119">
        <v>0.57999999999999996</v>
      </c>
      <c r="H51" s="119">
        <v>1.986</v>
      </c>
      <c r="I51" s="122"/>
      <c r="J51" s="119">
        <v>8.7290673999999999</v>
      </c>
      <c r="K51" s="123">
        <f t="shared" si="5"/>
        <v>11.295067400000001</v>
      </c>
    </row>
    <row r="52" spans="1:11" ht="12" customHeight="1" x14ac:dyDescent="0.2">
      <c r="A52" s="113" t="s">
        <v>79</v>
      </c>
      <c r="B52" s="119"/>
      <c r="C52" s="119">
        <v>183.59</v>
      </c>
      <c r="D52" s="119"/>
      <c r="E52" s="119"/>
      <c r="F52" s="122"/>
      <c r="G52" s="119">
        <v>1.75</v>
      </c>
      <c r="H52" s="119"/>
      <c r="I52" s="122"/>
      <c r="J52" s="119">
        <v>13.93133651</v>
      </c>
      <c r="K52" s="123">
        <f t="shared" si="5"/>
        <v>199.27133651</v>
      </c>
    </row>
    <row r="53" spans="1:11" ht="12" customHeight="1" x14ac:dyDescent="0.2">
      <c r="B53" s="119"/>
      <c r="C53" s="119"/>
      <c r="D53" s="119"/>
      <c r="E53" s="119"/>
      <c r="F53" s="122"/>
      <c r="G53" s="119"/>
      <c r="H53" s="119"/>
      <c r="I53" s="122"/>
      <c r="J53" s="119"/>
      <c r="K53" s="123"/>
    </row>
    <row r="54" spans="1:11" s="109" customFormat="1" ht="12" customHeight="1" x14ac:dyDescent="0.2">
      <c r="A54" s="126" t="s">
        <v>12</v>
      </c>
      <c r="B54" s="131">
        <f t="shared" ref="B54:J54" si="6">SUM(B45:B52)</f>
        <v>100.50570922999999</v>
      </c>
      <c r="C54" s="131">
        <f t="shared" si="6"/>
        <v>498.26</v>
      </c>
      <c r="D54" s="131">
        <f t="shared" si="6"/>
        <v>4680.5914917900009</v>
      </c>
      <c r="E54" s="131">
        <f t="shared" si="6"/>
        <v>953.16</v>
      </c>
      <c r="F54" s="132">
        <f t="shared" si="6"/>
        <v>223.08287099999998</v>
      </c>
      <c r="G54" s="131">
        <f t="shared" si="6"/>
        <v>2114.04</v>
      </c>
      <c r="H54" s="131">
        <f t="shared" si="6"/>
        <v>246.37</v>
      </c>
      <c r="I54" s="132">
        <f t="shared" si="6"/>
        <v>136.88667078999998</v>
      </c>
      <c r="J54" s="131">
        <f t="shared" si="6"/>
        <v>1634.7288652300001</v>
      </c>
      <c r="K54" s="123">
        <f>SUM(B54:J54)</f>
        <v>10587.62560804</v>
      </c>
    </row>
    <row r="55" spans="1:11" ht="12" customHeight="1" x14ac:dyDescent="0.2">
      <c r="B55" s="119"/>
      <c r="C55" s="119"/>
      <c r="D55" s="119"/>
      <c r="E55" s="119"/>
      <c r="F55" s="122"/>
      <c r="G55" s="119"/>
      <c r="H55" s="119"/>
      <c r="I55" s="122"/>
      <c r="J55" s="119"/>
      <c r="K55" s="123"/>
    </row>
    <row r="56" spans="1:11" ht="12" customHeight="1" x14ac:dyDescent="0.2">
      <c r="A56" s="109" t="s">
        <v>45</v>
      </c>
      <c r="B56" s="119"/>
      <c r="C56" s="119"/>
      <c r="D56" s="119"/>
      <c r="E56" s="119"/>
      <c r="F56" s="122"/>
      <c r="G56" s="119"/>
      <c r="H56" s="119"/>
      <c r="I56" s="122"/>
      <c r="J56" s="119"/>
      <c r="K56" s="123"/>
    </row>
    <row r="57" spans="1:11" ht="12" customHeight="1" x14ac:dyDescent="0.2">
      <c r="B57" s="119"/>
      <c r="C57" s="119"/>
      <c r="D57" s="119"/>
      <c r="E57" s="119"/>
      <c r="F57" s="122"/>
      <c r="G57" s="119"/>
      <c r="H57" s="119"/>
      <c r="I57" s="122"/>
      <c r="J57" s="119"/>
      <c r="K57" s="123"/>
    </row>
    <row r="58" spans="1:11" ht="12" customHeight="1" x14ac:dyDescent="0.2">
      <c r="A58" s="113" t="s">
        <v>46</v>
      </c>
      <c r="B58" s="138">
        <v>842.53019672999994</v>
      </c>
      <c r="C58" s="119">
        <v>1467.92</v>
      </c>
      <c r="D58" s="125">
        <v>914.05013808000001</v>
      </c>
      <c r="E58" s="119">
        <v>485.33</v>
      </c>
      <c r="F58" s="122">
        <v>1369.021207</v>
      </c>
      <c r="G58" s="119">
        <v>2253.25</v>
      </c>
      <c r="H58" s="119">
        <v>3119.92</v>
      </c>
      <c r="I58" s="122">
        <v>1784.7912281199999</v>
      </c>
      <c r="J58" s="119">
        <v>2849.23135151</v>
      </c>
      <c r="K58" s="123">
        <f>SUM(B58:J58)</f>
        <v>15086.044121440002</v>
      </c>
    </row>
    <row r="59" spans="1:11" ht="12" customHeight="1" x14ac:dyDescent="0.2">
      <c r="A59" s="113" t="s">
        <v>47</v>
      </c>
      <c r="B59" s="139">
        <v>125.25481061000001</v>
      </c>
      <c r="C59" s="119"/>
      <c r="D59" s="119"/>
      <c r="E59" s="119"/>
      <c r="F59" s="122">
        <v>54.842579999999998</v>
      </c>
      <c r="G59" s="119">
        <v>355.51</v>
      </c>
      <c r="H59" s="119">
        <v>34.86</v>
      </c>
      <c r="I59" s="122">
        <v>13.457222720000001</v>
      </c>
      <c r="J59" s="119">
        <v>321.89679446000002</v>
      </c>
      <c r="K59" s="123">
        <f>SUM(B59:J59)</f>
        <v>905.82140779000008</v>
      </c>
    </row>
    <row r="60" spans="1:11" ht="12" customHeight="1" x14ac:dyDescent="0.2">
      <c r="B60" s="119"/>
      <c r="C60" s="119"/>
      <c r="D60" s="119"/>
      <c r="E60" s="119"/>
      <c r="F60" s="122"/>
      <c r="G60" s="119"/>
      <c r="H60" s="119"/>
      <c r="I60" s="122"/>
      <c r="J60" s="119"/>
      <c r="K60" s="123"/>
    </row>
    <row r="61" spans="1:11" s="109" customFormat="1" ht="12" customHeight="1" x14ac:dyDescent="0.2">
      <c r="A61" s="109" t="s">
        <v>12</v>
      </c>
      <c r="B61" s="131">
        <f t="shared" ref="B61:J61" si="7">SUM(B58:B59)</f>
        <v>967.78500733999999</v>
      </c>
      <c r="C61" s="131">
        <f t="shared" si="7"/>
        <v>1467.92</v>
      </c>
      <c r="D61" s="131">
        <f t="shared" si="7"/>
        <v>914.05013808000001</v>
      </c>
      <c r="E61" s="131">
        <f t="shared" si="7"/>
        <v>485.33</v>
      </c>
      <c r="F61" s="132">
        <f t="shared" si="7"/>
        <v>1423.863787</v>
      </c>
      <c r="G61" s="131">
        <f t="shared" si="7"/>
        <v>2608.7600000000002</v>
      </c>
      <c r="H61" s="131">
        <f t="shared" si="7"/>
        <v>3154.78</v>
      </c>
      <c r="I61" s="132">
        <f t="shared" si="7"/>
        <v>1798.2484508399998</v>
      </c>
      <c r="J61" s="131">
        <f t="shared" si="7"/>
        <v>3171.1281459699999</v>
      </c>
      <c r="K61" s="123">
        <f>SUM(B61:J61)</f>
        <v>15991.865529230001</v>
      </c>
    </row>
    <row r="62" spans="1:11" ht="12" customHeight="1" x14ac:dyDescent="0.2">
      <c r="B62" s="119"/>
      <c r="C62" s="119"/>
      <c r="D62" s="119"/>
      <c r="E62" s="119"/>
      <c r="F62" s="122"/>
      <c r="G62" s="119"/>
      <c r="H62" s="119"/>
      <c r="I62" s="122"/>
      <c r="J62" s="119"/>
      <c r="K62" s="123"/>
    </row>
    <row r="63" spans="1:11" ht="12" customHeight="1" x14ac:dyDescent="0.2">
      <c r="A63" s="109" t="s">
        <v>53</v>
      </c>
      <c r="B63" s="119">
        <v>126.69888361</v>
      </c>
      <c r="C63" s="119">
        <v>36.5</v>
      </c>
      <c r="D63" s="119">
        <v>19.009836100000001</v>
      </c>
      <c r="E63" s="119">
        <v>17.98</v>
      </c>
      <c r="F63" s="122">
        <v>77.071019000000007</v>
      </c>
      <c r="G63" s="119">
        <v>192.53</v>
      </c>
      <c r="H63" s="119">
        <v>140.10400000000001</v>
      </c>
      <c r="I63" s="122">
        <v>94.355542270000001</v>
      </c>
      <c r="J63" s="119">
        <v>169.29988465</v>
      </c>
      <c r="K63" s="123">
        <f>SUM(B63:J63)</f>
        <v>873.54916562999995</v>
      </c>
    </row>
    <row r="64" spans="1:11" s="109" customFormat="1" ht="12" customHeight="1" x14ac:dyDescent="0.2">
      <c r="A64" s="126" t="s">
        <v>123</v>
      </c>
      <c r="B64" s="119"/>
      <c r="C64" s="119"/>
      <c r="D64" s="119"/>
      <c r="E64" s="140"/>
      <c r="F64" s="122"/>
      <c r="G64" s="119"/>
      <c r="H64" s="119"/>
      <c r="I64" s="122"/>
      <c r="J64" s="119"/>
      <c r="K64" s="123"/>
    </row>
    <row r="65" spans="1:11" s="109" customFormat="1" ht="12" customHeight="1" x14ac:dyDescent="0.2">
      <c r="A65" s="126" t="s">
        <v>210</v>
      </c>
      <c r="B65" s="119">
        <v>3.6406874400000002</v>
      </c>
      <c r="C65" s="119">
        <v>3.84</v>
      </c>
      <c r="D65" s="119"/>
      <c r="E65" s="119"/>
      <c r="F65" s="122"/>
      <c r="G65" s="119"/>
      <c r="H65" s="119"/>
      <c r="I65" s="122"/>
      <c r="J65" s="119"/>
      <c r="K65" s="123">
        <f>SUM(B65:J65)</f>
        <v>7.4806874400000005</v>
      </c>
    </row>
    <row r="66" spans="1:11" s="109" customFormat="1" ht="12" customHeight="1" x14ac:dyDescent="0.2">
      <c r="A66" s="126" t="s">
        <v>125</v>
      </c>
      <c r="B66" s="119">
        <v>104.625</v>
      </c>
      <c r="C66" s="119"/>
      <c r="D66" s="119"/>
      <c r="E66" s="119"/>
      <c r="F66" s="122"/>
      <c r="G66" s="119">
        <v>91.26</v>
      </c>
      <c r="H66" s="119"/>
      <c r="I66" s="122"/>
      <c r="J66" s="119"/>
      <c r="K66" s="123">
        <f>SUM(B66:J66)</f>
        <v>195.88499999999999</v>
      </c>
    </row>
    <row r="67" spans="1:11" ht="12" customHeight="1" x14ac:dyDescent="0.2">
      <c r="C67" s="141"/>
    </row>
    <row r="68" spans="1:11" ht="12" customHeight="1" x14ac:dyDescent="0.2">
      <c r="A68" s="142"/>
      <c r="C68" s="124"/>
    </row>
    <row r="69" spans="1:11" ht="12" customHeight="1" x14ac:dyDescent="0.2">
      <c r="A69" s="142"/>
      <c r="C69" s="124"/>
    </row>
    <row r="70" spans="1:11" ht="12" customHeight="1" x14ac:dyDescent="0.2">
      <c r="A70" s="143" t="s">
        <v>203</v>
      </c>
      <c r="C70" s="124"/>
      <c r="J70" s="144"/>
    </row>
    <row r="71" spans="1:11" ht="12" customHeight="1" x14ac:dyDescent="0.2">
      <c r="A71" s="143" t="s">
        <v>212</v>
      </c>
      <c r="J71" s="119"/>
    </row>
    <row r="72" spans="1:11" ht="12" customHeight="1" x14ac:dyDescent="0.2">
      <c r="A72" s="145" t="s">
        <v>205</v>
      </c>
      <c r="J72" s="119"/>
    </row>
    <row r="73" spans="1:11" ht="14.25" customHeight="1" x14ac:dyDescent="0.2">
      <c r="A73" s="143" t="s">
        <v>206</v>
      </c>
      <c r="B73" s="119"/>
    </row>
    <row r="74" spans="1:11" ht="14.25" x14ac:dyDescent="0.2">
      <c r="A74" s="126" t="s">
        <v>207</v>
      </c>
    </row>
    <row r="75" spans="1:11" ht="14.25" x14ac:dyDescent="0.2">
      <c r="A75" s="143" t="s">
        <v>208</v>
      </c>
    </row>
  </sheetData>
  <printOptions horizontalCentered="1"/>
  <pageMargins left="0.28999999999999998" right="0.34" top="0.71" bottom="0.19685039370078741" header="0.45" footer="0.19"/>
  <pageSetup paperSize="9" scale="90" orientation="landscape" horizontalDpi="4294967292" verticalDpi="30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U77"/>
  <sheetViews>
    <sheetView zoomScaleNormal="100" workbookViewId="0">
      <pane xSplit="1" ySplit="4" topLeftCell="B5" activePane="bottomRight" state="frozenSplit"/>
      <selection activeCell="A2" sqref="A2"/>
      <selection pane="topRight" activeCell="A2" sqref="A2"/>
      <selection pane="bottomLeft" activeCell="A2" sqref="A2"/>
      <selection pane="bottomRight" activeCell="B5" sqref="B5"/>
    </sheetView>
  </sheetViews>
  <sheetFormatPr baseColWidth="10" defaultRowHeight="12.75" x14ac:dyDescent="0.2"/>
  <cols>
    <col min="1" max="1" width="41.28515625" style="113" customWidth="1"/>
    <col min="2" max="5" width="11.5703125" style="110" customWidth="1"/>
    <col min="6" max="6" width="11.5703125" style="111" customWidth="1"/>
    <col min="7" max="8" width="11.5703125" style="110" customWidth="1"/>
    <col min="9" max="9" width="11.5703125" style="111" customWidth="1"/>
    <col min="10" max="10" width="11.5703125" style="110" customWidth="1"/>
    <col min="11" max="11" width="11.5703125" style="112" customWidth="1"/>
    <col min="12" max="16384" width="11.42578125" style="113"/>
  </cols>
  <sheetData>
    <row r="1" spans="1:11" x14ac:dyDescent="0.2">
      <c r="A1" s="109" t="s">
        <v>209</v>
      </c>
    </row>
    <row r="2" spans="1:11" x14ac:dyDescent="0.2">
      <c r="A2" s="113" t="s">
        <v>211</v>
      </c>
    </row>
    <row r="3" spans="1:11" x14ac:dyDescent="0.2">
      <c r="A3" s="114"/>
    </row>
    <row r="4" spans="1:11" s="117" customFormat="1" x14ac:dyDescent="0.2">
      <c r="A4" s="115"/>
      <c r="B4" s="110" t="s">
        <v>3</v>
      </c>
      <c r="C4" s="110" t="s">
        <v>4</v>
      </c>
      <c r="D4" s="110" t="s">
        <v>5</v>
      </c>
      <c r="E4" s="110" t="s">
        <v>6</v>
      </c>
      <c r="F4" s="116" t="s">
        <v>7</v>
      </c>
      <c r="G4" s="110" t="s">
        <v>8</v>
      </c>
      <c r="H4" s="110" t="s">
        <v>9</v>
      </c>
      <c r="I4" s="116" t="s">
        <v>198</v>
      </c>
      <c r="J4" s="110" t="s">
        <v>11</v>
      </c>
      <c r="K4" s="112" t="s">
        <v>12</v>
      </c>
    </row>
    <row r="5" spans="1:11" x14ac:dyDescent="0.2">
      <c r="C5" s="118"/>
      <c r="D5" s="119"/>
      <c r="E5" s="118"/>
      <c r="F5" s="120"/>
      <c r="G5" s="118"/>
      <c r="H5" s="118"/>
      <c r="I5" s="118"/>
      <c r="J5" s="118"/>
    </row>
    <row r="6" spans="1:11" ht="15.75" x14ac:dyDescent="0.25">
      <c r="A6" s="121" t="s">
        <v>42</v>
      </c>
      <c r="D6" s="119"/>
    </row>
    <row r="7" spans="1:11" x14ac:dyDescent="0.2">
      <c r="D7" s="119"/>
      <c r="I7" s="119"/>
    </row>
    <row r="8" spans="1:11" x14ac:dyDescent="0.2">
      <c r="A8" s="109" t="s">
        <v>13</v>
      </c>
    </row>
    <row r="9" spans="1:11" x14ac:dyDescent="0.2">
      <c r="D9" s="119"/>
    </row>
    <row r="10" spans="1:11" x14ac:dyDescent="0.2">
      <c r="A10" s="113" t="s">
        <v>72</v>
      </c>
      <c r="B10" s="119">
        <v>96.642230999999995</v>
      </c>
      <c r="C10" s="119">
        <v>71.400000000000006</v>
      </c>
      <c r="D10" s="119">
        <v>178.45670100000001</v>
      </c>
      <c r="E10" s="119">
        <v>61.81</v>
      </c>
      <c r="F10" s="122">
        <v>231.9213</v>
      </c>
      <c r="G10" s="119">
        <v>12.78</v>
      </c>
      <c r="H10" s="119">
        <v>149.994</v>
      </c>
      <c r="I10" s="119">
        <v>73.75721661</v>
      </c>
      <c r="J10" s="119">
        <v>269.398911</v>
      </c>
      <c r="K10" s="123">
        <f t="shared" ref="K10:K16" si="0">SUM(B10:J10)</f>
        <v>1146.1603596099999</v>
      </c>
    </row>
    <row r="11" spans="1:11" x14ac:dyDescent="0.2">
      <c r="A11" s="114" t="s">
        <v>67</v>
      </c>
      <c r="B11" s="119">
        <v>1.4587140000000001</v>
      </c>
      <c r="C11" s="119">
        <v>0.09</v>
      </c>
      <c r="D11" s="119"/>
      <c r="E11" s="119"/>
      <c r="F11" s="122"/>
      <c r="G11" s="119"/>
      <c r="H11" s="119"/>
      <c r="I11" s="119"/>
      <c r="J11" s="119">
        <v>17.183966999999999</v>
      </c>
      <c r="K11" s="123">
        <f t="shared" si="0"/>
        <v>18.732680999999999</v>
      </c>
    </row>
    <row r="12" spans="1:11" x14ac:dyDescent="0.2">
      <c r="A12" s="113" t="s">
        <v>104</v>
      </c>
      <c r="B12" s="119"/>
      <c r="C12" s="119">
        <v>12.58</v>
      </c>
      <c r="D12" s="119">
        <v>27.209225</v>
      </c>
      <c r="E12" s="119">
        <v>4.03</v>
      </c>
      <c r="F12" s="122">
        <v>35.286599000000002</v>
      </c>
      <c r="G12" s="119">
        <v>248.96</v>
      </c>
      <c r="H12" s="119"/>
      <c r="I12" s="119">
        <v>1.65876779</v>
      </c>
      <c r="J12" s="119"/>
      <c r="K12" s="123">
        <f t="shared" si="0"/>
        <v>329.72459179000003</v>
      </c>
    </row>
    <row r="13" spans="1:11" x14ac:dyDescent="0.2">
      <c r="A13" s="113" t="s">
        <v>109</v>
      </c>
      <c r="B13" s="119">
        <v>5.3989719999999997</v>
      </c>
      <c r="C13" s="119">
        <v>10.52</v>
      </c>
      <c r="D13" s="119">
        <v>108.38794</v>
      </c>
      <c r="E13" s="119">
        <v>28</v>
      </c>
      <c r="F13" s="122">
        <v>0.10523</v>
      </c>
      <c r="G13" s="119">
        <v>3.16</v>
      </c>
      <c r="H13" s="119">
        <v>23.007999999999999</v>
      </c>
      <c r="I13" s="119"/>
      <c r="J13" s="119">
        <v>4.9185619999999997</v>
      </c>
      <c r="K13" s="123">
        <f t="shared" si="0"/>
        <v>183.49870400000003</v>
      </c>
    </row>
    <row r="14" spans="1:11" x14ac:dyDescent="0.2">
      <c r="A14" s="124" t="s">
        <v>69</v>
      </c>
      <c r="B14" s="119">
        <v>0.36118250000000002</v>
      </c>
      <c r="C14" s="119"/>
      <c r="E14" s="119">
        <v>16.5</v>
      </c>
      <c r="F14" s="122"/>
      <c r="G14" s="119">
        <v>8.51</v>
      </c>
      <c r="H14" s="119">
        <v>15.949</v>
      </c>
      <c r="I14" s="119">
        <v>4.4988952199999996</v>
      </c>
      <c r="J14" s="119">
        <v>7.3194759999999999</v>
      </c>
      <c r="K14" s="123">
        <f t="shared" si="0"/>
        <v>53.138553720000004</v>
      </c>
    </row>
    <row r="15" spans="1:11" x14ac:dyDescent="0.2">
      <c r="A15" s="113" t="s">
        <v>70</v>
      </c>
      <c r="B15" s="119"/>
      <c r="C15" s="119"/>
      <c r="D15" s="119"/>
      <c r="E15" s="119"/>
      <c r="F15" s="122"/>
      <c r="G15" s="119"/>
      <c r="H15" s="119"/>
      <c r="I15" s="119"/>
      <c r="J15" s="119"/>
      <c r="K15" s="123">
        <f t="shared" si="0"/>
        <v>0</v>
      </c>
    </row>
    <row r="16" spans="1:11" x14ac:dyDescent="0.2">
      <c r="A16" s="113" t="s">
        <v>71</v>
      </c>
      <c r="B16" s="119">
        <v>1.2193312199999999</v>
      </c>
      <c r="C16" s="119">
        <v>13.56</v>
      </c>
      <c r="D16" s="119">
        <v>50.654769000000002</v>
      </c>
      <c r="E16" s="119">
        <v>44.5</v>
      </c>
      <c r="F16" s="125">
        <v>9.1507249999999996</v>
      </c>
      <c r="G16" s="119">
        <v>19.57</v>
      </c>
      <c r="H16" s="119">
        <v>9.9589999999999996</v>
      </c>
      <c r="I16" s="119">
        <v>28.31044004</v>
      </c>
      <c r="J16" s="119">
        <v>47.981022000000003</v>
      </c>
      <c r="K16" s="123">
        <f t="shared" si="0"/>
        <v>224.90528725999999</v>
      </c>
    </row>
    <row r="17" spans="1:11" x14ac:dyDescent="0.2">
      <c r="B17" s="119"/>
      <c r="C17" s="119"/>
      <c r="D17" s="119"/>
      <c r="E17" s="119"/>
      <c r="F17" s="122"/>
      <c r="G17" s="119"/>
      <c r="H17" s="119"/>
      <c r="I17" s="122"/>
      <c r="J17" s="119"/>
      <c r="K17" s="123"/>
    </row>
    <row r="18" spans="1:11" s="126" customFormat="1" x14ac:dyDescent="0.2">
      <c r="A18" s="126" t="s">
        <v>12</v>
      </c>
      <c r="B18" s="127">
        <f>SUM(B10:B16)</f>
        <v>105.08043072</v>
      </c>
      <c r="C18" s="127">
        <f t="shared" ref="C18:J18" si="1">SUM(C10:C16)</f>
        <v>108.15</v>
      </c>
      <c r="D18" s="127">
        <f t="shared" si="1"/>
        <v>364.70863500000002</v>
      </c>
      <c r="E18" s="127">
        <f t="shared" si="1"/>
        <v>154.84</v>
      </c>
      <c r="F18" s="128">
        <f t="shared" si="1"/>
        <v>276.46385400000003</v>
      </c>
      <c r="G18" s="127">
        <f t="shared" si="1"/>
        <v>292.98</v>
      </c>
      <c r="H18" s="127">
        <f t="shared" si="1"/>
        <v>198.91000000000003</v>
      </c>
      <c r="I18" s="128">
        <f t="shared" si="1"/>
        <v>108.22531966</v>
      </c>
      <c r="J18" s="127">
        <f t="shared" si="1"/>
        <v>346.80193800000001</v>
      </c>
      <c r="K18" s="123">
        <f>SUM(B18:J18)</f>
        <v>1956.1601773800003</v>
      </c>
    </row>
    <row r="19" spans="1:11" x14ac:dyDescent="0.2">
      <c r="B19" s="119"/>
      <c r="C19" s="119"/>
      <c r="D19" s="119"/>
      <c r="E19" s="119"/>
      <c r="F19" s="122"/>
      <c r="G19" s="119"/>
      <c r="H19" s="119"/>
      <c r="I19" s="122"/>
      <c r="J19" s="119"/>
      <c r="K19" s="123"/>
    </row>
    <row r="20" spans="1:11" x14ac:dyDescent="0.2">
      <c r="B20" s="119"/>
      <c r="C20" s="119"/>
      <c r="D20" s="119"/>
      <c r="E20" s="119"/>
      <c r="F20" s="122"/>
      <c r="G20" s="119"/>
      <c r="H20" s="119"/>
      <c r="I20" s="122"/>
      <c r="J20" s="119"/>
      <c r="K20" s="123"/>
    </row>
    <row r="21" spans="1:11" x14ac:dyDescent="0.2">
      <c r="A21" s="109" t="s">
        <v>14</v>
      </c>
      <c r="B21" s="119"/>
      <c r="C21" s="119"/>
      <c r="D21" s="119"/>
      <c r="E21" s="119"/>
      <c r="F21" s="122"/>
      <c r="G21" s="119"/>
      <c r="H21" s="119"/>
      <c r="I21" s="122"/>
      <c r="J21" s="119"/>
      <c r="K21" s="123"/>
    </row>
    <row r="22" spans="1:11" x14ac:dyDescent="0.2">
      <c r="B22" s="119"/>
      <c r="C22" s="119"/>
      <c r="D22" s="119"/>
      <c r="E22" s="119"/>
      <c r="F22" s="122"/>
      <c r="G22" s="119"/>
      <c r="H22" s="119"/>
      <c r="I22" s="122"/>
      <c r="J22" s="119"/>
      <c r="K22" s="123"/>
    </row>
    <row r="23" spans="1:11" x14ac:dyDescent="0.2">
      <c r="A23" s="113" t="s">
        <v>72</v>
      </c>
      <c r="B23" s="119">
        <v>10.656651</v>
      </c>
      <c r="C23" s="119"/>
      <c r="D23" s="119">
        <v>11.158194</v>
      </c>
      <c r="E23" s="119"/>
      <c r="F23" s="122">
        <v>71.666554000000005</v>
      </c>
      <c r="G23" s="119">
        <v>20.149999999999999</v>
      </c>
      <c r="H23" s="119"/>
      <c r="I23" s="119">
        <v>2.3355704199999998</v>
      </c>
      <c r="J23" s="119">
        <v>49.744177999999998</v>
      </c>
      <c r="K23" s="123">
        <f t="shared" ref="K23:K28" si="2">SUM(B23:J23)</f>
        <v>165.71114742</v>
      </c>
    </row>
    <row r="24" spans="1:11" x14ac:dyDescent="0.2">
      <c r="A24" s="113" t="s">
        <v>104</v>
      </c>
      <c r="B24" s="119"/>
      <c r="C24" s="119"/>
      <c r="D24" s="119">
        <v>2.2520479999999998</v>
      </c>
      <c r="E24" s="119"/>
      <c r="F24" s="122"/>
      <c r="G24" s="119">
        <v>13.58</v>
      </c>
      <c r="H24" s="119"/>
      <c r="I24" s="122"/>
      <c r="J24" s="119"/>
      <c r="K24" s="123">
        <f t="shared" si="2"/>
        <v>15.832048</v>
      </c>
    </row>
    <row r="25" spans="1:11" x14ac:dyDescent="0.2">
      <c r="A25" s="113" t="s">
        <v>109</v>
      </c>
      <c r="B25" s="119"/>
      <c r="C25" s="119"/>
      <c r="D25" s="119">
        <v>84.616882000000004</v>
      </c>
      <c r="E25" s="119">
        <v>52.34</v>
      </c>
      <c r="F25" s="122">
        <v>2.0214919999999998</v>
      </c>
      <c r="G25" s="119">
        <v>59.57</v>
      </c>
      <c r="H25" s="119">
        <v>13.305</v>
      </c>
      <c r="I25" s="119">
        <v>12.634515929999999</v>
      </c>
      <c r="J25" s="119">
        <v>99.745373000000001</v>
      </c>
      <c r="K25" s="123">
        <f t="shared" si="2"/>
        <v>324.23326293000002</v>
      </c>
    </row>
    <row r="26" spans="1:11" x14ac:dyDescent="0.2">
      <c r="A26" s="124" t="s">
        <v>69</v>
      </c>
      <c r="B26" s="119">
        <v>0.94770750000000004</v>
      </c>
      <c r="C26" s="119">
        <v>26.41</v>
      </c>
      <c r="D26" s="119">
        <v>143.57172</v>
      </c>
      <c r="E26" s="119">
        <v>12.08</v>
      </c>
      <c r="F26" s="122"/>
      <c r="G26" s="119">
        <v>3.79</v>
      </c>
      <c r="H26" s="119">
        <v>33.43</v>
      </c>
      <c r="I26" s="119">
        <v>15.1693049</v>
      </c>
      <c r="J26" s="119">
        <v>75.266474000000002</v>
      </c>
      <c r="K26" s="123">
        <f t="shared" si="2"/>
        <v>310.66520640000005</v>
      </c>
    </row>
    <row r="27" spans="1:11" x14ac:dyDescent="0.2">
      <c r="A27" s="113" t="s">
        <v>70</v>
      </c>
      <c r="B27" s="119"/>
      <c r="C27" s="119"/>
      <c r="D27" s="119"/>
      <c r="E27" s="119"/>
      <c r="F27" s="122"/>
      <c r="G27" s="119"/>
      <c r="H27" s="119"/>
      <c r="I27" s="122"/>
      <c r="J27" s="119"/>
      <c r="K27" s="123">
        <f t="shared" si="2"/>
        <v>0</v>
      </c>
    </row>
    <row r="28" spans="1:11" x14ac:dyDescent="0.2">
      <c r="A28" s="113" t="s">
        <v>71</v>
      </c>
      <c r="B28" s="119"/>
      <c r="C28" s="119"/>
      <c r="D28" s="119">
        <f>2.671324+4.291118</f>
        <v>6.9624419999999994</v>
      </c>
      <c r="E28" s="119"/>
      <c r="F28" s="122"/>
      <c r="G28" s="119">
        <v>16.16</v>
      </c>
      <c r="H28" s="119"/>
      <c r="I28" s="122"/>
      <c r="J28" s="119">
        <v>6.8931899999999997</v>
      </c>
      <c r="K28" s="123">
        <f t="shared" si="2"/>
        <v>30.015632</v>
      </c>
    </row>
    <row r="29" spans="1:11" x14ac:dyDescent="0.2">
      <c r="B29" s="119"/>
      <c r="C29" s="119"/>
      <c r="D29" s="119"/>
      <c r="E29" s="119"/>
      <c r="F29" s="122"/>
      <c r="G29" s="119"/>
      <c r="H29" s="119"/>
      <c r="I29" s="122"/>
      <c r="J29" s="119"/>
      <c r="K29" s="123"/>
    </row>
    <row r="30" spans="1:11" s="126" customFormat="1" x14ac:dyDescent="0.2">
      <c r="A30" s="126" t="s">
        <v>12</v>
      </c>
      <c r="B30" s="119">
        <f t="shared" ref="B30:J30" si="3">SUM(B23:B28)</f>
        <v>11.6043585</v>
      </c>
      <c r="C30" s="127">
        <f t="shared" si="3"/>
        <v>26.41</v>
      </c>
      <c r="D30" s="127">
        <f t="shared" si="3"/>
        <v>248.561286</v>
      </c>
      <c r="E30" s="127">
        <f t="shared" si="3"/>
        <v>64.42</v>
      </c>
      <c r="F30" s="128">
        <f t="shared" si="3"/>
        <v>73.688046</v>
      </c>
      <c r="G30" s="127">
        <f t="shared" si="3"/>
        <v>113.25</v>
      </c>
      <c r="H30" s="127">
        <f t="shared" si="3"/>
        <v>46.734999999999999</v>
      </c>
      <c r="I30" s="128">
        <f t="shared" si="3"/>
        <v>30.139391249999999</v>
      </c>
      <c r="J30" s="127">
        <f t="shared" si="3"/>
        <v>231.64921500000003</v>
      </c>
      <c r="K30" s="123">
        <f>SUM(B30:J30)</f>
        <v>846.45729675000007</v>
      </c>
    </row>
    <row r="31" spans="1:11" s="126" customFormat="1" x14ac:dyDescent="0.2">
      <c r="B31" s="119"/>
      <c r="C31" s="127"/>
      <c r="D31" s="127"/>
      <c r="E31" s="127"/>
      <c r="F31" s="128"/>
      <c r="G31" s="127"/>
      <c r="H31" s="127"/>
      <c r="I31" s="128"/>
      <c r="J31" s="127"/>
      <c r="K31" s="130"/>
    </row>
    <row r="32" spans="1:11" s="109" customFormat="1" x14ac:dyDescent="0.2">
      <c r="A32" s="109" t="s">
        <v>43</v>
      </c>
      <c r="B32" s="131">
        <f t="shared" ref="B32:J32" si="4">B18+B30</f>
        <v>116.68478922</v>
      </c>
      <c r="C32" s="131">
        <f t="shared" si="4"/>
        <v>134.56</v>
      </c>
      <c r="D32" s="131">
        <f t="shared" si="4"/>
        <v>613.26992100000007</v>
      </c>
      <c r="E32" s="131">
        <f t="shared" si="4"/>
        <v>219.26</v>
      </c>
      <c r="F32" s="132">
        <f t="shared" si="4"/>
        <v>350.15190000000001</v>
      </c>
      <c r="G32" s="131">
        <f t="shared" si="4"/>
        <v>406.23</v>
      </c>
      <c r="H32" s="131">
        <f t="shared" si="4"/>
        <v>245.64500000000004</v>
      </c>
      <c r="I32" s="132">
        <f t="shared" si="4"/>
        <v>138.36471090999999</v>
      </c>
      <c r="J32" s="131">
        <f t="shared" si="4"/>
        <v>578.45115299999998</v>
      </c>
      <c r="K32" s="123">
        <f>SUM(B32:J32)</f>
        <v>2802.6174741300001</v>
      </c>
    </row>
    <row r="33" spans="1:255" s="109" customFormat="1" x14ac:dyDescent="0.2">
      <c r="B33" s="131"/>
      <c r="C33" s="131"/>
      <c r="D33" s="131"/>
      <c r="E33" s="131"/>
      <c r="F33" s="132"/>
      <c r="G33" s="131"/>
      <c r="H33" s="131"/>
      <c r="I33" s="132"/>
      <c r="J33" s="131"/>
      <c r="K33" s="123"/>
    </row>
    <row r="34" spans="1:255" s="126" customFormat="1" ht="14.25" x14ac:dyDescent="0.2">
      <c r="A34" s="109" t="s">
        <v>199</v>
      </c>
      <c r="B34" s="119"/>
      <c r="C34" s="127">
        <v>10.6</v>
      </c>
      <c r="D34" s="127"/>
      <c r="E34" s="127">
        <v>40.6</v>
      </c>
      <c r="F34" s="128">
        <v>1.3416220000000001</v>
      </c>
      <c r="G34" s="127">
        <v>36.79</v>
      </c>
      <c r="H34" s="127">
        <v>18.062999999999999</v>
      </c>
      <c r="I34" s="128"/>
      <c r="J34" s="127">
        <v>36.392932000000002</v>
      </c>
      <c r="K34" s="123">
        <f>SUM(B34:J34)</f>
        <v>143.787554</v>
      </c>
    </row>
    <row r="35" spans="1:255" x14ac:dyDescent="0.2">
      <c r="B35" s="119"/>
      <c r="C35" s="119"/>
      <c r="D35" s="119"/>
      <c r="E35" s="119"/>
      <c r="F35" s="122"/>
      <c r="G35" s="119"/>
      <c r="H35" s="119"/>
      <c r="I35" s="122"/>
      <c r="J35" s="119"/>
      <c r="K35" s="133"/>
      <c r="L35" s="133"/>
      <c r="M35" s="133"/>
      <c r="N35" s="133"/>
      <c r="O35" s="133"/>
      <c r="P35" s="133"/>
      <c r="Q35" s="133"/>
      <c r="R35" s="133"/>
      <c r="S35" s="133"/>
      <c r="T35" s="133"/>
      <c r="U35" s="133"/>
      <c r="V35" s="133"/>
      <c r="W35" s="133"/>
      <c r="X35" s="133"/>
      <c r="Y35" s="133"/>
      <c r="Z35" s="133"/>
      <c r="AA35" s="133"/>
      <c r="AB35" s="133"/>
      <c r="AC35" s="133"/>
      <c r="AD35" s="133"/>
      <c r="AE35" s="133"/>
      <c r="AF35" s="133"/>
      <c r="AG35" s="133"/>
      <c r="AH35" s="133"/>
      <c r="AI35" s="133"/>
      <c r="AJ35" s="133"/>
      <c r="AK35" s="133"/>
      <c r="AL35" s="133"/>
      <c r="AM35" s="133"/>
      <c r="AN35" s="133"/>
      <c r="AO35" s="133"/>
      <c r="AP35" s="133"/>
      <c r="AQ35" s="133"/>
      <c r="AR35" s="133"/>
      <c r="AS35" s="133"/>
      <c r="AT35" s="133"/>
      <c r="AU35" s="133"/>
      <c r="AV35" s="133"/>
      <c r="AW35" s="133"/>
      <c r="AX35" s="133"/>
      <c r="AY35" s="133"/>
      <c r="AZ35" s="133"/>
      <c r="BA35" s="133"/>
      <c r="BB35" s="133"/>
      <c r="BC35" s="133"/>
      <c r="BD35" s="133"/>
      <c r="BE35" s="133"/>
      <c r="BF35" s="133"/>
      <c r="BG35" s="133"/>
      <c r="BH35" s="133"/>
      <c r="BI35" s="133"/>
      <c r="BJ35" s="133"/>
      <c r="BK35" s="133"/>
      <c r="BL35" s="133"/>
      <c r="BM35" s="133"/>
      <c r="BN35" s="133"/>
      <c r="BO35" s="133"/>
      <c r="BP35" s="133"/>
      <c r="BQ35" s="133"/>
      <c r="BR35" s="133"/>
      <c r="BS35" s="133"/>
      <c r="BT35" s="133"/>
      <c r="BU35" s="133"/>
      <c r="BV35" s="133"/>
      <c r="BW35" s="133"/>
      <c r="BX35" s="133"/>
      <c r="BY35" s="133"/>
      <c r="BZ35" s="133"/>
      <c r="CA35" s="133"/>
      <c r="CB35" s="133"/>
      <c r="CC35" s="133"/>
      <c r="CD35" s="133"/>
      <c r="CE35" s="133"/>
      <c r="CF35" s="133"/>
      <c r="CG35" s="133"/>
      <c r="CH35" s="133"/>
      <c r="CI35" s="133"/>
      <c r="CJ35" s="133"/>
      <c r="CK35" s="133"/>
      <c r="CL35" s="133"/>
      <c r="CM35" s="133"/>
      <c r="CN35" s="133"/>
      <c r="CO35" s="133"/>
      <c r="CP35" s="133"/>
      <c r="CQ35" s="133"/>
      <c r="CR35" s="133"/>
      <c r="CS35" s="133"/>
      <c r="CT35" s="133"/>
      <c r="CU35" s="133"/>
      <c r="CV35" s="133"/>
      <c r="CW35" s="133"/>
      <c r="CX35" s="133"/>
      <c r="CY35" s="133"/>
      <c r="CZ35" s="133"/>
      <c r="DA35" s="133"/>
      <c r="DB35" s="133"/>
      <c r="DC35" s="133"/>
      <c r="DD35" s="133"/>
      <c r="DE35" s="133"/>
      <c r="DF35" s="133"/>
      <c r="DG35" s="133"/>
      <c r="DH35" s="133"/>
      <c r="DI35" s="133"/>
      <c r="DJ35" s="133"/>
      <c r="DK35" s="133"/>
      <c r="DL35" s="133"/>
      <c r="DM35" s="133"/>
      <c r="DN35" s="133"/>
      <c r="DO35" s="133"/>
      <c r="DP35" s="133"/>
      <c r="DQ35" s="133"/>
      <c r="DR35" s="133"/>
      <c r="DS35" s="133"/>
      <c r="DT35" s="133"/>
      <c r="DU35" s="133"/>
      <c r="DV35" s="133"/>
      <c r="DW35" s="133"/>
      <c r="DX35" s="133"/>
      <c r="DY35" s="133"/>
      <c r="DZ35" s="133"/>
      <c r="EA35" s="133"/>
      <c r="EB35" s="133"/>
      <c r="EC35" s="133"/>
      <c r="ED35" s="133"/>
      <c r="EE35" s="133"/>
      <c r="EF35" s="133"/>
      <c r="EG35" s="133"/>
      <c r="EH35" s="133"/>
      <c r="EI35" s="133"/>
      <c r="EJ35" s="133"/>
      <c r="EK35" s="133"/>
      <c r="EL35" s="133"/>
      <c r="EM35" s="133"/>
      <c r="EN35" s="133"/>
      <c r="EO35" s="133"/>
      <c r="EP35" s="133"/>
      <c r="EQ35" s="133"/>
      <c r="ER35" s="133"/>
      <c r="ES35" s="133"/>
      <c r="ET35" s="133"/>
      <c r="EU35" s="133"/>
      <c r="EV35" s="133"/>
      <c r="EW35" s="133"/>
      <c r="EX35" s="133"/>
      <c r="EY35" s="133"/>
      <c r="EZ35" s="133"/>
      <c r="FA35" s="133"/>
      <c r="FB35" s="133"/>
      <c r="FC35" s="133"/>
      <c r="FD35" s="133"/>
      <c r="FE35" s="133"/>
      <c r="FF35" s="133"/>
      <c r="FG35" s="133"/>
      <c r="FH35" s="133"/>
      <c r="FI35" s="133"/>
      <c r="FJ35" s="133"/>
      <c r="FK35" s="133"/>
      <c r="FL35" s="133"/>
      <c r="FM35" s="133"/>
      <c r="FN35" s="133"/>
      <c r="FO35" s="133"/>
      <c r="FP35" s="133"/>
      <c r="FQ35" s="133"/>
      <c r="FR35" s="133"/>
      <c r="FS35" s="133"/>
      <c r="FT35" s="133"/>
      <c r="FU35" s="133"/>
      <c r="FV35" s="133"/>
      <c r="FW35" s="133"/>
      <c r="FX35" s="133"/>
      <c r="FY35" s="133"/>
      <c r="FZ35" s="133"/>
      <c r="GA35" s="133"/>
      <c r="GB35" s="133"/>
      <c r="GC35" s="133"/>
      <c r="GD35" s="133"/>
      <c r="GE35" s="133"/>
      <c r="GF35" s="133"/>
      <c r="GG35" s="133"/>
      <c r="GH35" s="133"/>
      <c r="GI35" s="133"/>
      <c r="GJ35" s="133"/>
      <c r="GK35" s="133"/>
      <c r="GL35" s="133"/>
      <c r="GM35" s="133"/>
      <c r="GN35" s="133"/>
      <c r="GO35" s="133"/>
      <c r="GP35" s="133"/>
      <c r="GQ35" s="133"/>
      <c r="GR35" s="133"/>
      <c r="GS35" s="133"/>
      <c r="GT35" s="133"/>
      <c r="GU35" s="133"/>
      <c r="GV35" s="133"/>
      <c r="GW35" s="133"/>
      <c r="GX35" s="133"/>
      <c r="GY35" s="133"/>
      <c r="GZ35" s="133"/>
      <c r="HA35" s="133"/>
      <c r="HB35" s="133"/>
      <c r="HC35" s="133"/>
      <c r="HD35" s="133"/>
      <c r="HE35" s="133"/>
      <c r="HF35" s="133"/>
      <c r="HG35" s="133"/>
      <c r="HH35" s="133"/>
      <c r="HI35" s="133"/>
      <c r="HJ35" s="133"/>
      <c r="HK35" s="133"/>
      <c r="HL35" s="133"/>
      <c r="HM35" s="133"/>
      <c r="HN35" s="133"/>
      <c r="HO35" s="133"/>
      <c r="HP35" s="133"/>
      <c r="HQ35" s="133"/>
      <c r="HR35" s="133"/>
      <c r="HS35" s="133"/>
      <c r="HT35" s="133"/>
      <c r="HU35" s="133"/>
      <c r="HV35" s="133"/>
      <c r="HW35" s="133"/>
      <c r="HX35" s="133"/>
      <c r="HY35" s="133"/>
      <c r="HZ35" s="133"/>
      <c r="IA35" s="133"/>
      <c r="IB35" s="133"/>
      <c r="IC35" s="133"/>
      <c r="ID35" s="133"/>
      <c r="IE35" s="133"/>
      <c r="IF35" s="133"/>
      <c r="IG35" s="133"/>
      <c r="IH35" s="133"/>
      <c r="II35" s="133"/>
      <c r="IJ35" s="133"/>
      <c r="IK35" s="133"/>
      <c r="IL35" s="133"/>
      <c r="IM35" s="133"/>
      <c r="IN35" s="133"/>
      <c r="IO35" s="133"/>
      <c r="IP35" s="133"/>
      <c r="IQ35" s="133"/>
      <c r="IR35" s="133"/>
      <c r="IS35" s="133"/>
      <c r="IT35" s="133"/>
      <c r="IU35" s="133"/>
    </row>
    <row r="36" spans="1:255" ht="14.25" x14ac:dyDescent="0.2">
      <c r="A36" s="109" t="s">
        <v>200</v>
      </c>
      <c r="F36" s="110"/>
      <c r="I36" s="110"/>
      <c r="K36" s="110"/>
      <c r="L36" s="133"/>
      <c r="M36" s="133"/>
      <c r="N36" s="133"/>
      <c r="O36" s="133"/>
      <c r="P36" s="133"/>
      <c r="Q36" s="133"/>
      <c r="R36" s="133"/>
      <c r="S36" s="133"/>
      <c r="T36" s="133"/>
      <c r="U36" s="133"/>
      <c r="V36" s="133"/>
      <c r="W36" s="133"/>
      <c r="X36" s="133"/>
      <c r="Y36" s="133"/>
      <c r="Z36" s="133"/>
      <c r="AA36" s="133"/>
      <c r="AB36" s="133"/>
      <c r="AC36" s="133"/>
      <c r="AD36" s="133"/>
      <c r="AE36" s="133"/>
      <c r="AF36" s="133"/>
      <c r="AG36" s="133"/>
      <c r="AH36" s="133"/>
      <c r="AI36" s="133"/>
      <c r="AJ36" s="133"/>
      <c r="AK36" s="133"/>
      <c r="AL36" s="133"/>
      <c r="AM36" s="133"/>
      <c r="AN36" s="133"/>
      <c r="AO36" s="133"/>
      <c r="AP36" s="133"/>
      <c r="AQ36" s="133"/>
      <c r="AR36" s="133"/>
      <c r="AS36" s="133"/>
      <c r="AT36" s="133"/>
      <c r="AU36" s="133"/>
      <c r="AV36" s="133"/>
      <c r="AW36" s="133"/>
      <c r="AX36" s="133"/>
      <c r="AY36" s="133"/>
      <c r="AZ36" s="133"/>
      <c r="BA36" s="133"/>
      <c r="BB36" s="133"/>
      <c r="BC36" s="133"/>
      <c r="BD36" s="133"/>
      <c r="BE36" s="133"/>
      <c r="BF36" s="133"/>
      <c r="BG36" s="133"/>
      <c r="BH36" s="133"/>
      <c r="BI36" s="133"/>
      <c r="BJ36" s="133"/>
      <c r="BK36" s="133"/>
      <c r="BL36" s="133"/>
      <c r="BM36" s="133"/>
      <c r="BN36" s="133"/>
      <c r="BO36" s="133"/>
      <c r="BP36" s="133"/>
      <c r="BQ36" s="133"/>
      <c r="BR36" s="133"/>
      <c r="BS36" s="133"/>
      <c r="BT36" s="133"/>
      <c r="BU36" s="133"/>
      <c r="BV36" s="133"/>
      <c r="BW36" s="133"/>
      <c r="BX36" s="133"/>
      <c r="BY36" s="133"/>
      <c r="BZ36" s="133"/>
      <c r="CA36" s="133"/>
      <c r="CB36" s="133"/>
      <c r="CC36" s="133"/>
      <c r="CD36" s="133"/>
      <c r="CE36" s="133"/>
      <c r="CF36" s="133"/>
      <c r="CG36" s="133"/>
      <c r="CH36" s="133"/>
      <c r="CI36" s="133"/>
      <c r="CJ36" s="133"/>
      <c r="CK36" s="133"/>
      <c r="CL36" s="133"/>
      <c r="CM36" s="133"/>
      <c r="CN36" s="133"/>
      <c r="CO36" s="133"/>
      <c r="CP36" s="133"/>
      <c r="CQ36" s="133"/>
      <c r="CR36" s="133"/>
      <c r="CS36" s="133"/>
      <c r="CT36" s="133"/>
      <c r="CU36" s="133"/>
      <c r="CV36" s="133"/>
      <c r="CW36" s="133"/>
      <c r="CX36" s="133"/>
      <c r="CY36" s="133"/>
      <c r="CZ36" s="133"/>
      <c r="DA36" s="133"/>
      <c r="DB36" s="133"/>
      <c r="DC36" s="133"/>
      <c r="DD36" s="133"/>
      <c r="DE36" s="133"/>
      <c r="DF36" s="133"/>
      <c r="DG36" s="133"/>
      <c r="DH36" s="133"/>
      <c r="DI36" s="133"/>
      <c r="DJ36" s="133"/>
      <c r="DK36" s="133"/>
      <c r="DL36" s="133"/>
      <c r="DM36" s="133"/>
      <c r="DN36" s="133"/>
      <c r="DO36" s="133"/>
      <c r="DP36" s="133"/>
      <c r="DQ36" s="133"/>
      <c r="DR36" s="133"/>
      <c r="DS36" s="133"/>
      <c r="DT36" s="133"/>
      <c r="DU36" s="133"/>
      <c r="DV36" s="133"/>
      <c r="DW36" s="133"/>
      <c r="DX36" s="133"/>
      <c r="DY36" s="133"/>
      <c r="DZ36" s="133"/>
      <c r="EA36" s="133"/>
      <c r="EB36" s="133"/>
      <c r="EC36" s="133"/>
      <c r="ED36" s="133"/>
      <c r="EE36" s="133"/>
      <c r="EF36" s="133"/>
      <c r="EG36" s="133"/>
      <c r="EH36" s="133"/>
      <c r="EI36" s="133"/>
      <c r="EJ36" s="133"/>
      <c r="EK36" s="133"/>
      <c r="EL36" s="133"/>
      <c r="EM36" s="133"/>
      <c r="EN36" s="133"/>
      <c r="EO36" s="133"/>
      <c r="EP36" s="133"/>
      <c r="EQ36" s="133"/>
      <c r="ER36" s="133"/>
      <c r="ES36" s="133"/>
      <c r="ET36" s="133"/>
      <c r="EU36" s="133"/>
      <c r="EV36" s="133"/>
      <c r="EW36" s="133"/>
      <c r="EX36" s="133"/>
      <c r="EY36" s="133"/>
      <c r="EZ36" s="133"/>
      <c r="FA36" s="133"/>
      <c r="FB36" s="133"/>
      <c r="FC36" s="133"/>
      <c r="FD36" s="133"/>
      <c r="FE36" s="133"/>
      <c r="FF36" s="133"/>
      <c r="FG36" s="133"/>
      <c r="FH36" s="133"/>
      <c r="FI36" s="133"/>
      <c r="FJ36" s="133"/>
      <c r="FK36" s="133"/>
      <c r="FL36" s="133"/>
      <c r="FM36" s="133"/>
      <c r="FN36" s="133"/>
      <c r="FO36" s="133"/>
      <c r="FP36" s="133"/>
      <c r="FQ36" s="133"/>
      <c r="FR36" s="133"/>
      <c r="FS36" s="133"/>
      <c r="FT36" s="133"/>
      <c r="FU36" s="133"/>
      <c r="FV36" s="133"/>
      <c r="FW36" s="133"/>
      <c r="FX36" s="133"/>
      <c r="FY36" s="133"/>
      <c r="FZ36" s="133"/>
      <c r="GA36" s="133"/>
      <c r="GB36" s="133"/>
      <c r="GC36" s="133"/>
      <c r="GD36" s="133"/>
      <c r="GE36" s="133"/>
      <c r="GF36" s="133"/>
      <c r="GG36" s="133"/>
      <c r="GH36" s="133"/>
      <c r="GI36" s="133"/>
      <c r="GJ36" s="133"/>
      <c r="GK36" s="133"/>
      <c r="GL36" s="133"/>
      <c r="GM36" s="133"/>
      <c r="GN36" s="133"/>
      <c r="GO36" s="133"/>
      <c r="GP36" s="133"/>
      <c r="GQ36" s="133"/>
      <c r="GR36" s="133"/>
      <c r="GS36" s="133"/>
      <c r="GT36" s="133"/>
      <c r="GU36" s="133"/>
      <c r="GV36" s="133"/>
      <c r="GW36" s="133"/>
      <c r="GX36" s="133"/>
      <c r="GY36" s="133"/>
      <c r="GZ36" s="133"/>
      <c r="HA36" s="133"/>
      <c r="HB36" s="133"/>
      <c r="HC36" s="133"/>
      <c r="HD36" s="133"/>
      <c r="HE36" s="133"/>
      <c r="HF36" s="133"/>
      <c r="HG36" s="133"/>
      <c r="HH36" s="133"/>
      <c r="HI36" s="133"/>
      <c r="HJ36" s="133"/>
      <c r="HK36" s="133"/>
      <c r="HL36" s="133"/>
      <c r="HM36" s="133"/>
      <c r="HN36" s="133"/>
      <c r="HO36" s="133"/>
      <c r="HP36" s="133"/>
      <c r="HQ36" s="133"/>
      <c r="HR36" s="133"/>
      <c r="HS36" s="133"/>
      <c r="HT36" s="133"/>
      <c r="HU36" s="133"/>
      <c r="HV36" s="133"/>
      <c r="HW36" s="133"/>
      <c r="HX36" s="133"/>
      <c r="HY36" s="133"/>
      <c r="HZ36" s="133"/>
      <c r="IA36" s="133"/>
      <c r="IB36" s="133"/>
      <c r="IC36" s="133"/>
      <c r="ID36" s="133"/>
      <c r="IE36" s="133"/>
      <c r="IF36" s="133"/>
      <c r="IG36" s="133"/>
      <c r="IH36" s="133"/>
      <c r="II36" s="133"/>
      <c r="IJ36" s="133"/>
      <c r="IK36" s="133"/>
      <c r="IL36" s="133"/>
      <c r="IM36" s="133"/>
      <c r="IN36" s="133"/>
      <c r="IO36" s="133"/>
      <c r="IP36" s="133"/>
      <c r="IQ36" s="133"/>
      <c r="IR36" s="133"/>
      <c r="IS36" s="133"/>
      <c r="IT36" s="133"/>
      <c r="IU36" s="133"/>
    </row>
    <row r="37" spans="1:255" x14ac:dyDescent="0.2">
      <c r="A37" s="113" t="s">
        <v>46</v>
      </c>
      <c r="B37" s="110">
        <v>764</v>
      </c>
      <c r="C37" s="110">
        <v>7366</v>
      </c>
      <c r="D37" s="110">
        <v>24160</v>
      </c>
      <c r="E37" s="110">
        <v>36968</v>
      </c>
      <c r="F37" s="134">
        <v>6116</v>
      </c>
      <c r="G37" s="135">
        <v>35203</v>
      </c>
      <c r="H37" s="110">
        <v>5429</v>
      </c>
      <c r="I37" s="110">
        <v>10636</v>
      </c>
      <c r="J37" s="110">
        <v>23059</v>
      </c>
      <c r="K37" s="136">
        <f>SUM(B37:J37)</f>
        <v>149701</v>
      </c>
      <c r="L37" s="133"/>
      <c r="M37" s="133"/>
      <c r="N37" s="133"/>
      <c r="O37" s="133"/>
      <c r="P37" s="133"/>
      <c r="Q37" s="133"/>
      <c r="R37" s="133"/>
      <c r="S37" s="133"/>
      <c r="T37" s="133"/>
      <c r="U37" s="133"/>
      <c r="V37" s="133"/>
      <c r="W37" s="133"/>
      <c r="X37" s="133"/>
      <c r="Y37" s="133"/>
      <c r="Z37" s="133"/>
      <c r="AA37" s="133"/>
      <c r="AB37" s="133"/>
      <c r="AC37" s="133"/>
      <c r="AD37" s="133"/>
      <c r="AE37" s="133"/>
      <c r="AF37" s="133"/>
      <c r="AG37" s="133"/>
      <c r="AH37" s="133"/>
      <c r="AI37" s="133"/>
      <c r="AJ37" s="133"/>
      <c r="AK37" s="133"/>
      <c r="AL37" s="133"/>
      <c r="AM37" s="133"/>
      <c r="AN37" s="133"/>
      <c r="AO37" s="133"/>
      <c r="AP37" s="133"/>
      <c r="AQ37" s="133"/>
      <c r="AR37" s="133"/>
      <c r="AS37" s="133"/>
      <c r="AT37" s="133"/>
      <c r="AU37" s="133"/>
      <c r="AV37" s="133"/>
      <c r="AW37" s="133"/>
      <c r="AX37" s="133"/>
      <c r="AY37" s="133"/>
      <c r="AZ37" s="133"/>
      <c r="BA37" s="133"/>
      <c r="BB37" s="133"/>
      <c r="BC37" s="133"/>
      <c r="BD37" s="133"/>
      <c r="BE37" s="133"/>
      <c r="BF37" s="133"/>
      <c r="BG37" s="133"/>
      <c r="BH37" s="133"/>
      <c r="BI37" s="133"/>
      <c r="BJ37" s="133"/>
      <c r="BK37" s="133"/>
      <c r="BL37" s="133"/>
      <c r="BM37" s="133"/>
      <c r="BN37" s="133"/>
      <c r="BO37" s="133"/>
      <c r="BP37" s="133"/>
      <c r="BQ37" s="133"/>
      <c r="BR37" s="133"/>
      <c r="BS37" s="133"/>
      <c r="BT37" s="133"/>
      <c r="BU37" s="133"/>
      <c r="BV37" s="133"/>
      <c r="BW37" s="133"/>
      <c r="BX37" s="133"/>
      <c r="BY37" s="133"/>
      <c r="BZ37" s="133"/>
      <c r="CA37" s="133"/>
      <c r="CB37" s="133"/>
      <c r="CC37" s="133"/>
      <c r="CD37" s="133"/>
      <c r="CE37" s="133"/>
      <c r="CF37" s="133"/>
      <c r="CG37" s="133"/>
      <c r="CH37" s="133"/>
      <c r="CI37" s="133"/>
      <c r="CJ37" s="133"/>
      <c r="CK37" s="133"/>
      <c r="CL37" s="133"/>
      <c r="CM37" s="133"/>
      <c r="CN37" s="133"/>
      <c r="CO37" s="133"/>
      <c r="CP37" s="133"/>
      <c r="CQ37" s="133"/>
      <c r="CR37" s="133"/>
      <c r="CS37" s="133"/>
      <c r="CT37" s="133"/>
      <c r="CU37" s="133"/>
      <c r="CV37" s="133"/>
      <c r="CW37" s="133"/>
      <c r="CX37" s="133"/>
      <c r="CY37" s="133"/>
      <c r="CZ37" s="133"/>
      <c r="DA37" s="133"/>
      <c r="DB37" s="133"/>
      <c r="DC37" s="133"/>
      <c r="DD37" s="133"/>
      <c r="DE37" s="133"/>
      <c r="DF37" s="133"/>
      <c r="DG37" s="133"/>
      <c r="DH37" s="133"/>
      <c r="DI37" s="133"/>
      <c r="DJ37" s="133"/>
      <c r="DK37" s="133"/>
      <c r="DL37" s="133"/>
      <c r="DM37" s="133"/>
      <c r="DN37" s="133"/>
      <c r="DO37" s="133"/>
      <c r="DP37" s="133"/>
      <c r="DQ37" s="133"/>
      <c r="DR37" s="133"/>
      <c r="DS37" s="133"/>
      <c r="DT37" s="133"/>
      <c r="DU37" s="133"/>
      <c r="DV37" s="133"/>
      <c r="DW37" s="133"/>
      <c r="DX37" s="133"/>
      <c r="DY37" s="133"/>
      <c r="DZ37" s="133"/>
      <c r="EA37" s="133"/>
      <c r="EB37" s="133"/>
      <c r="EC37" s="133"/>
      <c r="ED37" s="133"/>
      <c r="EE37" s="133"/>
      <c r="EF37" s="133"/>
      <c r="EG37" s="133"/>
      <c r="EH37" s="133"/>
      <c r="EI37" s="133"/>
      <c r="EJ37" s="133"/>
      <c r="EK37" s="133"/>
      <c r="EL37" s="133"/>
      <c r="EM37" s="133"/>
      <c r="EN37" s="133"/>
      <c r="EO37" s="133"/>
      <c r="EP37" s="133"/>
      <c r="EQ37" s="133"/>
      <c r="ER37" s="133"/>
      <c r="ES37" s="133"/>
      <c r="ET37" s="133"/>
      <c r="EU37" s="133"/>
      <c r="EV37" s="133"/>
      <c r="EW37" s="133"/>
      <c r="EX37" s="133"/>
      <c r="EY37" s="133"/>
      <c r="EZ37" s="133"/>
      <c r="FA37" s="133"/>
      <c r="FB37" s="133"/>
      <c r="FC37" s="133"/>
      <c r="FD37" s="133"/>
      <c r="FE37" s="133"/>
      <c r="FF37" s="133"/>
      <c r="FG37" s="133"/>
      <c r="FH37" s="133"/>
      <c r="FI37" s="133"/>
      <c r="FJ37" s="133"/>
      <c r="FK37" s="133"/>
      <c r="FL37" s="133"/>
      <c r="FM37" s="133"/>
      <c r="FN37" s="133"/>
      <c r="FO37" s="133"/>
      <c r="FP37" s="133"/>
      <c r="FQ37" s="133"/>
      <c r="FR37" s="133"/>
      <c r="FS37" s="133"/>
      <c r="FT37" s="133"/>
      <c r="FU37" s="133"/>
      <c r="FV37" s="133"/>
      <c r="FW37" s="133"/>
      <c r="FX37" s="133"/>
      <c r="FY37" s="133"/>
      <c r="FZ37" s="133"/>
      <c r="GA37" s="133"/>
      <c r="GB37" s="133"/>
      <c r="GC37" s="133"/>
      <c r="GD37" s="133"/>
      <c r="GE37" s="133"/>
      <c r="GF37" s="133"/>
      <c r="GG37" s="133"/>
      <c r="GH37" s="133"/>
      <c r="GI37" s="133"/>
      <c r="GJ37" s="133"/>
      <c r="GK37" s="133"/>
      <c r="GL37" s="133"/>
      <c r="GM37" s="133"/>
      <c r="GN37" s="133"/>
      <c r="GO37" s="133"/>
      <c r="GP37" s="133"/>
      <c r="GQ37" s="133"/>
      <c r="GR37" s="133"/>
      <c r="GS37" s="133"/>
      <c r="GT37" s="133"/>
      <c r="GU37" s="133"/>
      <c r="GV37" s="133"/>
      <c r="GW37" s="133"/>
      <c r="GX37" s="133"/>
      <c r="GY37" s="133"/>
      <c r="GZ37" s="133"/>
      <c r="HA37" s="133"/>
      <c r="HB37" s="133"/>
      <c r="HC37" s="133"/>
      <c r="HD37" s="133"/>
      <c r="HE37" s="133"/>
      <c r="HF37" s="133"/>
      <c r="HG37" s="133"/>
      <c r="HH37" s="133"/>
      <c r="HI37" s="133"/>
      <c r="HJ37" s="133"/>
      <c r="HK37" s="133"/>
      <c r="HL37" s="133"/>
      <c r="HM37" s="133"/>
      <c r="HN37" s="133"/>
      <c r="HO37" s="133"/>
      <c r="HP37" s="133"/>
      <c r="HQ37" s="133"/>
      <c r="HR37" s="133"/>
      <c r="HS37" s="133"/>
      <c r="HT37" s="133"/>
      <c r="HU37" s="133"/>
      <c r="HV37" s="133"/>
      <c r="HW37" s="133"/>
      <c r="HX37" s="133"/>
      <c r="HY37" s="133"/>
      <c r="HZ37" s="133"/>
      <c r="IA37" s="133"/>
      <c r="IB37" s="133"/>
      <c r="IC37" s="133"/>
      <c r="ID37" s="133"/>
      <c r="IE37" s="133"/>
      <c r="IF37" s="133"/>
      <c r="IG37" s="133"/>
      <c r="IH37" s="133"/>
      <c r="II37" s="133"/>
      <c r="IJ37" s="133"/>
      <c r="IK37" s="133"/>
      <c r="IL37" s="133"/>
      <c r="IM37" s="133"/>
      <c r="IN37" s="133"/>
      <c r="IO37" s="133"/>
      <c r="IP37" s="133"/>
      <c r="IQ37" s="133"/>
      <c r="IR37" s="133"/>
      <c r="IS37" s="133"/>
      <c r="IT37" s="133"/>
      <c r="IU37" s="133"/>
    </row>
    <row r="38" spans="1:255" x14ac:dyDescent="0.2">
      <c r="A38" s="113" t="s">
        <v>201</v>
      </c>
      <c r="D38" s="110">
        <v>5398</v>
      </c>
      <c r="F38" s="110"/>
      <c r="I38" s="110"/>
      <c r="J38" s="110">
        <v>6120</v>
      </c>
      <c r="K38" s="136">
        <f>SUM(B38:J38)</f>
        <v>11518</v>
      </c>
      <c r="L38" s="133"/>
      <c r="M38" s="133"/>
      <c r="N38" s="133"/>
      <c r="O38" s="133"/>
      <c r="P38" s="133"/>
      <c r="Q38" s="133"/>
      <c r="R38" s="133"/>
      <c r="S38" s="133"/>
      <c r="T38" s="133"/>
      <c r="U38" s="133"/>
      <c r="V38" s="133"/>
      <c r="W38" s="133"/>
      <c r="X38" s="133"/>
      <c r="Y38" s="133"/>
      <c r="Z38" s="133"/>
      <c r="AA38" s="133"/>
      <c r="AB38" s="133"/>
      <c r="AC38" s="133"/>
      <c r="AD38" s="133"/>
      <c r="AE38" s="133"/>
      <c r="AF38" s="133"/>
      <c r="AG38" s="133"/>
      <c r="AH38" s="133"/>
      <c r="AI38" s="133"/>
      <c r="AJ38" s="133"/>
      <c r="AK38" s="133"/>
      <c r="AL38" s="133"/>
      <c r="AM38" s="133"/>
      <c r="AN38" s="133"/>
      <c r="AO38" s="133"/>
      <c r="AP38" s="133"/>
      <c r="AQ38" s="133"/>
      <c r="AR38" s="133"/>
      <c r="AS38" s="133"/>
      <c r="AT38" s="133"/>
      <c r="AU38" s="133"/>
      <c r="AV38" s="133"/>
      <c r="AW38" s="133"/>
      <c r="AX38" s="133"/>
      <c r="AY38" s="133"/>
      <c r="AZ38" s="133"/>
      <c r="BA38" s="133"/>
      <c r="BB38" s="133"/>
      <c r="BC38" s="133"/>
      <c r="BD38" s="133"/>
      <c r="BE38" s="133"/>
      <c r="BF38" s="133"/>
      <c r="BG38" s="133"/>
      <c r="BH38" s="133"/>
      <c r="BI38" s="133"/>
      <c r="BJ38" s="133"/>
      <c r="BK38" s="133"/>
      <c r="BL38" s="133"/>
      <c r="BM38" s="133"/>
      <c r="BN38" s="133"/>
      <c r="BO38" s="133"/>
      <c r="BP38" s="133"/>
      <c r="BQ38" s="133"/>
      <c r="BR38" s="133"/>
      <c r="BS38" s="133"/>
      <c r="BT38" s="133"/>
      <c r="BU38" s="133"/>
      <c r="BV38" s="133"/>
      <c r="BW38" s="133"/>
      <c r="BX38" s="133"/>
      <c r="BY38" s="133"/>
      <c r="BZ38" s="133"/>
      <c r="CA38" s="133"/>
      <c r="CB38" s="133"/>
      <c r="CC38" s="133"/>
      <c r="CD38" s="133"/>
      <c r="CE38" s="133"/>
      <c r="CF38" s="133"/>
      <c r="CG38" s="133"/>
      <c r="CH38" s="133"/>
      <c r="CI38" s="133"/>
      <c r="CJ38" s="133"/>
      <c r="CK38" s="133"/>
      <c r="CL38" s="133"/>
      <c r="CM38" s="133"/>
      <c r="CN38" s="133"/>
      <c r="CO38" s="133"/>
      <c r="CP38" s="133"/>
      <c r="CQ38" s="133"/>
      <c r="CR38" s="133"/>
      <c r="CS38" s="133"/>
      <c r="CT38" s="133"/>
      <c r="CU38" s="133"/>
      <c r="CV38" s="133"/>
      <c r="CW38" s="133"/>
      <c r="CX38" s="133"/>
      <c r="CY38" s="133"/>
      <c r="CZ38" s="133"/>
      <c r="DA38" s="133"/>
      <c r="DB38" s="133"/>
      <c r="DC38" s="133"/>
      <c r="DD38" s="133"/>
      <c r="DE38" s="133"/>
      <c r="DF38" s="133"/>
      <c r="DG38" s="133"/>
      <c r="DH38" s="133"/>
      <c r="DI38" s="133"/>
      <c r="DJ38" s="133"/>
      <c r="DK38" s="133"/>
      <c r="DL38" s="133"/>
      <c r="DM38" s="133"/>
      <c r="DN38" s="133"/>
      <c r="DO38" s="133"/>
      <c r="DP38" s="133"/>
      <c r="DQ38" s="133"/>
      <c r="DR38" s="133"/>
      <c r="DS38" s="133"/>
      <c r="DT38" s="133"/>
      <c r="DU38" s="133"/>
      <c r="DV38" s="133"/>
      <c r="DW38" s="133"/>
      <c r="DX38" s="133"/>
      <c r="DY38" s="133"/>
      <c r="DZ38" s="133"/>
      <c r="EA38" s="133"/>
      <c r="EB38" s="133"/>
      <c r="EC38" s="133"/>
      <c r="ED38" s="133"/>
      <c r="EE38" s="133"/>
      <c r="EF38" s="133"/>
      <c r="EG38" s="133"/>
      <c r="EH38" s="133"/>
      <c r="EI38" s="133"/>
      <c r="EJ38" s="133"/>
      <c r="EK38" s="133"/>
      <c r="EL38" s="133"/>
      <c r="EM38" s="133"/>
      <c r="EN38" s="133"/>
      <c r="EO38" s="133"/>
      <c r="EP38" s="133"/>
      <c r="EQ38" s="133"/>
      <c r="ER38" s="133"/>
      <c r="ES38" s="133"/>
      <c r="ET38" s="133"/>
      <c r="EU38" s="133"/>
      <c r="EV38" s="133"/>
      <c r="EW38" s="133"/>
      <c r="EX38" s="133"/>
      <c r="EY38" s="133"/>
      <c r="EZ38" s="133"/>
      <c r="FA38" s="133"/>
      <c r="FB38" s="133"/>
      <c r="FC38" s="133"/>
      <c r="FD38" s="133"/>
      <c r="FE38" s="133"/>
      <c r="FF38" s="133"/>
      <c r="FG38" s="133"/>
      <c r="FH38" s="133"/>
      <c r="FI38" s="133"/>
      <c r="FJ38" s="133"/>
      <c r="FK38" s="133"/>
      <c r="FL38" s="133"/>
      <c r="FM38" s="133"/>
      <c r="FN38" s="133"/>
      <c r="FO38" s="133"/>
      <c r="FP38" s="133"/>
      <c r="FQ38" s="133"/>
      <c r="FR38" s="133"/>
      <c r="FS38" s="133"/>
      <c r="FT38" s="133"/>
      <c r="FU38" s="133"/>
      <c r="FV38" s="133"/>
      <c r="FW38" s="133"/>
      <c r="FX38" s="133"/>
      <c r="FY38" s="133"/>
      <c r="FZ38" s="133"/>
      <c r="GA38" s="133"/>
      <c r="GB38" s="133"/>
      <c r="GC38" s="133"/>
      <c r="GD38" s="133"/>
      <c r="GE38" s="133"/>
      <c r="GF38" s="133"/>
      <c r="GG38" s="133"/>
      <c r="GH38" s="133"/>
      <c r="GI38" s="133"/>
      <c r="GJ38" s="133"/>
      <c r="GK38" s="133"/>
      <c r="GL38" s="133"/>
      <c r="GM38" s="133"/>
      <c r="GN38" s="133"/>
      <c r="GO38" s="133"/>
      <c r="GP38" s="133"/>
      <c r="GQ38" s="133"/>
      <c r="GR38" s="133"/>
      <c r="GS38" s="133"/>
      <c r="GT38" s="133"/>
      <c r="GU38" s="133"/>
      <c r="GV38" s="133"/>
      <c r="GW38" s="133"/>
      <c r="GX38" s="133"/>
      <c r="GY38" s="133"/>
      <c r="GZ38" s="133"/>
      <c r="HA38" s="133"/>
      <c r="HB38" s="133"/>
      <c r="HC38" s="133"/>
      <c r="HD38" s="133"/>
      <c r="HE38" s="133"/>
      <c r="HF38" s="133"/>
      <c r="HG38" s="133"/>
      <c r="HH38" s="133"/>
      <c r="HI38" s="133"/>
      <c r="HJ38" s="133"/>
      <c r="HK38" s="133"/>
      <c r="HL38" s="133"/>
      <c r="HM38" s="133"/>
      <c r="HN38" s="133"/>
      <c r="HO38" s="133"/>
      <c r="HP38" s="133"/>
      <c r="HQ38" s="133"/>
      <c r="HR38" s="133"/>
      <c r="HS38" s="133"/>
      <c r="HT38" s="133"/>
      <c r="HU38" s="133"/>
      <c r="HV38" s="133"/>
      <c r="HW38" s="133"/>
      <c r="HX38" s="133"/>
      <c r="HY38" s="133"/>
      <c r="HZ38" s="133"/>
      <c r="IA38" s="133"/>
      <c r="IB38" s="133"/>
      <c r="IC38" s="133"/>
      <c r="ID38" s="133"/>
      <c r="IE38" s="133"/>
      <c r="IF38" s="133"/>
      <c r="IG38" s="133"/>
      <c r="IH38" s="133"/>
      <c r="II38" s="133"/>
      <c r="IJ38" s="133"/>
      <c r="IK38" s="133"/>
      <c r="IL38" s="133"/>
      <c r="IM38" s="133"/>
      <c r="IN38" s="133"/>
      <c r="IO38" s="133"/>
      <c r="IP38" s="133"/>
      <c r="IQ38" s="133"/>
      <c r="IR38" s="133"/>
      <c r="IS38" s="133"/>
      <c r="IT38" s="133"/>
      <c r="IU38" s="133"/>
    </row>
    <row r="39" spans="1:255" ht="14.25" x14ac:dyDescent="0.2">
      <c r="A39" s="126" t="s">
        <v>202</v>
      </c>
      <c r="C39" s="110">
        <v>6365</v>
      </c>
      <c r="F39" s="110">
        <v>1305</v>
      </c>
      <c r="H39" s="110">
        <v>10357</v>
      </c>
      <c r="I39" s="110"/>
      <c r="J39" s="110">
        <v>28449</v>
      </c>
      <c r="K39" s="136">
        <f>SUM(B39:J39)</f>
        <v>46476</v>
      </c>
      <c r="L39" s="133"/>
      <c r="M39" s="133"/>
      <c r="N39" s="133"/>
      <c r="O39" s="133"/>
      <c r="P39" s="133"/>
      <c r="Q39" s="133"/>
      <c r="R39" s="133"/>
      <c r="S39" s="133"/>
      <c r="T39" s="133"/>
      <c r="U39" s="133"/>
      <c r="V39" s="133"/>
      <c r="W39" s="133"/>
      <c r="X39" s="133"/>
      <c r="Y39" s="133"/>
      <c r="Z39" s="133"/>
      <c r="AA39" s="133"/>
      <c r="AB39" s="133"/>
      <c r="AC39" s="133"/>
      <c r="AD39" s="133"/>
      <c r="AE39" s="133"/>
      <c r="AF39" s="133"/>
      <c r="AG39" s="133"/>
      <c r="AH39" s="133"/>
      <c r="AI39" s="133"/>
      <c r="AJ39" s="133"/>
      <c r="AK39" s="133"/>
      <c r="AL39" s="133"/>
      <c r="AM39" s="133"/>
      <c r="AN39" s="133"/>
      <c r="AO39" s="133"/>
      <c r="AP39" s="133"/>
      <c r="AQ39" s="133"/>
      <c r="AR39" s="133"/>
      <c r="AS39" s="133"/>
      <c r="AT39" s="133"/>
      <c r="AU39" s="133"/>
      <c r="AV39" s="133"/>
      <c r="AW39" s="133"/>
      <c r="AX39" s="133"/>
      <c r="AY39" s="133"/>
      <c r="AZ39" s="133"/>
      <c r="BA39" s="133"/>
      <c r="BB39" s="133"/>
      <c r="BC39" s="133"/>
      <c r="BD39" s="133"/>
      <c r="BE39" s="133"/>
      <c r="BF39" s="133"/>
      <c r="BG39" s="133"/>
      <c r="BH39" s="133"/>
      <c r="BI39" s="133"/>
      <c r="BJ39" s="133"/>
      <c r="BK39" s="133"/>
      <c r="BL39" s="133"/>
      <c r="BM39" s="133"/>
      <c r="BN39" s="133"/>
      <c r="BO39" s="133"/>
      <c r="BP39" s="133"/>
      <c r="BQ39" s="133"/>
      <c r="BR39" s="133"/>
      <c r="BS39" s="133"/>
      <c r="BT39" s="133"/>
      <c r="BU39" s="133"/>
      <c r="BV39" s="133"/>
      <c r="BW39" s="133"/>
      <c r="BX39" s="133"/>
      <c r="BY39" s="133"/>
      <c r="BZ39" s="133"/>
      <c r="CA39" s="133"/>
      <c r="CB39" s="133"/>
      <c r="CC39" s="133"/>
      <c r="CD39" s="133"/>
      <c r="CE39" s="133"/>
      <c r="CF39" s="133"/>
      <c r="CG39" s="133"/>
      <c r="CH39" s="133"/>
      <c r="CI39" s="133"/>
      <c r="CJ39" s="133"/>
      <c r="CK39" s="133"/>
      <c r="CL39" s="133"/>
      <c r="CM39" s="133"/>
      <c r="CN39" s="133"/>
      <c r="CO39" s="133"/>
      <c r="CP39" s="133"/>
      <c r="CQ39" s="133"/>
      <c r="CR39" s="133"/>
      <c r="CS39" s="133"/>
      <c r="CT39" s="133"/>
      <c r="CU39" s="133"/>
      <c r="CV39" s="133"/>
      <c r="CW39" s="133"/>
      <c r="CX39" s="133"/>
      <c r="CY39" s="133"/>
      <c r="CZ39" s="133"/>
      <c r="DA39" s="133"/>
      <c r="DB39" s="133"/>
      <c r="DC39" s="133"/>
      <c r="DD39" s="133"/>
      <c r="DE39" s="133"/>
      <c r="DF39" s="133"/>
      <c r="DG39" s="133"/>
      <c r="DH39" s="133"/>
      <c r="DI39" s="133"/>
      <c r="DJ39" s="133"/>
      <c r="DK39" s="133"/>
      <c r="DL39" s="133"/>
      <c r="DM39" s="133"/>
      <c r="DN39" s="133"/>
      <c r="DO39" s="133"/>
      <c r="DP39" s="133"/>
      <c r="DQ39" s="133"/>
      <c r="DR39" s="133"/>
      <c r="DS39" s="133"/>
      <c r="DT39" s="133"/>
      <c r="DU39" s="133"/>
      <c r="DV39" s="133"/>
      <c r="DW39" s="133"/>
      <c r="DX39" s="133"/>
      <c r="DY39" s="133"/>
      <c r="DZ39" s="133"/>
      <c r="EA39" s="133"/>
      <c r="EB39" s="133"/>
      <c r="EC39" s="133"/>
      <c r="ED39" s="133"/>
      <c r="EE39" s="133"/>
      <c r="EF39" s="133"/>
      <c r="EG39" s="133"/>
      <c r="EH39" s="133"/>
      <c r="EI39" s="133"/>
      <c r="EJ39" s="133"/>
      <c r="EK39" s="133"/>
      <c r="EL39" s="133"/>
      <c r="EM39" s="133"/>
      <c r="EN39" s="133"/>
      <c r="EO39" s="133"/>
      <c r="EP39" s="133"/>
      <c r="EQ39" s="133"/>
      <c r="ER39" s="133"/>
      <c r="ES39" s="133"/>
      <c r="ET39" s="133"/>
      <c r="EU39" s="133"/>
      <c r="EV39" s="133"/>
      <c r="EW39" s="133"/>
      <c r="EX39" s="133"/>
      <c r="EY39" s="133"/>
      <c r="EZ39" s="133"/>
      <c r="FA39" s="133"/>
      <c r="FB39" s="133"/>
      <c r="FC39" s="133"/>
      <c r="FD39" s="133"/>
      <c r="FE39" s="133"/>
      <c r="FF39" s="133"/>
      <c r="FG39" s="133"/>
      <c r="FH39" s="133"/>
      <c r="FI39" s="133"/>
      <c r="FJ39" s="133"/>
      <c r="FK39" s="133"/>
      <c r="FL39" s="133"/>
      <c r="FM39" s="133"/>
      <c r="FN39" s="133"/>
      <c r="FO39" s="133"/>
      <c r="FP39" s="133"/>
      <c r="FQ39" s="133"/>
      <c r="FR39" s="133"/>
      <c r="FS39" s="133"/>
      <c r="FT39" s="133"/>
      <c r="FU39" s="133"/>
      <c r="FV39" s="133"/>
      <c r="FW39" s="133"/>
      <c r="FX39" s="133"/>
      <c r="FY39" s="133"/>
      <c r="FZ39" s="133"/>
      <c r="GA39" s="133"/>
      <c r="GB39" s="133"/>
      <c r="GC39" s="133"/>
      <c r="GD39" s="133"/>
      <c r="GE39" s="133"/>
      <c r="GF39" s="133"/>
      <c r="GG39" s="133"/>
      <c r="GH39" s="133"/>
      <c r="GI39" s="133"/>
      <c r="GJ39" s="133"/>
      <c r="GK39" s="133"/>
      <c r="GL39" s="133"/>
      <c r="GM39" s="133"/>
      <c r="GN39" s="133"/>
      <c r="GO39" s="133"/>
      <c r="GP39" s="133"/>
      <c r="GQ39" s="133"/>
      <c r="GR39" s="133"/>
      <c r="GS39" s="133"/>
      <c r="GT39" s="133"/>
      <c r="GU39" s="133"/>
      <c r="GV39" s="133"/>
      <c r="GW39" s="133"/>
      <c r="GX39" s="133"/>
      <c r="GY39" s="133"/>
      <c r="GZ39" s="133"/>
      <c r="HA39" s="133"/>
      <c r="HB39" s="133"/>
      <c r="HC39" s="133"/>
      <c r="HD39" s="133"/>
      <c r="HE39" s="133"/>
      <c r="HF39" s="133"/>
      <c r="HG39" s="133"/>
      <c r="HH39" s="133"/>
      <c r="HI39" s="133"/>
      <c r="HJ39" s="133"/>
      <c r="HK39" s="133"/>
      <c r="HL39" s="133"/>
      <c r="HM39" s="133"/>
      <c r="HN39" s="133"/>
      <c r="HO39" s="133"/>
      <c r="HP39" s="133"/>
      <c r="HQ39" s="133"/>
      <c r="HR39" s="133"/>
      <c r="HS39" s="133"/>
      <c r="HT39" s="133"/>
      <c r="HU39" s="133"/>
      <c r="HV39" s="133"/>
      <c r="HW39" s="133"/>
      <c r="HX39" s="133"/>
      <c r="HY39" s="133"/>
      <c r="HZ39" s="133"/>
      <c r="IA39" s="133"/>
      <c r="IB39" s="133"/>
      <c r="IC39" s="133"/>
      <c r="ID39" s="133"/>
      <c r="IE39" s="133"/>
      <c r="IF39" s="133"/>
      <c r="IG39" s="133"/>
      <c r="IH39" s="133"/>
      <c r="II39" s="133"/>
      <c r="IJ39" s="133"/>
      <c r="IK39" s="133"/>
      <c r="IL39" s="133"/>
      <c r="IM39" s="133"/>
      <c r="IN39" s="133"/>
      <c r="IO39" s="133"/>
      <c r="IP39" s="133"/>
      <c r="IQ39" s="133"/>
      <c r="IR39" s="133"/>
      <c r="IS39" s="133"/>
      <c r="IT39" s="133"/>
      <c r="IU39" s="133"/>
    </row>
    <row r="40" spans="1:255" x14ac:dyDescent="0.2">
      <c r="F40" s="110"/>
      <c r="I40" s="110"/>
      <c r="J40" s="137"/>
      <c r="K40" s="110"/>
      <c r="L40" s="133"/>
      <c r="M40" s="133"/>
      <c r="N40" s="133"/>
      <c r="O40" s="133"/>
      <c r="P40" s="133"/>
      <c r="Q40" s="133"/>
      <c r="R40" s="133"/>
      <c r="S40" s="133"/>
      <c r="T40" s="133"/>
      <c r="U40" s="133"/>
      <c r="V40" s="133"/>
      <c r="W40" s="133"/>
      <c r="X40" s="133"/>
      <c r="Y40" s="133"/>
      <c r="Z40" s="133"/>
      <c r="AA40" s="133"/>
      <c r="AB40" s="133"/>
      <c r="AC40" s="133"/>
      <c r="AD40" s="133"/>
      <c r="AE40" s="133"/>
      <c r="AF40" s="133"/>
      <c r="AG40" s="133"/>
      <c r="AH40" s="133"/>
      <c r="AI40" s="133"/>
      <c r="AJ40" s="133"/>
      <c r="AK40" s="133"/>
      <c r="AL40" s="133"/>
      <c r="AM40" s="133"/>
      <c r="AN40" s="133"/>
      <c r="AO40" s="133"/>
      <c r="AP40" s="133"/>
      <c r="AQ40" s="133"/>
      <c r="AR40" s="133"/>
      <c r="AS40" s="133"/>
      <c r="AT40" s="133"/>
      <c r="AU40" s="133"/>
      <c r="AV40" s="133"/>
      <c r="AW40" s="133"/>
      <c r="AX40" s="133"/>
      <c r="AY40" s="133"/>
      <c r="AZ40" s="133"/>
      <c r="BA40" s="133"/>
      <c r="BB40" s="133"/>
      <c r="BC40" s="133"/>
      <c r="BD40" s="133"/>
      <c r="BE40" s="133"/>
      <c r="BF40" s="133"/>
      <c r="BG40" s="133"/>
      <c r="BH40" s="133"/>
      <c r="BI40" s="133"/>
      <c r="BJ40" s="133"/>
      <c r="BK40" s="133"/>
      <c r="BL40" s="133"/>
      <c r="BM40" s="133"/>
      <c r="BN40" s="133"/>
      <c r="BO40" s="133"/>
      <c r="BP40" s="133"/>
      <c r="BQ40" s="133"/>
      <c r="BR40" s="133"/>
      <c r="BS40" s="133"/>
      <c r="BT40" s="133"/>
      <c r="BU40" s="133"/>
      <c r="BV40" s="133"/>
      <c r="BW40" s="133"/>
      <c r="BX40" s="133"/>
      <c r="BY40" s="133"/>
      <c r="BZ40" s="133"/>
      <c r="CA40" s="133"/>
      <c r="CB40" s="133"/>
      <c r="CC40" s="133"/>
      <c r="CD40" s="133"/>
      <c r="CE40" s="133"/>
      <c r="CF40" s="133"/>
      <c r="CG40" s="133"/>
      <c r="CH40" s="133"/>
      <c r="CI40" s="133"/>
      <c r="CJ40" s="133"/>
      <c r="CK40" s="133"/>
      <c r="CL40" s="133"/>
      <c r="CM40" s="133"/>
      <c r="CN40" s="133"/>
      <c r="CO40" s="133"/>
      <c r="CP40" s="133"/>
      <c r="CQ40" s="133"/>
      <c r="CR40" s="133"/>
      <c r="CS40" s="133"/>
      <c r="CT40" s="133"/>
      <c r="CU40" s="133"/>
      <c r="CV40" s="133"/>
      <c r="CW40" s="133"/>
      <c r="CX40" s="133"/>
      <c r="CY40" s="133"/>
      <c r="CZ40" s="133"/>
      <c r="DA40" s="133"/>
      <c r="DB40" s="133"/>
      <c r="DC40" s="133"/>
      <c r="DD40" s="133"/>
      <c r="DE40" s="133"/>
      <c r="DF40" s="133"/>
      <c r="DG40" s="133"/>
      <c r="DH40" s="133"/>
      <c r="DI40" s="133"/>
      <c r="DJ40" s="133"/>
      <c r="DK40" s="133"/>
      <c r="DL40" s="133"/>
      <c r="DM40" s="133"/>
      <c r="DN40" s="133"/>
      <c r="DO40" s="133"/>
      <c r="DP40" s="133"/>
      <c r="DQ40" s="133"/>
      <c r="DR40" s="133"/>
      <c r="DS40" s="133"/>
      <c r="DT40" s="133"/>
      <c r="DU40" s="133"/>
      <c r="DV40" s="133"/>
      <c r="DW40" s="133"/>
      <c r="DX40" s="133"/>
      <c r="DY40" s="133"/>
      <c r="DZ40" s="133"/>
      <c r="EA40" s="133"/>
      <c r="EB40" s="133"/>
      <c r="EC40" s="133"/>
      <c r="ED40" s="133"/>
      <c r="EE40" s="133"/>
      <c r="EF40" s="133"/>
      <c r="EG40" s="133"/>
      <c r="EH40" s="133"/>
      <c r="EI40" s="133"/>
      <c r="EJ40" s="133"/>
      <c r="EK40" s="133"/>
      <c r="EL40" s="133"/>
      <c r="EM40" s="133"/>
      <c r="EN40" s="133"/>
      <c r="EO40" s="133"/>
      <c r="EP40" s="133"/>
      <c r="EQ40" s="133"/>
      <c r="ER40" s="133"/>
      <c r="ES40" s="133"/>
      <c r="ET40" s="133"/>
      <c r="EU40" s="133"/>
      <c r="EV40" s="133"/>
      <c r="EW40" s="133"/>
      <c r="EX40" s="133"/>
      <c r="EY40" s="133"/>
      <c r="EZ40" s="133"/>
      <c r="FA40" s="133"/>
      <c r="FB40" s="133"/>
      <c r="FC40" s="133"/>
      <c r="FD40" s="133"/>
      <c r="FE40" s="133"/>
      <c r="FF40" s="133"/>
      <c r="FG40" s="133"/>
      <c r="FH40" s="133"/>
      <c r="FI40" s="133"/>
      <c r="FJ40" s="133"/>
      <c r="FK40" s="133"/>
      <c r="FL40" s="133"/>
      <c r="FM40" s="133"/>
      <c r="FN40" s="133"/>
      <c r="FO40" s="133"/>
      <c r="FP40" s="133"/>
      <c r="FQ40" s="133"/>
      <c r="FR40" s="133"/>
      <c r="FS40" s="133"/>
      <c r="FT40" s="133"/>
      <c r="FU40" s="133"/>
      <c r="FV40" s="133"/>
      <c r="FW40" s="133"/>
      <c r="FX40" s="133"/>
      <c r="FY40" s="133"/>
      <c r="FZ40" s="133"/>
      <c r="GA40" s="133"/>
      <c r="GB40" s="133"/>
      <c r="GC40" s="133"/>
      <c r="GD40" s="133"/>
      <c r="GE40" s="133"/>
      <c r="GF40" s="133"/>
      <c r="GG40" s="133"/>
      <c r="GH40" s="133"/>
      <c r="GI40" s="133"/>
      <c r="GJ40" s="133"/>
      <c r="GK40" s="133"/>
      <c r="GL40" s="133"/>
      <c r="GM40" s="133"/>
      <c r="GN40" s="133"/>
      <c r="GO40" s="133"/>
      <c r="GP40" s="133"/>
      <c r="GQ40" s="133"/>
      <c r="GR40" s="133"/>
      <c r="GS40" s="133"/>
      <c r="GT40" s="133"/>
      <c r="GU40" s="133"/>
      <c r="GV40" s="133"/>
      <c r="GW40" s="133"/>
      <c r="GX40" s="133"/>
      <c r="GY40" s="133"/>
      <c r="GZ40" s="133"/>
      <c r="HA40" s="133"/>
      <c r="HB40" s="133"/>
      <c r="HC40" s="133"/>
      <c r="HD40" s="133"/>
      <c r="HE40" s="133"/>
      <c r="HF40" s="133"/>
      <c r="HG40" s="133"/>
      <c r="HH40" s="133"/>
      <c r="HI40" s="133"/>
      <c r="HJ40" s="133"/>
      <c r="HK40" s="133"/>
      <c r="HL40" s="133"/>
      <c r="HM40" s="133"/>
      <c r="HN40" s="133"/>
      <c r="HO40" s="133"/>
      <c r="HP40" s="133"/>
      <c r="HQ40" s="133"/>
      <c r="HR40" s="133"/>
      <c r="HS40" s="133"/>
      <c r="HT40" s="133"/>
      <c r="HU40" s="133"/>
      <c r="HV40" s="133"/>
      <c r="HW40" s="133"/>
      <c r="HX40" s="133"/>
      <c r="HY40" s="133"/>
      <c r="HZ40" s="133"/>
      <c r="IA40" s="133"/>
      <c r="IB40" s="133"/>
      <c r="IC40" s="133"/>
      <c r="ID40" s="133"/>
      <c r="IE40" s="133"/>
      <c r="IF40" s="133"/>
      <c r="IG40" s="133"/>
      <c r="IH40" s="133"/>
      <c r="II40" s="133"/>
      <c r="IJ40" s="133"/>
      <c r="IK40" s="133"/>
      <c r="IL40" s="133"/>
      <c r="IM40" s="133"/>
      <c r="IN40" s="133"/>
      <c r="IO40" s="133"/>
      <c r="IP40" s="133"/>
      <c r="IQ40" s="133"/>
      <c r="IR40" s="133"/>
      <c r="IS40" s="133"/>
      <c r="IT40" s="133"/>
      <c r="IU40" s="133"/>
    </row>
    <row r="41" spans="1:255" ht="15" customHeight="1" x14ac:dyDescent="0.25">
      <c r="A41" s="121" t="s">
        <v>44</v>
      </c>
      <c r="B41" s="119"/>
      <c r="C41" s="119"/>
      <c r="D41" s="119"/>
      <c r="E41" s="119"/>
      <c r="F41" s="122"/>
      <c r="G41" s="119"/>
      <c r="H41" s="119"/>
      <c r="I41" s="122"/>
      <c r="J41" s="119"/>
      <c r="K41" s="123"/>
    </row>
    <row r="42" spans="1:255" ht="12" customHeight="1" x14ac:dyDescent="0.2">
      <c r="B42" s="119"/>
      <c r="C42" s="119"/>
      <c r="D42" s="119"/>
      <c r="E42" s="119"/>
      <c r="F42" s="122"/>
      <c r="G42" s="119"/>
      <c r="H42" s="119"/>
      <c r="I42" s="122"/>
      <c r="J42" s="119"/>
      <c r="K42" s="123"/>
    </row>
    <row r="43" spans="1:255" ht="12" customHeight="1" x14ac:dyDescent="0.2">
      <c r="A43" s="109" t="s">
        <v>73</v>
      </c>
      <c r="B43" s="119"/>
      <c r="C43" s="119"/>
      <c r="D43" s="119"/>
      <c r="E43" s="119"/>
      <c r="F43" s="122"/>
      <c r="G43" s="119"/>
      <c r="H43" s="119"/>
      <c r="I43" s="122"/>
      <c r="J43" s="119"/>
      <c r="K43" s="123"/>
    </row>
    <row r="44" spans="1:255" ht="12" customHeight="1" x14ac:dyDescent="0.2">
      <c r="B44" s="119"/>
      <c r="C44" s="119"/>
      <c r="D44" s="119"/>
      <c r="E44" s="119"/>
      <c r="F44" s="122"/>
      <c r="G44" s="127"/>
      <c r="H44" s="119"/>
      <c r="I44" s="122"/>
      <c r="J44" s="119"/>
      <c r="K44" s="123"/>
    </row>
    <row r="45" spans="1:255" ht="12" customHeight="1" x14ac:dyDescent="0.2">
      <c r="A45" s="113" t="s">
        <v>74</v>
      </c>
      <c r="B45" s="119">
        <v>49.362942109999999</v>
      </c>
      <c r="C45" s="119">
        <v>63.49</v>
      </c>
      <c r="D45" s="125">
        <v>331.45876700000002</v>
      </c>
      <c r="E45" s="119">
        <v>20.76</v>
      </c>
      <c r="F45" s="122">
        <v>106.872</v>
      </c>
      <c r="G45" s="119">
        <v>36.369999999999997</v>
      </c>
      <c r="H45" s="119">
        <v>102.024</v>
      </c>
      <c r="I45" s="119">
        <v>65.45626566</v>
      </c>
      <c r="J45" s="119">
        <v>401.52320900000001</v>
      </c>
      <c r="K45" s="123">
        <f t="shared" ref="K45:K52" si="5">SUM(B45:J45)</f>
        <v>1177.3171837699999</v>
      </c>
    </row>
    <row r="46" spans="1:255" ht="12" customHeight="1" x14ac:dyDescent="0.2">
      <c r="A46" s="113" t="s">
        <v>75</v>
      </c>
      <c r="B46" s="119">
        <v>15.54801178</v>
      </c>
      <c r="C46" s="119"/>
      <c r="D46" s="119"/>
      <c r="E46" s="119"/>
      <c r="F46" s="122">
        <v>61.558999999999997</v>
      </c>
      <c r="G46" s="119">
        <v>4.4000000000000004</v>
      </c>
      <c r="H46" s="119"/>
      <c r="I46" s="119">
        <v>77.663495999999995</v>
      </c>
      <c r="J46" s="119">
        <v>133.69629699999999</v>
      </c>
      <c r="K46" s="123">
        <f t="shared" si="5"/>
        <v>292.86680477999994</v>
      </c>
    </row>
    <row r="47" spans="1:255" ht="12" customHeight="1" x14ac:dyDescent="0.2">
      <c r="A47" s="113" t="s">
        <v>105</v>
      </c>
      <c r="B47" s="119"/>
      <c r="C47" s="119">
        <v>271.79000000000002</v>
      </c>
      <c r="D47" s="119"/>
      <c r="E47" s="119"/>
      <c r="F47" s="122"/>
      <c r="G47" s="119">
        <v>1580.99</v>
      </c>
      <c r="H47" s="119"/>
      <c r="I47" s="119">
        <v>16.826627469999998</v>
      </c>
      <c r="J47" s="119"/>
      <c r="K47" s="123">
        <f t="shared" si="5"/>
        <v>1869.6066274699999</v>
      </c>
    </row>
    <row r="48" spans="1:255" ht="12" customHeight="1" x14ac:dyDescent="0.2">
      <c r="A48" s="113" t="s">
        <v>107</v>
      </c>
      <c r="B48" s="119">
        <v>15.0765384</v>
      </c>
      <c r="C48" s="119"/>
      <c r="D48" s="119">
        <v>1794.9840429999999</v>
      </c>
      <c r="E48" s="119">
        <v>63.06</v>
      </c>
      <c r="F48" s="122"/>
      <c r="G48" s="119">
        <v>58.33</v>
      </c>
      <c r="H48" s="119">
        <v>80.17</v>
      </c>
      <c r="I48" s="122"/>
      <c r="J48" s="119">
        <v>20.331828999999999</v>
      </c>
      <c r="K48" s="123">
        <f t="shared" si="5"/>
        <v>2031.9524103999997</v>
      </c>
    </row>
    <row r="49" spans="1:11" ht="12" customHeight="1" x14ac:dyDescent="0.2">
      <c r="A49" s="113" t="s">
        <v>106</v>
      </c>
      <c r="B49" s="119"/>
      <c r="C49" s="119"/>
      <c r="D49" s="125">
        <v>1446.4182719999999</v>
      </c>
      <c r="E49" s="119"/>
      <c r="F49" s="122"/>
      <c r="G49" s="119">
        <v>9.76</v>
      </c>
      <c r="H49" s="119"/>
      <c r="I49" s="122"/>
      <c r="J49" s="119"/>
      <c r="K49" s="123">
        <f t="shared" si="5"/>
        <v>1456.1782719999999</v>
      </c>
    </row>
    <row r="50" spans="1:11" ht="12" customHeight="1" x14ac:dyDescent="0.2">
      <c r="A50" s="113" t="s">
        <v>108</v>
      </c>
      <c r="B50" s="119"/>
      <c r="C50" s="119"/>
      <c r="D50" s="119">
        <v>1102.46858</v>
      </c>
      <c r="E50" s="119">
        <v>649.67999999999995</v>
      </c>
      <c r="F50" s="122"/>
      <c r="G50" s="119">
        <v>415.86</v>
      </c>
      <c r="H50" s="119">
        <v>78.25</v>
      </c>
      <c r="I50" s="119">
        <v>34.345224189999996</v>
      </c>
      <c r="J50" s="119">
        <v>1016.9532359999999</v>
      </c>
      <c r="K50" s="123">
        <f t="shared" si="5"/>
        <v>3297.55704019</v>
      </c>
    </row>
    <row r="51" spans="1:11" ht="12" customHeight="1" x14ac:dyDescent="0.2">
      <c r="A51" s="113" t="s">
        <v>78</v>
      </c>
      <c r="B51" s="119"/>
      <c r="C51" s="119"/>
      <c r="D51" s="119"/>
      <c r="E51" s="119"/>
      <c r="F51" s="122"/>
      <c r="G51" s="119">
        <v>6.99</v>
      </c>
      <c r="H51" s="119">
        <v>2.9180000000000001</v>
      </c>
      <c r="I51" s="122"/>
      <c r="J51" s="119">
        <v>16.093413999999999</v>
      </c>
      <c r="K51" s="123">
        <f t="shared" si="5"/>
        <v>26.001414</v>
      </c>
    </row>
    <row r="52" spans="1:11" ht="12" customHeight="1" x14ac:dyDescent="0.2">
      <c r="A52" s="113" t="s">
        <v>79</v>
      </c>
      <c r="B52" s="119"/>
      <c r="C52" s="119">
        <v>185.18</v>
      </c>
      <c r="D52" s="119"/>
      <c r="E52" s="119"/>
      <c r="F52" s="122"/>
      <c r="G52" s="119">
        <v>3.81</v>
      </c>
      <c r="H52" s="119"/>
      <c r="I52" s="122"/>
      <c r="J52" s="119">
        <v>5.9861659999999999</v>
      </c>
      <c r="K52" s="123">
        <f t="shared" si="5"/>
        <v>194.97616600000001</v>
      </c>
    </row>
    <row r="53" spans="1:11" ht="12" customHeight="1" x14ac:dyDescent="0.2">
      <c r="B53" s="119"/>
      <c r="C53" s="119"/>
      <c r="D53" s="119"/>
      <c r="E53" s="119"/>
      <c r="F53" s="122"/>
      <c r="G53" s="119"/>
      <c r="H53" s="119"/>
      <c r="I53" s="122"/>
      <c r="J53" s="119"/>
      <c r="K53" s="123"/>
    </row>
    <row r="54" spans="1:11" s="109" customFormat="1" ht="12" customHeight="1" x14ac:dyDescent="0.2">
      <c r="A54" s="126" t="s">
        <v>12</v>
      </c>
      <c r="B54" s="131">
        <f t="shared" ref="B54:J54" si="6">SUM(B45:B52)</f>
        <v>79.987492290000006</v>
      </c>
      <c r="C54" s="131">
        <f t="shared" si="6"/>
        <v>520.46</v>
      </c>
      <c r="D54" s="131">
        <f t="shared" si="6"/>
        <v>4675.3296620000001</v>
      </c>
      <c r="E54" s="131">
        <f t="shared" si="6"/>
        <v>733.5</v>
      </c>
      <c r="F54" s="132">
        <f t="shared" si="6"/>
        <v>168.43099999999998</v>
      </c>
      <c r="G54" s="131">
        <f t="shared" si="6"/>
        <v>2116.5099999999998</v>
      </c>
      <c r="H54" s="131">
        <f t="shared" si="6"/>
        <v>263.36200000000002</v>
      </c>
      <c r="I54" s="132">
        <f t="shared" si="6"/>
        <v>194.29161332000001</v>
      </c>
      <c r="J54" s="131">
        <f t="shared" si="6"/>
        <v>1594.5841509999998</v>
      </c>
      <c r="K54" s="123">
        <f>SUM(B54:J54)</f>
        <v>10346.455918609998</v>
      </c>
    </row>
    <row r="55" spans="1:11" ht="12" customHeight="1" x14ac:dyDescent="0.2">
      <c r="B55" s="119"/>
      <c r="C55" s="119"/>
      <c r="D55" s="119"/>
      <c r="E55" s="119"/>
      <c r="F55" s="122"/>
      <c r="G55" s="119"/>
      <c r="H55" s="119"/>
      <c r="I55" s="122"/>
      <c r="J55" s="119"/>
      <c r="K55" s="123"/>
    </row>
    <row r="56" spans="1:11" ht="12" customHeight="1" x14ac:dyDescent="0.2">
      <c r="A56" s="109" t="s">
        <v>45</v>
      </c>
      <c r="B56" s="119"/>
      <c r="C56" s="119"/>
      <c r="D56" s="119"/>
      <c r="E56" s="119"/>
      <c r="F56" s="122"/>
      <c r="G56" s="119"/>
      <c r="H56" s="119"/>
      <c r="I56" s="122"/>
      <c r="J56" s="119"/>
      <c r="K56" s="123"/>
    </row>
    <row r="57" spans="1:11" ht="12" customHeight="1" x14ac:dyDescent="0.2">
      <c r="B57" s="119"/>
      <c r="C57" s="119"/>
      <c r="D57" s="119"/>
      <c r="E57" s="119"/>
      <c r="F57" s="122"/>
      <c r="G57" s="119"/>
      <c r="H57" s="119"/>
      <c r="I57" s="122"/>
      <c r="J57" s="119"/>
      <c r="K57" s="123"/>
    </row>
    <row r="58" spans="1:11" ht="12" customHeight="1" x14ac:dyDescent="0.2">
      <c r="A58" s="113" t="s">
        <v>46</v>
      </c>
      <c r="B58" s="138">
        <v>568.73578148000001</v>
      </c>
      <c r="C58" s="119">
        <v>1541.93</v>
      </c>
      <c r="D58" s="125">
        <v>1116.1056960000001</v>
      </c>
      <c r="E58" s="119">
        <v>198.77</v>
      </c>
      <c r="F58" s="122">
        <v>1558.4252799999999</v>
      </c>
      <c r="G58" s="119">
        <v>2361.62</v>
      </c>
      <c r="H58" s="119">
        <v>3158.3339999999998</v>
      </c>
      <c r="I58" s="119">
        <v>1765.9820554200001</v>
      </c>
      <c r="J58" s="119">
        <v>2882.7787330000001</v>
      </c>
      <c r="K58" s="123">
        <f>SUM(B58:J58)</f>
        <v>15152.681545899999</v>
      </c>
    </row>
    <row r="59" spans="1:11" ht="12" customHeight="1" x14ac:dyDescent="0.2">
      <c r="A59" s="113" t="s">
        <v>47</v>
      </c>
      <c r="B59" s="139">
        <v>88.085786819999996</v>
      </c>
      <c r="C59" s="119"/>
      <c r="D59" s="119"/>
      <c r="E59" s="119"/>
      <c r="F59" s="122">
        <v>79.886275999999995</v>
      </c>
      <c r="G59" s="119">
        <v>370.23</v>
      </c>
      <c r="H59" s="119">
        <v>30.658999999999999</v>
      </c>
      <c r="I59" s="119">
        <v>39.53254518</v>
      </c>
      <c r="J59" s="119">
        <v>348.51504899999998</v>
      </c>
      <c r="K59" s="123">
        <f>SUM(B59:J59)</f>
        <v>956.90865700000006</v>
      </c>
    </row>
    <row r="60" spans="1:11" ht="12" customHeight="1" x14ac:dyDescent="0.2">
      <c r="B60" s="119"/>
      <c r="C60" s="119"/>
      <c r="D60" s="119"/>
      <c r="E60" s="119"/>
      <c r="F60" s="122"/>
      <c r="G60" s="119"/>
      <c r="H60" s="119"/>
      <c r="I60" s="122"/>
      <c r="J60" s="119"/>
      <c r="K60" s="123"/>
    </row>
    <row r="61" spans="1:11" s="109" customFormat="1" ht="12" customHeight="1" x14ac:dyDescent="0.2">
      <c r="A61" s="109" t="s">
        <v>12</v>
      </c>
      <c r="B61" s="131">
        <f t="shared" ref="B61:J61" si="7">SUM(B58:B59)</f>
        <v>656.82156829999997</v>
      </c>
      <c r="C61" s="131">
        <f t="shared" si="7"/>
        <v>1541.93</v>
      </c>
      <c r="D61" s="131">
        <f t="shared" si="7"/>
        <v>1116.1056960000001</v>
      </c>
      <c r="E61" s="131">
        <f t="shared" si="7"/>
        <v>198.77</v>
      </c>
      <c r="F61" s="132">
        <f t="shared" si="7"/>
        <v>1638.3115559999999</v>
      </c>
      <c r="G61" s="131">
        <f t="shared" si="7"/>
        <v>2731.85</v>
      </c>
      <c r="H61" s="131">
        <f t="shared" si="7"/>
        <v>3188.9929999999999</v>
      </c>
      <c r="I61" s="132">
        <f t="shared" si="7"/>
        <v>1805.5146006</v>
      </c>
      <c r="J61" s="131">
        <f t="shared" si="7"/>
        <v>3231.2937820000002</v>
      </c>
      <c r="K61" s="123">
        <f>SUM(B61:J61)</f>
        <v>16109.590202900001</v>
      </c>
    </row>
    <row r="62" spans="1:11" ht="12" customHeight="1" x14ac:dyDescent="0.2">
      <c r="B62" s="119"/>
      <c r="C62" s="119"/>
      <c r="D62" s="119"/>
      <c r="E62" s="119"/>
      <c r="F62" s="122"/>
      <c r="G62" s="119"/>
      <c r="H62" s="119"/>
      <c r="I62" s="122"/>
      <c r="J62" s="119"/>
      <c r="K62" s="123"/>
    </row>
    <row r="63" spans="1:11" ht="12" customHeight="1" x14ac:dyDescent="0.2">
      <c r="A63" s="109" t="s">
        <v>53</v>
      </c>
      <c r="B63" s="119">
        <v>175.88837548999999</v>
      </c>
      <c r="C63" s="119">
        <v>42.67</v>
      </c>
      <c r="D63" s="119">
        <v>24.718043000000002</v>
      </c>
      <c r="E63" s="119">
        <v>200.67</v>
      </c>
      <c r="F63" s="122">
        <v>121.701491</v>
      </c>
      <c r="G63" s="119">
        <v>209.82</v>
      </c>
      <c r="H63" s="119">
        <v>155.655</v>
      </c>
      <c r="I63" s="119">
        <v>105.25067501000001</v>
      </c>
      <c r="J63" s="119">
        <v>368.66030799999999</v>
      </c>
      <c r="K63" s="123">
        <f>SUM(B63:J63)</f>
        <v>1405.0338925000001</v>
      </c>
    </row>
    <row r="64" spans="1:11" s="109" customFormat="1" ht="12" customHeight="1" x14ac:dyDescent="0.2">
      <c r="A64" s="126" t="s">
        <v>123</v>
      </c>
      <c r="B64" s="119"/>
      <c r="C64" s="119"/>
      <c r="D64" s="119"/>
      <c r="E64" s="140"/>
      <c r="F64" s="122"/>
      <c r="G64" s="119"/>
      <c r="H64" s="119"/>
      <c r="I64" s="122"/>
      <c r="J64" s="119"/>
      <c r="K64" s="123"/>
    </row>
    <row r="65" spans="1:11" s="109" customFormat="1" ht="12" customHeight="1" x14ac:dyDescent="0.2">
      <c r="A65" s="126" t="s">
        <v>210</v>
      </c>
      <c r="B65" s="119">
        <v>5.6357106000000003</v>
      </c>
      <c r="C65" s="119">
        <v>5.85</v>
      </c>
      <c r="D65" s="119"/>
      <c r="E65" s="119"/>
      <c r="F65" s="122"/>
      <c r="G65" s="119"/>
      <c r="H65" s="119"/>
      <c r="I65" s="122"/>
      <c r="J65" s="119"/>
      <c r="K65" s="123">
        <f>SUM(B65:J65)</f>
        <v>11.485710600000001</v>
      </c>
    </row>
    <row r="66" spans="1:11" s="109" customFormat="1" ht="12" customHeight="1" x14ac:dyDescent="0.2">
      <c r="A66" s="126" t="s">
        <v>125</v>
      </c>
      <c r="B66" s="119">
        <v>158.927423</v>
      </c>
      <c r="C66" s="119"/>
      <c r="D66" s="119"/>
      <c r="E66" s="119">
        <v>190.05</v>
      </c>
      <c r="F66" s="122"/>
      <c r="G66" s="119">
        <v>91.44</v>
      </c>
      <c r="H66" s="119"/>
      <c r="I66" s="122"/>
      <c r="J66" s="119"/>
      <c r="K66" s="123">
        <f>SUM(B66:J66)</f>
        <v>440.41742300000004</v>
      </c>
    </row>
    <row r="67" spans="1:11" ht="12" customHeight="1" x14ac:dyDescent="0.2">
      <c r="A67" s="126"/>
      <c r="C67" s="146"/>
    </row>
    <row r="68" spans="1:11" ht="12" customHeight="1" x14ac:dyDescent="0.2">
      <c r="A68" s="142"/>
      <c r="C68" s="147"/>
    </row>
    <row r="69" spans="1:11" ht="12" customHeight="1" x14ac:dyDescent="0.2">
      <c r="A69" s="142"/>
      <c r="C69" s="124"/>
    </row>
    <row r="70" spans="1:11" ht="12" customHeight="1" x14ac:dyDescent="0.2">
      <c r="A70" s="143"/>
      <c r="C70" s="124"/>
      <c r="J70" s="144"/>
    </row>
    <row r="71" spans="1:11" ht="12" customHeight="1" x14ac:dyDescent="0.2">
      <c r="A71" s="143" t="s">
        <v>204</v>
      </c>
      <c r="J71" s="119"/>
    </row>
    <row r="72" spans="1:11" ht="12" customHeight="1" x14ac:dyDescent="0.2">
      <c r="A72" s="143" t="s">
        <v>212</v>
      </c>
      <c r="J72" s="119"/>
    </row>
    <row r="73" spans="1:11" ht="14.25" customHeight="1" x14ac:dyDescent="0.2">
      <c r="A73" s="143" t="s">
        <v>206</v>
      </c>
      <c r="B73" s="119"/>
    </row>
    <row r="74" spans="1:11" ht="14.25" x14ac:dyDescent="0.2">
      <c r="A74" s="126" t="s">
        <v>207</v>
      </c>
    </row>
    <row r="75" spans="1:11" ht="14.25" x14ac:dyDescent="0.2">
      <c r="A75" s="143" t="s">
        <v>208</v>
      </c>
    </row>
    <row r="77" spans="1:11" x14ac:dyDescent="0.2">
      <c r="A77" s="148"/>
    </row>
  </sheetData>
  <printOptions horizontalCentered="1"/>
  <pageMargins left="0.28999999999999998" right="0.34" top="0.71" bottom="0.19685039370078741" header="0.45" footer="0.19"/>
  <pageSetup paperSize="9" scale="90" orientation="landscape" horizontalDpi="4294967292" verticalDpi="30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U77"/>
  <sheetViews>
    <sheetView zoomScaleNormal="100" workbookViewId="0">
      <pane xSplit="1" ySplit="4" topLeftCell="B49" activePane="bottomRight" state="frozenSplit"/>
      <selection activeCell="J50" sqref="J50"/>
      <selection pane="topRight" activeCell="J50" sqref="J50"/>
      <selection pane="bottomLeft" activeCell="J50" sqref="J50"/>
      <selection pane="bottomRight" activeCell="B49" sqref="B49"/>
    </sheetView>
  </sheetViews>
  <sheetFormatPr baseColWidth="10" defaultRowHeight="12.75" x14ac:dyDescent="0.2"/>
  <cols>
    <col min="1" max="1" width="41.28515625" style="113" customWidth="1"/>
    <col min="2" max="5" width="11.5703125" style="110" customWidth="1"/>
    <col min="6" max="6" width="11.5703125" style="111" customWidth="1"/>
    <col min="7" max="8" width="11.5703125" style="110" customWidth="1"/>
    <col min="9" max="10" width="11.5703125" style="111" customWidth="1"/>
    <col min="11" max="11" width="11.5703125" style="112" customWidth="1"/>
    <col min="12" max="16384" width="11.42578125" style="113"/>
  </cols>
  <sheetData>
    <row r="1" spans="1:11" x14ac:dyDescent="0.2">
      <c r="A1" s="109" t="s">
        <v>213</v>
      </c>
    </row>
    <row r="2" spans="1:11" x14ac:dyDescent="0.2">
      <c r="A2" s="113" t="s">
        <v>218</v>
      </c>
    </row>
    <row r="3" spans="1:11" x14ac:dyDescent="0.2">
      <c r="A3" s="114"/>
    </row>
    <row r="4" spans="1:11" s="117" customFormat="1" x14ac:dyDescent="0.2">
      <c r="A4" s="115"/>
      <c r="B4" s="110" t="s">
        <v>3</v>
      </c>
      <c r="C4" s="110" t="s">
        <v>4</v>
      </c>
      <c r="D4" s="110" t="s">
        <v>5</v>
      </c>
      <c r="E4" s="110" t="s">
        <v>6</v>
      </c>
      <c r="F4" s="116" t="s">
        <v>7</v>
      </c>
      <c r="G4" s="110" t="s">
        <v>8</v>
      </c>
      <c r="H4" s="110" t="s">
        <v>9</v>
      </c>
      <c r="I4" s="116" t="s">
        <v>198</v>
      </c>
      <c r="J4" s="116" t="s">
        <v>11</v>
      </c>
      <c r="K4" s="112" t="s">
        <v>12</v>
      </c>
    </row>
    <row r="5" spans="1:11" x14ac:dyDescent="0.2">
      <c r="C5" s="118"/>
      <c r="D5" s="119"/>
      <c r="E5" s="118"/>
      <c r="F5" s="120"/>
      <c r="G5" s="118"/>
      <c r="H5" s="118"/>
      <c r="I5" s="118"/>
      <c r="J5" s="118"/>
    </row>
    <row r="6" spans="1:11" ht="15.75" x14ac:dyDescent="0.25">
      <c r="A6" s="121" t="s">
        <v>42</v>
      </c>
      <c r="D6" s="119"/>
    </row>
    <row r="7" spans="1:11" x14ac:dyDescent="0.2">
      <c r="D7" s="119"/>
      <c r="I7" s="119"/>
      <c r="J7" s="119"/>
    </row>
    <row r="8" spans="1:11" x14ac:dyDescent="0.2">
      <c r="A8" s="109" t="s">
        <v>13</v>
      </c>
      <c r="B8" s="119"/>
    </row>
    <row r="9" spans="1:11" x14ac:dyDescent="0.2">
      <c r="D9" s="119"/>
    </row>
    <row r="10" spans="1:11" x14ac:dyDescent="0.2">
      <c r="A10" s="113" t="s">
        <v>72</v>
      </c>
      <c r="B10" s="119">
        <v>54.030521</v>
      </c>
      <c r="C10" s="119">
        <v>57.96</v>
      </c>
      <c r="D10" s="119">
        <v>166.48938448000001</v>
      </c>
      <c r="E10" s="119">
        <v>55.9</v>
      </c>
      <c r="F10" s="122">
        <v>203.54977299999999</v>
      </c>
      <c r="G10" s="119">
        <v>7.69</v>
      </c>
      <c r="H10" s="119">
        <v>139.45400000000001</v>
      </c>
      <c r="I10" s="119">
        <v>77.245670000000004</v>
      </c>
      <c r="J10" s="119">
        <v>198.11124774999999</v>
      </c>
      <c r="K10" s="123">
        <f t="shared" ref="K10:K16" si="0">SUM(B10:J10)</f>
        <v>960.43059623000011</v>
      </c>
    </row>
    <row r="11" spans="1:11" x14ac:dyDescent="0.2">
      <c r="A11" s="114" t="s">
        <v>67</v>
      </c>
      <c r="B11" s="119">
        <v>0.69000600000000001</v>
      </c>
      <c r="C11" s="119">
        <v>0.04</v>
      </c>
      <c r="D11" s="119"/>
      <c r="E11" s="119"/>
      <c r="F11" s="122"/>
      <c r="G11" s="119"/>
      <c r="H11" s="119"/>
      <c r="I11" s="119"/>
      <c r="J11" s="119">
        <v>21.353335999999999</v>
      </c>
      <c r="K11" s="123">
        <f t="shared" si="0"/>
        <v>22.083341999999998</v>
      </c>
    </row>
    <row r="12" spans="1:11" x14ac:dyDescent="0.2">
      <c r="A12" s="113" t="s">
        <v>104</v>
      </c>
      <c r="B12" s="119"/>
      <c r="C12" s="119">
        <v>15.15</v>
      </c>
      <c r="D12" s="119">
        <v>33.52338271</v>
      </c>
      <c r="E12" s="119">
        <v>15.1</v>
      </c>
      <c r="F12" s="122">
        <v>29.436767</v>
      </c>
      <c r="G12" s="119">
        <v>249.82</v>
      </c>
      <c r="H12" s="119"/>
      <c r="I12" s="119">
        <v>2.7944740000000001</v>
      </c>
      <c r="J12" s="119"/>
      <c r="K12" s="123">
        <f t="shared" si="0"/>
        <v>345.82462370999997</v>
      </c>
    </row>
    <row r="13" spans="1:11" x14ac:dyDescent="0.2">
      <c r="A13" s="113" t="s">
        <v>109</v>
      </c>
      <c r="B13" s="119">
        <v>6.5146800000000002</v>
      </c>
      <c r="C13" s="119">
        <v>10.87</v>
      </c>
      <c r="D13" s="119">
        <v>110.97724907999999</v>
      </c>
      <c r="E13" s="119">
        <v>26.7</v>
      </c>
      <c r="F13" s="122">
        <v>7.7660000000000007E-2</v>
      </c>
      <c r="G13" s="119">
        <v>3.08</v>
      </c>
      <c r="H13" s="119">
        <v>22.63</v>
      </c>
      <c r="I13" s="119"/>
      <c r="J13" s="119">
        <v>8.2597470600000005</v>
      </c>
      <c r="K13" s="123">
        <f t="shared" si="0"/>
        <v>189.10933613999998</v>
      </c>
    </row>
    <row r="14" spans="1:11" x14ac:dyDescent="0.2">
      <c r="A14" s="124" t="s">
        <v>69</v>
      </c>
      <c r="B14" s="119">
        <v>1.691791</v>
      </c>
      <c r="C14" s="119"/>
      <c r="D14" s="110">
        <v>0.4839</v>
      </c>
      <c r="E14" s="119">
        <v>15</v>
      </c>
      <c r="F14" s="122"/>
      <c r="G14" s="119">
        <v>11.22</v>
      </c>
      <c r="H14" s="119">
        <v>11.798</v>
      </c>
      <c r="I14" s="119">
        <v>6.4725900000000003</v>
      </c>
      <c r="J14" s="119">
        <v>15.72254641</v>
      </c>
      <c r="K14" s="123">
        <f t="shared" si="0"/>
        <v>62.388827409999998</v>
      </c>
    </row>
    <row r="15" spans="1:11" x14ac:dyDescent="0.2">
      <c r="A15" s="113" t="s">
        <v>70</v>
      </c>
      <c r="B15" s="119"/>
      <c r="C15" s="119"/>
      <c r="D15" s="119"/>
      <c r="E15" s="119"/>
      <c r="F15" s="122"/>
      <c r="G15" s="119"/>
      <c r="H15" s="119"/>
      <c r="I15" s="119"/>
      <c r="J15" s="119"/>
      <c r="K15" s="123">
        <f t="shared" si="0"/>
        <v>0</v>
      </c>
    </row>
    <row r="16" spans="1:11" x14ac:dyDescent="0.2">
      <c r="A16" s="113" t="s">
        <v>71</v>
      </c>
      <c r="B16" s="119">
        <v>1.1084989999999999</v>
      </c>
      <c r="C16" s="119">
        <v>13.61</v>
      </c>
      <c r="D16" s="119">
        <v>50.482928600000001</v>
      </c>
      <c r="E16" s="119">
        <v>42.18</v>
      </c>
      <c r="F16" s="125">
        <v>7.7292100000000001</v>
      </c>
      <c r="G16" s="119">
        <v>17.32</v>
      </c>
      <c r="H16" s="119">
        <v>9.6549999999999994</v>
      </c>
      <c r="I16" s="119">
        <v>27.518481000000001</v>
      </c>
      <c r="J16" s="119">
        <v>31.93578291</v>
      </c>
      <c r="K16" s="123">
        <f t="shared" si="0"/>
        <v>201.53990150999999</v>
      </c>
    </row>
    <row r="17" spans="1:11" x14ac:dyDescent="0.2">
      <c r="B17" s="119"/>
      <c r="C17" s="119"/>
      <c r="D17" s="119"/>
      <c r="E17" s="119"/>
      <c r="F17" s="122"/>
      <c r="G17" s="119"/>
      <c r="H17" s="119"/>
      <c r="I17" s="122"/>
      <c r="J17" s="122"/>
      <c r="K17" s="123"/>
    </row>
    <row r="18" spans="1:11" s="126" customFormat="1" x14ac:dyDescent="0.2">
      <c r="A18" s="126" t="s">
        <v>12</v>
      </c>
      <c r="B18" s="127">
        <f>SUM(B10:B16)</f>
        <v>64.035496999999992</v>
      </c>
      <c r="C18" s="127">
        <f t="shared" ref="C18:J18" si="1">SUM(C10:C16)</f>
        <v>97.63000000000001</v>
      </c>
      <c r="D18" s="127">
        <f t="shared" si="1"/>
        <v>361.95684487</v>
      </c>
      <c r="E18" s="127">
        <f t="shared" si="1"/>
        <v>154.88</v>
      </c>
      <c r="F18" s="128">
        <f t="shared" si="1"/>
        <v>240.79340999999999</v>
      </c>
      <c r="G18" s="127">
        <f t="shared" si="1"/>
        <v>289.13</v>
      </c>
      <c r="H18" s="127">
        <f t="shared" si="1"/>
        <v>183.53700000000001</v>
      </c>
      <c r="I18" s="128">
        <f t="shared" si="1"/>
        <v>114.031215</v>
      </c>
      <c r="J18" s="128">
        <f t="shared" si="1"/>
        <v>275.38266012999998</v>
      </c>
      <c r="K18" s="123">
        <f>SUM(B18:J18)</f>
        <v>1781.3766270000001</v>
      </c>
    </row>
    <row r="19" spans="1:11" x14ac:dyDescent="0.2">
      <c r="B19" s="119"/>
      <c r="C19" s="119"/>
      <c r="D19" s="119"/>
      <c r="E19" s="119"/>
      <c r="F19" s="122"/>
      <c r="G19" s="119"/>
      <c r="H19" s="119"/>
      <c r="I19" s="122"/>
      <c r="J19" s="122"/>
      <c r="K19" s="123"/>
    </row>
    <row r="20" spans="1:11" x14ac:dyDescent="0.2">
      <c r="B20" s="119"/>
      <c r="C20" s="119"/>
      <c r="D20" s="119"/>
      <c r="E20" s="119"/>
      <c r="F20" s="122"/>
      <c r="G20" s="119"/>
      <c r="H20" s="119"/>
      <c r="I20" s="122"/>
      <c r="J20" s="122"/>
      <c r="K20" s="123"/>
    </row>
    <row r="21" spans="1:11" x14ac:dyDescent="0.2">
      <c r="A21" s="109" t="s">
        <v>14</v>
      </c>
      <c r="B21" s="119"/>
      <c r="C21" s="119"/>
      <c r="D21" s="119"/>
      <c r="E21" s="119"/>
      <c r="F21" s="122"/>
      <c r="G21" s="119"/>
      <c r="H21" s="119"/>
      <c r="I21" s="122"/>
      <c r="J21" s="122"/>
      <c r="K21" s="123"/>
    </row>
    <row r="22" spans="1:11" x14ac:dyDescent="0.2">
      <c r="B22" s="119"/>
      <c r="C22" s="119"/>
      <c r="D22" s="119"/>
      <c r="E22" s="119"/>
      <c r="F22" s="122"/>
      <c r="G22" s="119"/>
      <c r="H22" s="119"/>
      <c r="I22" s="122"/>
      <c r="J22" s="122"/>
      <c r="K22" s="123"/>
    </row>
    <row r="23" spans="1:11" x14ac:dyDescent="0.2">
      <c r="A23" s="113" t="s">
        <v>72</v>
      </c>
      <c r="B23" s="119">
        <v>14.493653</v>
      </c>
      <c r="C23" s="119"/>
      <c r="D23" s="119">
        <v>14.96162093</v>
      </c>
      <c r="E23" s="119"/>
      <c r="F23" s="122">
        <v>52.354835999999999</v>
      </c>
      <c r="G23" s="119">
        <v>24.72</v>
      </c>
      <c r="H23" s="119"/>
      <c r="I23" s="119">
        <v>38.374763999999999</v>
      </c>
      <c r="J23" s="119">
        <v>61.468292580000004</v>
      </c>
      <c r="K23" s="123">
        <f t="shared" ref="K23:K28" si="2">SUM(B23:J23)</f>
        <v>206.37316651</v>
      </c>
    </row>
    <row r="24" spans="1:11" x14ac:dyDescent="0.2">
      <c r="A24" s="113" t="s">
        <v>104</v>
      </c>
      <c r="B24" s="119"/>
      <c r="C24" s="119"/>
      <c r="D24" s="119">
        <v>3.0173505699999996</v>
      </c>
      <c r="E24" s="119"/>
      <c r="F24" s="122"/>
      <c r="G24" s="119">
        <v>10.95</v>
      </c>
      <c r="H24" s="119"/>
      <c r="I24" s="122"/>
      <c r="J24" s="122"/>
      <c r="K24" s="123">
        <f t="shared" si="2"/>
        <v>13.967350569999999</v>
      </c>
    </row>
    <row r="25" spans="1:11" x14ac:dyDescent="0.2">
      <c r="A25" s="113" t="s">
        <v>109</v>
      </c>
      <c r="B25" s="119"/>
      <c r="C25" s="119"/>
      <c r="D25" s="119">
        <v>94.391665959999997</v>
      </c>
      <c r="E25" s="119">
        <v>57.4</v>
      </c>
      <c r="F25" s="122">
        <v>1.72763</v>
      </c>
      <c r="G25" s="119">
        <v>57.5</v>
      </c>
      <c r="H25" s="119">
        <v>13.981</v>
      </c>
      <c r="I25" s="119">
        <v>11.274296</v>
      </c>
      <c r="J25" s="119">
        <v>90.128262269999993</v>
      </c>
      <c r="K25" s="123">
        <f t="shared" si="2"/>
        <v>326.40285423</v>
      </c>
    </row>
    <row r="26" spans="1:11" x14ac:dyDescent="0.2">
      <c r="A26" s="124" t="s">
        <v>69</v>
      </c>
      <c r="B26" s="119">
        <v>3.0811820000000001</v>
      </c>
      <c r="C26" s="119">
        <v>28.53</v>
      </c>
      <c r="D26" s="119">
        <v>14.85774183</v>
      </c>
      <c r="E26" s="119">
        <v>2.2999999999999998</v>
      </c>
      <c r="F26" s="122"/>
      <c r="G26" s="119">
        <v>5.35</v>
      </c>
      <c r="H26" s="119">
        <v>36.92</v>
      </c>
      <c r="I26" s="119">
        <v>13.29853</v>
      </c>
      <c r="J26" s="119">
        <v>52.124801089999998</v>
      </c>
      <c r="K26" s="123">
        <f t="shared" si="2"/>
        <v>156.46225491999999</v>
      </c>
    </row>
    <row r="27" spans="1:11" x14ac:dyDescent="0.2">
      <c r="A27" s="113" t="s">
        <v>70</v>
      </c>
      <c r="B27" s="119"/>
      <c r="C27" s="119"/>
      <c r="D27" s="119"/>
      <c r="E27" s="119"/>
      <c r="F27" s="122"/>
      <c r="G27" s="119"/>
      <c r="H27" s="119">
        <v>7.0000000000000001E-3</v>
      </c>
      <c r="I27" s="122"/>
      <c r="J27" s="122"/>
      <c r="K27" s="123">
        <f t="shared" si="2"/>
        <v>7.0000000000000001E-3</v>
      </c>
    </row>
    <row r="28" spans="1:11" x14ac:dyDescent="0.2">
      <c r="A28" s="113" t="s">
        <v>71</v>
      </c>
      <c r="B28" s="119"/>
      <c r="C28" s="119"/>
      <c r="D28" s="119">
        <v>6.93882288</v>
      </c>
      <c r="E28" s="119"/>
      <c r="F28" s="122"/>
      <c r="G28" s="119">
        <v>14.25</v>
      </c>
      <c r="H28" s="119"/>
      <c r="I28" s="122"/>
      <c r="J28" s="122">
        <v>5.6873980599999996</v>
      </c>
      <c r="K28" s="123">
        <f t="shared" si="2"/>
        <v>26.87622094</v>
      </c>
    </row>
    <row r="29" spans="1:11" x14ac:dyDescent="0.2">
      <c r="B29" s="119"/>
      <c r="C29" s="119"/>
      <c r="D29" s="119"/>
      <c r="E29" s="119"/>
      <c r="F29" s="122"/>
      <c r="G29" s="119"/>
      <c r="H29" s="119"/>
      <c r="I29" s="122"/>
      <c r="J29" s="122"/>
      <c r="K29" s="123"/>
    </row>
    <row r="30" spans="1:11" s="126" customFormat="1" x14ac:dyDescent="0.2">
      <c r="A30" s="126" t="s">
        <v>12</v>
      </c>
      <c r="B30" s="119">
        <f t="shared" ref="B30:J30" si="3">SUM(B23:B28)</f>
        <v>17.574835</v>
      </c>
      <c r="C30" s="127">
        <f t="shared" si="3"/>
        <v>28.53</v>
      </c>
      <c r="D30" s="127">
        <f t="shared" si="3"/>
        <v>134.16720217</v>
      </c>
      <c r="E30" s="127">
        <f t="shared" si="3"/>
        <v>59.699999999999996</v>
      </c>
      <c r="F30" s="128">
        <f t="shared" si="3"/>
        <v>54.082465999999997</v>
      </c>
      <c r="G30" s="127">
        <f t="shared" si="3"/>
        <v>112.77</v>
      </c>
      <c r="H30" s="127">
        <f t="shared" si="3"/>
        <v>50.908000000000001</v>
      </c>
      <c r="I30" s="128">
        <f t="shared" si="3"/>
        <v>62.947589999999998</v>
      </c>
      <c r="J30" s="128">
        <f t="shared" si="3"/>
        <v>209.40875399999999</v>
      </c>
      <c r="K30" s="123">
        <f>SUM(B30:J30)</f>
        <v>730.08884717000001</v>
      </c>
    </row>
    <row r="31" spans="1:11" s="126" customFormat="1" x14ac:dyDescent="0.2">
      <c r="B31" s="119"/>
      <c r="C31" s="127"/>
      <c r="D31" s="127"/>
      <c r="E31" s="127"/>
      <c r="F31" s="128"/>
      <c r="G31" s="127"/>
      <c r="H31" s="127"/>
      <c r="I31" s="128"/>
      <c r="J31" s="128"/>
      <c r="K31" s="130"/>
    </row>
    <row r="32" spans="1:11" s="109" customFormat="1" x14ac:dyDescent="0.2">
      <c r="A32" s="109" t="s">
        <v>43</v>
      </c>
      <c r="B32" s="131">
        <f t="shared" ref="B32:J32" si="4">B18+B30</f>
        <v>81.610332</v>
      </c>
      <c r="C32" s="131">
        <f t="shared" si="4"/>
        <v>126.16000000000001</v>
      </c>
      <c r="D32" s="131">
        <f t="shared" si="4"/>
        <v>496.12404703999999</v>
      </c>
      <c r="E32" s="131">
        <f t="shared" si="4"/>
        <v>214.57999999999998</v>
      </c>
      <c r="F32" s="132">
        <f t="shared" si="4"/>
        <v>294.87587600000001</v>
      </c>
      <c r="G32" s="131">
        <f t="shared" si="4"/>
        <v>401.9</v>
      </c>
      <c r="H32" s="131">
        <f t="shared" si="4"/>
        <v>234.44499999999999</v>
      </c>
      <c r="I32" s="132">
        <f t="shared" si="4"/>
        <v>176.97880499999999</v>
      </c>
      <c r="J32" s="132">
        <f t="shared" si="4"/>
        <v>484.79141412999996</v>
      </c>
      <c r="K32" s="123">
        <f>SUM(B32:J32)</f>
        <v>2511.4654741699997</v>
      </c>
    </row>
    <row r="33" spans="1:255" s="109" customFormat="1" x14ac:dyDescent="0.2">
      <c r="B33" s="131"/>
      <c r="C33" s="131"/>
      <c r="D33" s="131"/>
      <c r="E33" s="131"/>
      <c r="F33" s="132"/>
      <c r="G33" s="131"/>
      <c r="H33" s="131"/>
      <c r="I33" s="132"/>
      <c r="J33" s="132"/>
      <c r="K33" s="123"/>
    </row>
    <row r="34" spans="1:255" s="126" customFormat="1" ht="14.25" x14ac:dyDescent="0.2">
      <c r="A34" s="109" t="s">
        <v>199</v>
      </c>
      <c r="B34" s="119"/>
      <c r="C34" s="127">
        <v>10.75</v>
      </c>
      <c r="D34" s="127"/>
      <c r="E34" s="127">
        <v>38.33</v>
      </c>
      <c r="F34" s="128">
        <v>1.4444710000000001</v>
      </c>
      <c r="G34" s="127">
        <v>35.64</v>
      </c>
      <c r="H34" s="127">
        <v>19.033000000000001</v>
      </c>
      <c r="I34" s="128"/>
      <c r="J34" s="128">
        <v>41.090112429999998</v>
      </c>
      <c r="K34" s="123">
        <f>SUM(B34:J34)</f>
        <v>146.28758342999998</v>
      </c>
    </row>
    <row r="35" spans="1:255" x14ac:dyDescent="0.2">
      <c r="B35" s="119"/>
      <c r="C35" s="119"/>
      <c r="D35" s="119"/>
      <c r="E35" s="119"/>
      <c r="F35" s="122"/>
      <c r="G35" s="119"/>
      <c r="H35" s="119"/>
      <c r="I35" s="122"/>
      <c r="J35" s="122"/>
      <c r="K35" s="133"/>
      <c r="L35" s="133"/>
      <c r="M35" s="133"/>
      <c r="N35" s="133"/>
      <c r="O35" s="133"/>
      <c r="P35" s="133"/>
      <c r="Q35" s="133"/>
      <c r="R35" s="133"/>
      <c r="S35" s="133"/>
      <c r="T35" s="133"/>
      <c r="U35" s="133"/>
      <c r="V35" s="133"/>
      <c r="W35" s="133"/>
      <c r="X35" s="133"/>
      <c r="Y35" s="133"/>
      <c r="Z35" s="133"/>
      <c r="AA35" s="133"/>
      <c r="AB35" s="133"/>
      <c r="AC35" s="133"/>
      <c r="AD35" s="133"/>
      <c r="AE35" s="133"/>
      <c r="AF35" s="133"/>
      <c r="AG35" s="133"/>
      <c r="AH35" s="133"/>
      <c r="AI35" s="133"/>
      <c r="AJ35" s="133"/>
      <c r="AK35" s="133"/>
      <c r="AL35" s="133"/>
      <c r="AM35" s="133"/>
      <c r="AN35" s="133"/>
      <c r="AO35" s="133"/>
      <c r="AP35" s="133"/>
      <c r="AQ35" s="133"/>
      <c r="AR35" s="133"/>
      <c r="AS35" s="133"/>
      <c r="AT35" s="133"/>
      <c r="AU35" s="133"/>
      <c r="AV35" s="133"/>
      <c r="AW35" s="133"/>
      <c r="AX35" s="133"/>
      <c r="AY35" s="133"/>
      <c r="AZ35" s="133"/>
      <c r="BA35" s="133"/>
      <c r="BB35" s="133"/>
      <c r="BC35" s="133"/>
      <c r="BD35" s="133"/>
      <c r="BE35" s="133"/>
      <c r="BF35" s="133"/>
      <c r="BG35" s="133"/>
      <c r="BH35" s="133"/>
      <c r="BI35" s="133"/>
      <c r="BJ35" s="133"/>
      <c r="BK35" s="133"/>
      <c r="BL35" s="133"/>
      <c r="BM35" s="133"/>
      <c r="BN35" s="133"/>
      <c r="BO35" s="133"/>
      <c r="BP35" s="133"/>
      <c r="BQ35" s="133"/>
      <c r="BR35" s="133"/>
      <c r="BS35" s="133"/>
      <c r="BT35" s="133"/>
      <c r="BU35" s="133"/>
      <c r="BV35" s="133"/>
      <c r="BW35" s="133"/>
      <c r="BX35" s="133"/>
      <c r="BY35" s="133"/>
      <c r="BZ35" s="133"/>
      <c r="CA35" s="133"/>
      <c r="CB35" s="133"/>
      <c r="CC35" s="133"/>
      <c r="CD35" s="133"/>
      <c r="CE35" s="133"/>
      <c r="CF35" s="133"/>
      <c r="CG35" s="133"/>
      <c r="CH35" s="133"/>
      <c r="CI35" s="133"/>
      <c r="CJ35" s="133"/>
      <c r="CK35" s="133"/>
      <c r="CL35" s="133"/>
      <c r="CM35" s="133"/>
      <c r="CN35" s="133"/>
      <c r="CO35" s="133"/>
      <c r="CP35" s="133"/>
      <c r="CQ35" s="133"/>
      <c r="CR35" s="133"/>
      <c r="CS35" s="133"/>
      <c r="CT35" s="133"/>
      <c r="CU35" s="133"/>
      <c r="CV35" s="133"/>
      <c r="CW35" s="133"/>
      <c r="CX35" s="133"/>
      <c r="CY35" s="133"/>
      <c r="CZ35" s="133"/>
      <c r="DA35" s="133"/>
      <c r="DB35" s="133"/>
      <c r="DC35" s="133"/>
      <c r="DD35" s="133"/>
      <c r="DE35" s="133"/>
      <c r="DF35" s="133"/>
      <c r="DG35" s="133"/>
      <c r="DH35" s="133"/>
      <c r="DI35" s="133"/>
      <c r="DJ35" s="133"/>
      <c r="DK35" s="133"/>
      <c r="DL35" s="133"/>
      <c r="DM35" s="133"/>
      <c r="DN35" s="133"/>
      <c r="DO35" s="133"/>
      <c r="DP35" s="133"/>
      <c r="DQ35" s="133"/>
      <c r="DR35" s="133"/>
      <c r="DS35" s="133"/>
      <c r="DT35" s="133"/>
      <c r="DU35" s="133"/>
      <c r="DV35" s="133"/>
      <c r="DW35" s="133"/>
      <c r="DX35" s="133"/>
      <c r="DY35" s="133"/>
      <c r="DZ35" s="133"/>
      <c r="EA35" s="133"/>
      <c r="EB35" s="133"/>
      <c r="EC35" s="133"/>
      <c r="ED35" s="133"/>
      <c r="EE35" s="133"/>
      <c r="EF35" s="133"/>
      <c r="EG35" s="133"/>
      <c r="EH35" s="133"/>
      <c r="EI35" s="133"/>
      <c r="EJ35" s="133"/>
      <c r="EK35" s="133"/>
      <c r="EL35" s="133"/>
      <c r="EM35" s="133"/>
      <c r="EN35" s="133"/>
      <c r="EO35" s="133"/>
      <c r="EP35" s="133"/>
      <c r="EQ35" s="133"/>
      <c r="ER35" s="133"/>
      <c r="ES35" s="133"/>
      <c r="ET35" s="133"/>
      <c r="EU35" s="133"/>
      <c r="EV35" s="133"/>
      <c r="EW35" s="133"/>
      <c r="EX35" s="133"/>
      <c r="EY35" s="133"/>
      <c r="EZ35" s="133"/>
      <c r="FA35" s="133"/>
      <c r="FB35" s="133"/>
      <c r="FC35" s="133"/>
      <c r="FD35" s="133"/>
      <c r="FE35" s="133"/>
      <c r="FF35" s="133"/>
      <c r="FG35" s="133"/>
      <c r="FH35" s="133"/>
      <c r="FI35" s="133"/>
      <c r="FJ35" s="133"/>
      <c r="FK35" s="133"/>
      <c r="FL35" s="133"/>
      <c r="FM35" s="133"/>
      <c r="FN35" s="133"/>
      <c r="FO35" s="133"/>
      <c r="FP35" s="133"/>
      <c r="FQ35" s="133"/>
      <c r="FR35" s="133"/>
      <c r="FS35" s="133"/>
      <c r="FT35" s="133"/>
      <c r="FU35" s="133"/>
      <c r="FV35" s="133"/>
      <c r="FW35" s="133"/>
      <c r="FX35" s="133"/>
      <c r="FY35" s="133"/>
      <c r="FZ35" s="133"/>
      <c r="GA35" s="133"/>
      <c r="GB35" s="133"/>
      <c r="GC35" s="133"/>
      <c r="GD35" s="133"/>
      <c r="GE35" s="133"/>
      <c r="GF35" s="133"/>
      <c r="GG35" s="133"/>
      <c r="GH35" s="133"/>
      <c r="GI35" s="133"/>
      <c r="GJ35" s="133"/>
      <c r="GK35" s="133"/>
      <c r="GL35" s="133"/>
      <c r="GM35" s="133"/>
      <c r="GN35" s="133"/>
      <c r="GO35" s="133"/>
      <c r="GP35" s="133"/>
      <c r="GQ35" s="133"/>
      <c r="GR35" s="133"/>
      <c r="GS35" s="133"/>
      <c r="GT35" s="133"/>
      <c r="GU35" s="133"/>
      <c r="GV35" s="133"/>
      <c r="GW35" s="133"/>
      <c r="GX35" s="133"/>
      <c r="GY35" s="133"/>
      <c r="GZ35" s="133"/>
      <c r="HA35" s="133"/>
      <c r="HB35" s="133"/>
      <c r="HC35" s="133"/>
      <c r="HD35" s="133"/>
      <c r="HE35" s="133"/>
      <c r="HF35" s="133"/>
      <c r="HG35" s="133"/>
      <c r="HH35" s="133"/>
      <c r="HI35" s="133"/>
      <c r="HJ35" s="133"/>
      <c r="HK35" s="133"/>
      <c r="HL35" s="133"/>
      <c r="HM35" s="133"/>
      <c r="HN35" s="133"/>
      <c r="HO35" s="133"/>
      <c r="HP35" s="133"/>
      <c r="HQ35" s="133"/>
      <c r="HR35" s="133"/>
      <c r="HS35" s="133"/>
      <c r="HT35" s="133"/>
      <c r="HU35" s="133"/>
      <c r="HV35" s="133"/>
      <c r="HW35" s="133"/>
      <c r="HX35" s="133"/>
      <c r="HY35" s="133"/>
      <c r="HZ35" s="133"/>
      <c r="IA35" s="133"/>
      <c r="IB35" s="133"/>
      <c r="IC35" s="133"/>
      <c r="ID35" s="133"/>
      <c r="IE35" s="133"/>
      <c r="IF35" s="133"/>
      <c r="IG35" s="133"/>
      <c r="IH35" s="133"/>
      <c r="II35" s="133"/>
      <c r="IJ35" s="133"/>
      <c r="IK35" s="133"/>
      <c r="IL35" s="133"/>
      <c r="IM35" s="133"/>
      <c r="IN35" s="133"/>
      <c r="IO35" s="133"/>
      <c r="IP35" s="133"/>
      <c r="IQ35" s="133"/>
      <c r="IR35" s="133"/>
      <c r="IS35" s="133"/>
      <c r="IT35" s="133"/>
      <c r="IU35" s="133"/>
    </row>
    <row r="36" spans="1:255" ht="14.25" x14ac:dyDescent="0.2">
      <c r="A36" s="109" t="s">
        <v>200</v>
      </c>
      <c r="F36" s="110"/>
      <c r="I36" s="110"/>
      <c r="J36" s="110"/>
      <c r="K36" s="110"/>
      <c r="L36" s="133"/>
      <c r="M36" s="133"/>
      <c r="N36" s="133"/>
      <c r="O36" s="133"/>
      <c r="P36" s="133"/>
      <c r="Q36" s="133"/>
      <c r="R36" s="133"/>
      <c r="S36" s="133"/>
      <c r="T36" s="133"/>
      <c r="U36" s="133"/>
      <c r="V36" s="133"/>
      <c r="W36" s="133"/>
      <c r="X36" s="133"/>
      <c r="Y36" s="133"/>
      <c r="Z36" s="133"/>
      <c r="AA36" s="133"/>
      <c r="AB36" s="133"/>
      <c r="AC36" s="133"/>
      <c r="AD36" s="133"/>
      <c r="AE36" s="133"/>
      <c r="AF36" s="133"/>
      <c r="AG36" s="133"/>
      <c r="AH36" s="133"/>
      <c r="AI36" s="133"/>
      <c r="AJ36" s="133"/>
      <c r="AK36" s="133"/>
      <c r="AL36" s="133"/>
      <c r="AM36" s="133"/>
      <c r="AN36" s="133"/>
      <c r="AO36" s="133"/>
      <c r="AP36" s="133"/>
      <c r="AQ36" s="133"/>
      <c r="AR36" s="133"/>
      <c r="AS36" s="133"/>
      <c r="AT36" s="133"/>
      <c r="AU36" s="133"/>
      <c r="AV36" s="133"/>
      <c r="AW36" s="133"/>
      <c r="AX36" s="133"/>
      <c r="AY36" s="133"/>
      <c r="AZ36" s="133"/>
      <c r="BA36" s="133"/>
      <c r="BB36" s="133"/>
      <c r="BC36" s="133"/>
      <c r="BD36" s="133"/>
      <c r="BE36" s="133"/>
      <c r="BF36" s="133"/>
      <c r="BG36" s="133"/>
      <c r="BH36" s="133"/>
      <c r="BI36" s="133"/>
      <c r="BJ36" s="133"/>
      <c r="BK36" s="133"/>
      <c r="BL36" s="133"/>
      <c r="BM36" s="133"/>
      <c r="BN36" s="133"/>
      <c r="BO36" s="133"/>
      <c r="BP36" s="133"/>
      <c r="BQ36" s="133"/>
      <c r="BR36" s="133"/>
      <c r="BS36" s="133"/>
      <c r="BT36" s="133"/>
      <c r="BU36" s="133"/>
      <c r="BV36" s="133"/>
      <c r="BW36" s="133"/>
      <c r="BX36" s="133"/>
      <c r="BY36" s="133"/>
      <c r="BZ36" s="133"/>
      <c r="CA36" s="133"/>
      <c r="CB36" s="133"/>
      <c r="CC36" s="133"/>
      <c r="CD36" s="133"/>
      <c r="CE36" s="133"/>
      <c r="CF36" s="133"/>
      <c r="CG36" s="133"/>
      <c r="CH36" s="133"/>
      <c r="CI36" s="133"/>
      <c r="CJ36" s="133"/>
      <c r="CK36" s="133"/>
      <c r="CL36" s="133"/>
      <c r="CM36" s="133"/>
      <c r="CN36" s="133"/>
      <c r="CO36" s="133"/>
      <c r="CP36" s="133"/>
      <c r="CQ36" s="133"/>
      <c r="CR36" s="133"/>
      <c r="CS36" s="133"/>
      <c r="CT36" s="133"/>
      <c r="CU36" s="133"/>
      <c r="CV36" s="133"/>
      <c r="CW36" s="133"/>
      <c r="CX36" s="133"/>
      <c r="CY36" s="133"/>
      <c r="CZ36" s="133"/>
      <c r="DA36" s="133"/>
      <c r="DB36" s="133"/>
      <c r="DC36" s="133"/>
      <c r="DD36" s="133"/>
      <c r="DE36" s="133"/>
      <c r="DF36" s="133"/>
      <c r="DG36" s="133"/>
      <c r="DH36" s="133"/>
      <c r="DI36" s="133"/>
      <c r="DJ36" s="133"/>
      <c r="DK36" s="133"/>
      <c r="DL36" s="133"/>
      <c r="DM36" s="133"/>
      <c r="DN36" s="133"/>
      <c r="DO36" s="133"/>
      <c r="DP36" s="133"/>
      <c r="DQ36" s="133"/>
      <c r="DR36" s="133"/>
      <c r="DS36" s="133"/>
      <c r="DT36" s="133"/>
      <c r="DU36" s="133"/>
      <c r="DV36" s="133"/>
      <c r="DW36" s="133"/>
      <c r="DX36" s="133"/>
      <c r="DY36" s="133"/>
      <c r="DZ36" s="133"/>
      <c r="EA36" s="133"/>
      <c r="EB36" s="133"/>
      <c r="EC36" s="133"/>
      <c r="ED36" s="133"/>
      <c r="EE36" s="133"/>
      <c r="EF36" s="133"/>
      <c r="EG36" s="133"/>
      <c r="EH36" s="133"/>
      <c r="EI36" s="133"/>
      <c r="EJ36" s="133"/>
      <c r="EK36" s="133"/>
      <c r="EL36" s="133"/>
      <c r="EM36" s="133"/>
      <c r="EN36" s="133"/>
      <c r="EO36" s="133"/>
      <c r="EP36" s="133"/>
      <c r="EQ36" s="133"/>
      <c r="ER36" s="133"/>
      <c r="ES36" s="133"/>
      <c r="ET36" s="133"/>
      <c r="EU36" s="133"/>
      <c r="EV36" s="133"/>
      <c r="EW36" s="133"/>
      <c r="EX36" s="133"/>
      <c r="EY36" s="133"/>
      <c r="EZ36" s="133"/>
      <c r="FA36" s="133"/>
      <c r="FB36" s="133"/>
      <c r="FC36" s="133"/>
      <c r="FD36" s="133"/>
      <c r="FE36" s="133"/>
      <c r="FF36" s="133"/>
      <c r="FG36" s="133"/>
      <c r="FH36" s="133"/>
      <c r="FI36" s="133"/>
      <c r="FJ36" s="133"/>
      <c r="FK36" s="133"/>
      <c r="FL36" s="133"/>
      <c r="FM36" s="133"/>
      <c r="FN36" s="133"/>
      <c r="FO36" s="133"/>
      <c r="FP36" s="133"/>
      <c r="FQ36" s="133"/>
      <c r="FR36" s="133"/>
      <c r="FS36" s="133"/>
      <c r="FT36" s="133"/>
      <c r="FU36" s="133"/>
      <c r="FV36" s="133"/>
      <c r="FW36" s="133"/>
      <c r="FX36" s="133"/>
      <c r="FY36" s="133"/>
      <c r="FZ36" s="133"/>
      <c r="GA36" s="133"/>
      <c r="GB36" s="133"/>
      <c r="GC36" s="133"/>
      <c r="GD36" s="133"/>
      <c r="GE36" s="133"/>
      <c r="GF36" s="133"/>
      <c r="GG36" s="133"/>
      <c r="GH36" s="133"/>
      <c r="GI36" s="133"/>
      <c r="GJ36" s="133"/>
      <c r="GK36" s="133"/>
      <c r="GL36" s="133"/>
      <c r="GM36" s="133"/>
      <c r="GN36" s="133"/>
      <c r="GO36" s="133"/>
      <c r="GP36" s="133"/>
      <c r="GQ36" s="133"/>
      <c r="GR36" s="133"/>
      <c r="GS36" s="133"/>
      <c r="GT36" s="133"/>
      <c r="GU36" s="133"/>
      <c r="GV36" s="133"/>
      <c r="GW36" s="133"/>
      <c r="GX36" s="133"/>
      <c r="GY36" s="133"/>
      <c r="GZ36" s="133"/>
      <c r="HA36" s="133"/>
      <c r="HB36" s="133"/>
      <c r="HC36" s="133"/>
      <c r="HD36" s="133"/>
      <c r="HE36" s="133"/>
      <c r="HF36" s="133"/>
      <c r="HG36" s="133"/>
      <c r="HH36" s="133"/>
      <c r="HI36" s="133"/>
      <c r="HJ36" s="133"/>
      <c r="HK36" s="133"/>
      <c r="HL36" s="133"/>
      <c r="HM36" s="133"/>
      <c r="HN36" s="133"/>
      <c r="HO36" s="133"/>
      <c r="HP36" s="133"/>
      <c r="HQ36" s="133"/>
      <c r="HR36" s="133"/>
      <c r="HS36" s="133"/>
      <c r="HT36" s="133"/>
      <c r="HU36" s="133"/>
      <c r="HV36" s="133"/>
      <c r="HW36" s="133"/>
      <c r="HX36" s="133"/>
      <c r="HY36" s="133"/>
      <c r="HZ36" s="133"/>
      <c r="IA36" s="133"/>
      <c r="IB36" s="133"/>
      <c r="IC36" s="133"/>
      <c r="ID36" s="133"/>
      <c r="IE36" s="133"/>
      <c r="IF36" s="133"/>
      <c r="IG36" s="133"/>
      <c r="IH36" s="133"/>
      <c r="II36" s="133"/>
      <c r="IJ36" s="133"/>
      <c r="IK36" s="133"/>
      <c r="IL36" s="133"/>
      <c r="IM36" s="133"/>
      <c r="IN36" s="133"/>
      <c r="IO36" s="133"/>
      <c r="IP36" s="133"/>
      <c r="IQ36" s="133"/>
      <c r="IR36" s="133"/>
      <c r="IS36" s="133"/>
      <c r="IT36" s="133"/>
      <c r="IU36" s="133"/>
    </row>
    <row r="37" spans="1:255" x14ac:dyDescent="0.2">
      <c r="A37" s="113" t="s">
        <v>46</v>
      </c>
      <c r="B37" s="110">
        <v>695</v>
      </c>
      <c r="C37" s="110">
        <v>7950</v>
      </c>
      <c r="D37" s="110">
        <v>23670</v>
      </c>
      <c r="E37" s="110">
        <v>36139</v>
      </c>
      <c r="F37" s="134">
        <v>7456</v>
      </c>
      <c r="G37" s="135">
        <v>34144</v>
      </c>
      <c r="H37" s="110">
        <v>5290</v>
      </c>
      <c r="I37" s="110">
        <v>10591</v>
      </c>
      <c r="J37" s="110">
        <v>18943</v>
      </c>
      <c r="K37" s="136">
        <f>SUM(B37:J37)</f>
        <v>144878</v>
      </c>
      <c r="L37" s="133"/>
      <c r="M37" s="133"/>
      <c r="N37" s="133"/>
      <c r="O37" s="133"/>
      <c r="P37" s="133"/>
      <c r="Q37" s="133"/>
      <c r="R37" s="133"/>
      <c r="S37" s="133"/>
      <c r="T37" s="133"/>
      <c r="U37" s="133"/>
      <c r="V37" s="133"/>
      <c r="W37" s="133"/>
      <c r="X37" s="133"/>
      <c r="Y37" s="133"/>
      <c r="Z37" s="133"/>
      <c r="AA37" s="133"/>
      <c r="AB37" s="133"/>
      <c r="AC37" s="133"/>
      <c r="AD37" s="133"/>
      <c r="AE37" s="133"/>
      <c r="AF37" s="133"/>
      <c r="AG37" s="133"/>
      <c r="AH37" s="133"/>
      <c r="AI37" s="133"/>
      <c r="AJ37" s="133"/>
      <c r="AK37" s="133"/>
      <c r="AL37" s="133"/>
      <c r="AM37" s="133"/>
      <c r="AN37" s="133"/>
      <c r="AO37" s="133"/>
      <c r="AP37" s="133"/>
      <c r="AQ37" s="133"/>
      <c r="AR37" s="133"/>
      <c r="AS37" s="133"/>
      <c r="AT37" s="133"/>
      <c r="AU37" s="133"/>
      <c r="AV37" s="133"/>
      <c r="AW37" s="133"/>
      <c r="AX37" s="133"/>
      <c r="AY37" s="133"/>
      <c r="AZ37" s="133"/>
      <c r="BA37" s="133"/>
      <c r="BB37" s="133"/>
      <c r="BC37" s="133"/>
      <c r="BD37" s="133"/>
      <c r="BE37" s="133"/>
      <c r="BF37" s="133"/>
      <c r="BG37" s="133"/>
      <c r="BH37" s="133"/>
      <c r="BI37" s="133"/>
      <c r="BJ37" s="133"/>
      <c r="BK37" s="133"/>
      <c r="BL37" s="133"/>
      <c r="BM37" s="133"/>
      <c r="BN37" s="133"/>
      <c r="BO37" s="133"/>
      <c r="BP37" s="133"/>
      <c r="BQ37" s="133"/>
      <c r="BR37" s="133"/>
      <c r="BS37" s="133"/>
      <c r="BT37" s="133"/>
      <c r="BU37" s="133"/>
      <c r="BV37" s="133"/>
      <c r="BW37" s="133"/>
      <c r="BX37" s="133"/>
      <c r="BY37" s="133"/>
      <c r="BZ37" s="133"/>
      <c r="CA37" s="133"/>
      <c r="CB37" s="133"/>
      <c r="CC37" s="133"/>
      <c r="CD37" s="133"/>
      <c r="CE37" s="133"/>
      <c r="CF37" s="133"/>
      <c r="CG37" s="133"/>
      <c r="CH37" s="133"/>
      <c r="CI37" s="133"/>
      <c r="CJ37" s="133"/>
      <c r="CK37" s="133"/>
      <c r="CL37" s="133"/>
      <c r="CM37" s="133"/>
      <c r="CN37" s="133"/>
      <c r="CO37" s="133"/>
      <c r="CP37" s="133"/>
      <c r="CQ37" s="133"/>
      <c r="CR37" s="133"/>
      <c r="CS37" s="133"/>
      <c r="CT37" s="133"/>
      <c r="CU37" s="133"/>
      <c r="CV37" s="133"/>
      <c r="CW37" s="133"/>
      <c r="CX37" s="133"/>
      <c r="CY37" s="133"/>
      <c r="CZ37" s="133"/>
      <c r="DA37" s="133"/>
      <c r="DB37" s="133"/>
      <c r="DC37" s="133"/>
      <c r="DD37" s="133"/>
      <c r="DE37" s="133"/>
      <c r="DF37" s="133"/>
      <c r="DG37" s="133"/>
      <c r="DH37" s="133"/>
      <c r="DI37" s="133"/>
      <c r="DJ37" s="133"/>
      <c r="DK37" s="133"/>
      <c r="DL37" s="133"/>
      <c r="DM37" s="133"/>
      <c r="DN37" s="133"/>
      <c r="DO37" s="133"/>
      <c r="DP37" s="133"/>
      <c r="DQ37" s="133"/>
      <c r="DR37" s="133"/>
      <c r="DS37" s="133"/>
      <c r="DT37" s="133"/>
      <c r="DU37" s="133"/>
      <c r="DV37" s="133"/>
      <c r="DW37" s="133"/>
      <c r="DX37" s="133"/>
      <c r="DY37" s="133"/>
      <c r="DZ37" s="133"/>
      <c r="EA37" s="133"/>
      <c r="EB37" s="133"/>
      <c r="EC37" s="133"/>
      <c r="ED37" s="133"/>
      <c r="EE37" s="133"/>
      <c r="EF37" s="133"/>
      <c r="EG37" s="133"/>
      <c r="EH37" s="133"/>
      <c r="EI37" s="133"/>
      <c r="EJ37" s="133"/>
      <c r="EK37" s="133"/>
      <c r="EL37" s="133"/>
      <c r="EM37" s="133"/>
      <c r="EN37" s="133"/>
      <c r="EO37" s="133"/>
      <c r="EP37" s="133"/>
      <c r="EQ37" s="133"/>
      <c r="ER37" s="133"/>
      <c r="ES37" s="133"/>
      <c r="ET37" s="133"/>
      <c r="EU37" s="133"/>
      <c r="EV37" s="133"/>
      <c r="EW37" s="133"/>
      <c r="EX37" s="133"/>
      <c r="EY37" s="133"/>
      <c r="EZ37" s="133"/>
      <c r="FA37" s="133"/>
      <c r="FB37" s="133"/>
      <c r="FC37" s="133"/>
      <c r="FD37" s="133"/>
      <c r="FE37" s="133"/>
      <c r="FF37" s="133"/>
      <c r="FG37" s="133"/>
      <c r="FH37" s="133"/>
      <c r="FI37" s="133"/>
      <c r="FJ37" s="133"/>
      <c r="FK37" s="133"/>
      <c r="FL37" s="133"/>
      <c r="FM37" s="133"/>
      <c r="FN37" s="133"/>
      <c r="FO37" s="133"/>
      <c r="FP37" s="133"/>
      <c r="FQ37" s="133"/>
      <c r="FR37" s="133"/>
      <c r="FS37" s="133"/>
      <c r="FT37" s="133"/>
      <c r="FU37" s="133"/>
      <c r="FV37" s="133"/>
      <c r="FW37" s="133"/>
      <c r="FX37" s="133"/>
      <c r="FY37" s="133"/>
      <c r="FZ37" s="133"/>
      <c r="GA37" s="133"/>
      <c r="GB37" s="133"/>
      <c r="GC37" s="133"/>
      <c r="GD37" s="133"/>
      <c r="GE37" s="133"/>
      <c r="GF37" s="133"/>
      <c r="GG37" s="133"/>
      <c r="GH37" s="133"/>
      <c r="GI37" s="133"/>
      <c r="GJ37" s="133"/>
      <c r="GK37" s="133"/>
      <c r="GL37" s="133"/>
      <c r="GM37" s="133"/>
      <c r="GN37" s="133"/>
      <c r="GO37" s="133"/>
      <c r="GP37" s="133"/>
      <c r="GQ37" s="133"/>
      <c r="GR37" s="133"/>
      <c r="GS37" s="133"/>
      <c r="GT37" s="133"/>
      <c r="GU37" s="133"/>
      <c r="GV37" s="133"/>
      <c r="GW37" s="133"/>
      <c r="GX37" s="133"/>
      <c r="GY37" s="133"/>
      <c r="GZ37" s="133"/>
      <c r="HA37" s="133"/>
      <c r="HB37" s="133"/>
      <c r="HC37" s="133"/>
      <c r="HD37" s="133"/>
      <c r="HE37" s="133"/>
      <c r="HF37" s="133"/>
      <c r="HG37" s="133"/>
      <c r="HH37" s="133"/>
      <c r="HI37" s="133"/>
      <c r="HJ37" s="133"/>
      <c r="HK37" s="133"/>
      <c r="HL37" s="133"/>
      <c r="HM37" s="133"/>
      <c r="HN37" s="133"/>
      <c r="HO37" s="133"/>
      <c r="HP37" s="133"/>
      <c r="HQ37" s="133"/>
      <c r="HR37" s="133"/>
      <c r="HS37" s="133"/>
      <c r="HT37" s="133"/>
      <c r="HU37" s="133"/>
      <c r="HV37" s="133"/>
      <c r="HW37" s="133"/>
      <c r="HX37" s="133"/>
      <c r="HY37" s="133"/>
      <c r="HZ37" s="133"/>
      <c r="IA37" s="133"/>
      <c r="IB37" s="133"/>
      <c r="IC37" s="133"/>
      <c r="ID37" s="133"/>
      <c r="IE37" s="133"/>
      <c r="IF37" s="133"/>
      <c r="IG37" s="133"/>
      <c r="IH37" s="133"/>
      <c r="II37" s="133"/>
      <c r="IJ37" s="133"/>
      <c r="IK37" s="133"/>
      <c r="IL37" s="133"/>
      <c r="IM37" s="133"/>
      <c r="IN37" s="133"/>
      <c r="IO37" s="133"/>
      <c r="IP37" s="133"/>
      <c r="IQ37" s="133"/>
      <c r="IR37" s="133"/>
      <c r="IS37" s="133"/>
      <c r="IT37" s="133"/>
      <c r="IU37" s="133"/>
    </row>
    <row r="38" spans="1:255" x14ac:dyDescent="0.2">
      <c r="A38" s="113" t="s">
        <v>201</v>
      </c>
      <c r="D38" s="110">
        <v>5288</v>
      </c>
      <c r="F38" s="110"/>
      <c r="I38" s="110"/>
      <c r="J38" s="110">
        <v>4819</v>
      </c>
      <c r="K38" s="136">
        <f>SUM(B38:J38)</f>
        <v>10107</v>
      </c>
      <c r="L38" s="133"/>
      <c r="M38" s="133"/>
      <c r="N38" s="133"/>
      <c r="O38" s="133"/>
      <c r="P38" s="133"/>
      <c r="Q38" s="133"/>
      <c r="R38" s="133"/>
      <c r="S38" s="133"/>
      <c r="T38" s="133"/>
      <c r="U38" s="133"/>
      <c r="V38" s="133"/>
      <c r="W38" s="133"/>
      <c r="X38" s="133"/>
      <c r="Y38" s="133"/>
      <c r="Z38" s="133"/>
      <c r="AA38" s="133"/>
      <c r="AB38" s="133"/>
      <c r="AC38" s="133"/>
      <c r="AD38" s="133"/>
      <c r="AE38" s="133"/>
      <c r="AF38" s="133"/>
      <c r="AG38" s="133"/>
      <c r="AH38" s="133"/>
      <c r="AI38" s="133"/>
      <c r="AJ38" s="133"/>
      <c r="AK38" s="133"/>
      <c r="AL38" s="133"/>
      <c r="AM38" s="133"/>
      <c r="AN38" s="133"/>
      <c r="AO38" s="133"/>
      <c r="AP38" s="133"/>
      <c r="AQ38" s="133"/>
      <c r="AR38" s="133"/>
      <c r="AS38" s="133"/>
      <c r="AT38" s="133"/>
      <c r="AU38" s="133"/>
      <c r="AV38" s="133"/>
      <c r="AW38" s="133"/>
      <c r="AX38" s="133"/>
      <c r="AY38" s="133"/>
      <c r="AZ38" s="133"/>
      <c r="BA38" s="133"/>
      <c r="BB38" s="133"/>
      <c r="BC38" s="133"/>
      <c r="BD38" s="133"/>
      <c r="BE38" s="133"/>
      <c r="BF38" s="133"/>
      <c r="BG38" s="133"/>
      <c r="BH38" s="133"/>
      <c r="BI38" s="133"/>
      <c r="BJ38" s="133"/>
      <c r="BK38" s="133"/>
      <c r="BL38" s="133"/>
      <c r="BM38" s="133"/>
      <c r="BN38" s="133"/>
      <c r="BO38" s="133"/>
      <c r="BP38" s="133"/>
      <c r="BQ38" s="133"/>
      <c r="BR38" s="133"/>
      <c r="BS38" s="133"/>
      <c r="BT38" s="133"/>
      <c r="BU38" s="133"/>
      <c r="BV38" s="133"/>
      <c r="BW38" s="133"/>
      <c r="BX38" s="133"/>
      <c r="BY38" s="133"/>
      <c r="BZ38" s="133"/>
      <c r="CA38" s="133"/>
      <c r="CB38" s="133"/>
      <c r="CC38" s="133"/>
      <c r="CD38" s="133"/>
      <c r="CE38" s="133"/>
      <c r="CF38" s="133"/>
      <c r="CG38" s="133"/>
      <c r="CH38" s="133"/>
      <c r="CI38" s="133"/>
      <c r="CJ38" s="133"/>
      <c r="CK38" s="133"/>
      <c r="CL38" s="133"/>
      <c r="CM38" s="133"/>
      <c r="CN38" s="133"/>
      <c r="CO38" s="133"/>
      <c r="CP38" s="133"/>
      <c r="CQ38" s="133"/>
      <c r="CR38" s="133"/>
      <c r="CS38" s="133"/>
      <c r="CT38" s="133"/>
      <c r="CU38" s="133"/>
      <c r="CV38" s="133"/>
      <c r="CW38" s="133"/>
      <c r="CX38" s="133"/>
      <c r="CY38" s="133"/>
      <c r="CZ38" s="133"/>
      <c r="DA38" s="133"/>
      <c r="DB38" s="133"/>
      <c r="DC38" s="133"/>
      <c r="DD38" s="133"/>
      <c r="DE38" s="133"/>
      <c r="DF38" s="133"/>
      <c r="DG38" s="133"/>
      <c r="DH38" s="133"/>
      <c r="DI38" s="133"/>
      <c r="DJ38" s="133"/>
      <c r="DK38" s="133"/>
      <c r="DL38" s="133"/>
      <c r="DM38" s="133"/>
      <c r="DN38" s="133"/>
      <c r="DO38" s="133"/>
      <c r="DP38" s="133"/>
      <c r="DQ38" s="133"/>
      <c r="DR38" s="133"/>
      <c r="DS38" s="133"/>
      <c r="DT38" s="133"/>
      <c r="DU38" s="133"/>
      <c r="DV38" s="133"/>
      <c r="DW38" s="133"/>
      <c r="DX38" s="133"/>
      <c r="DY38" s="133"/>
      <c r="DZ38" s="133"/>
      <c r="EA38" s="133"/>
      <c r="EB38" s="133"/>
      <c r="EC38" s="133"/>
      <c r="ED38" s="133"/>
      <c r="EE38" s="133"/>
      <c r="EF38" s="133"/>
      <c r="EG38" s="133"/>
      <c r="EH38" s="133"/>
      <c r="EI38" s="133"/>
      <c r="EJ38" s="133"/>
      <c r="EK38" s="133"/>
      <c r="EL38" s="133"/>
      <c r="EM38" s="133"/>
      <c r="EN38" s="133"/>
      <c r="EO38" s="133"/>
      <c r="EP38" s="133"/>
      <c r="EQ38" s="133"/>
      <c r="ER38" s="133"/>
      <c r="ES38" s="133"/>
      <c r="ET38" s="133"/>
      <c r="EU38" s="133"/>
      <c r="EV38" s="133"/>
      <c r="EW38" s="133"/>
      <c r="EX38" s="133"/>
      <c r="EY38" s="133"/>
      <c r="EZ38" s="133"/>
      <c r="FA38" s="133"/>
      <c r="FB38" s="133"/>
      <c r="FC38" s="133"/>
      <c r="FD38" s="133"/>
      <c r="FE38" s="133"/>
      <c r="FF38" s="133"/>
      <c r="FG38" s="133"/>
      <c r="FH38" s="133"/>
      <c r="FI38" s="133"/>
      <c r="FJ38" s="133"/>
      <c r="FK38" s="133"/>
      <c r="FL38" s="133"/>
      <c r="FM38" s="133"/>
      <c r="FN38" s="133"/>
      <c r="FO38" s="133"/>
      <c r="FP38" s="133"/>
      <c r="FQ38" s="133"/>
      <c r="FR38" s="133"/>
      <c r="FS38" s="133"/>
      <c r="FT38" s="133"/>
      <c r="FU38" s="133"/>
      <c r="FV38" s="133"/>
      <c r="FW38" s="133"/>
      <c r="FX38" s="133"/>
      <c r="FY38" s="133"/>
      <c r="FZ38" s="133"/>
      <c r="GA38" s="133"/>
      <c r="GB38" s="133"/>
      <c r="GC38" s="133"/>
      <c r="GD38" s="133"/>
      <c r="GE38" s="133"/>
      <c r="GF38" s="133"/>
      <c r="GG38" s="133"/>
      <c r="GH38" s="133"/>
      <c r="GI38" s="133"/>
      <c r="GJ38" s="133"/>
      <c r="GK38" s="133"/>
      <c r="GL38" s="133"/>
      <c r="GM38" s="133"/>
      <c r="GN38" s="133"/>
      <c r="GO38" s="133"/>
      <c r="GP38" s="133"/>
      <c r="GQ38" s="133"/>
      <c r="GR38" s="133"/>
      <c r="GS38" s="133"/>
      <c r="GT38" s="133"/>
      <c r="GU38" s="133"/>
      <c r="GV38" s="133"/>
      <c r="GW38" s="133"/>
      <c r="GX38" s="133"/>
      <c r="GY38" s="133"/>
      <c r="GZ38" s="133"/>
      <c r="HA38" s="133"/>
      <c r="HB38" s="133"/>
      <c r="HC38" s="133"/>
      <c r="HD38" s="133"/>
      <c r="HE38" s="133"/>
      <c r="HF38" s="133"/>
      <c r="HG38" s="133"/>
      <c r="HH38" s="133"/>
      <c r="HI38" s="133"/>
      <c r="HJ38" s="133"/>
      <c r="HK38" s="133"/>
      <c r="HL38" s="133"/>
      <c r="HM38" s="133"/>
      <c r="HN38" s="133"/>
      <c r="HO38" s="133"/>
      <c r="HP38" s="133"/>
      <c r="HQ38" s="133"/>
      <c r="HR38" s="133"/>
      <c r="HS38" s="133"/>
      <c r="HT38" s="133"/>
      <c r="HU38" s="133"/>
      <c r="HV38" s="133"/>
      <c r="HW38" s="133"/>
      <c r="HX38" s="133"/>
      <c r="HY38" s="133"/>
      <c r="HZ38" s="133"/>
      <c r="IA38" s="133"/>
      <c r="IB38" s="133"/>
      <c r="IC38" s="133"/>
      <c r="ID38" s="133"/>
      <c r="IE38" s="133"/>
      <c r="IF38" s="133"/>
      <c r="IG38" s="133"/>
      <c r="IH38" s="133"/>
      <c r="II38" s="133"/>
      <c r="IJ38" s="133"/>
      <c r="IK38" s="133"/>
      <c r="IL38" s="133"/>
      <c r="IM38" s="133"/>
      <c r="IN38" s="133"/>
      <c r="IO38" s="133"/>
      <c r="IP38" s="133"/>
      <c r="IQ38" s="133"/>
      <c r="IR38" s="133"/>
      <c r="IS38" s="133"/>
      <c r="IT38" s="133"/>
      <c r="IU38" s="133"/>
    </row>
    <row r="39" spans="1:255" ht="14.25" x14ac:dyDescent="0.2">
      <c r="A39" s="126" t="s">
        <v>202</v>
      </c>
      <c r="C39" s="110">
        <v>6881</v>
      </c>
      <c r="F39" s="110">
        <v>1449</v>
      </c>
      <c r="H39" s="110">
        <v>10591</v>
      </c>
      <c r="I39" s="110"/>
      <c r="J39" s="110">
        <v>25169</v>
      </c>
      <c r="K39" s="136">
        <f>SUM(B39:J39)</f>
        <v>44090</v>
      </c>
      <c r="L39" s="133"/>
      <c r="M39" s="133"/>
      <c r="N39" s="133"/>
      <c r="O39" s="133"/>
      <c r="P39" s="133"/>
      <c r="Q39" s="133"/>
      <c r="R39" s="133"/>
      <c r="S39" s="133"/>
      <c r="T39" s="133"/>
      <c r="U39" s="133"/>
      <c r="V39" s="133"/>
      <c r="W39" s="133"/>
      <c r="X39" s="133"/>
      <c r="Y39" s="133"/>
      <c r="Z39" s="133"/>
      <c r="AA39" s="133"/>
      <c r="AB39" s="133"/>
      <c r="AC39" s="133"/>
      <c r="AD39" s="133"/>
      <c r="AE39" s="133"/>
      <c r="AF39" s="133"/>
      <c r="AG39" s="133"/>
      <c r="AH39" s="133"/>
      <c r="AI39" s="133"/>
      <c r="AJ39" s="133"/>
      <c r="AK39" s="133"/>
      <c r="AL39" s="133"/>
      <c r="AM39" s="133"/>
      <c r="AN39" s="133"/>
      <c r="AO39" s="133"/>
      <c r="AP39" s="133"/>
      <c r="AQ39" s="133"/>
      <c r="AR39" s="133"/>
      <c r="AS39" s="133"/>
      <c r="AT39" s="133"/>
      <c r="AU39" s="133"/>
      <c r="AV39" s="133"/>
      <c r="AW39" s="133"/>
      <c r="AX39" s="133"/>
      <c r="AY39" s="133"/>
      <c r="AZ39" s="133"/>
      <c r="BA39" s="133"/>
      <c r="BB39" s="133"/>
      <c r="BC39" s="133"/>
      <c r="BD39" s="133"/>
      <c r="BE39" s="133"/>
      <c r="BF39" s="133"/>
      <c r="BG39" s="133"/>
      <c r="BH39" s="133"/>
      <c r="BI39" s="133"/>
      <c r="BJ39" s="133"/>
      <c r="BK39" s="133"/>
      <c r="BL39" s="133"/>
      <c r="BM39" s="133"/>
      <c r="BN39" s="133"/>
      <c r="BO39" s="133"/>
      <c r="BP39" s="133"/>
      <c r="BQ39" s="133"/>
      <c r="BR39" s="133"/>
      <c r="BS39" s="133"/>
      <c r="BT39" s="133"/>
      <c r="BU39" s="133"/>
      <c r="BV39" s="133"/>
      <c r="BW39" s="133"/>
      <c r="BX39" s="133"/>
      <c r="BY39" s="133"/>
      <c r="BZ39" s="133"/>
      <c r="CA39" s="133"/>
      <c r="CB39" s="133"/>
      <c r="CC39" s="133"/>
      <c r="CD39" s="133"/>
      <c r="CE39" s="133"/>
      <c r="CF39" s="133"/>
      <c r="CG39" s="133"/>
      <c r="CH39" s="133"/>
      <c r="CI39" s="133"/>
      <c r="CJ39" s="133"/>
      <c r="CK39" s="133"/>
      <c r="CL39" s="133"/>
      <c r="CM39" s="133"/>
      <c r="CN39" s="133"/>
      <c r="CO39" s="133"/>
      <c r="CP39" s="133"/>
      <c r="CQ39" s="133"/>
      <c r="CR39" s="133"/>
      <c r="CS39" s="133"/>
      <c r="CT39" s="133"/>
      <c r="CU39" s="133"/>
      <c r="CV39" s="133"/>
      <c r="CW39" s="133"/>
      <c r="CX39" s="133"/>
      <c r="CY39" s="133"/>
      <c r="CZ39" s="133"/>
      <c r="DA39" s="133"/>
      <c r="DB39" s="133"/>
      <c r="DC39" s="133"/>
      <c r="DD39" s="133"/>
      <c r="DE39" s="133"/>
      <c r="DF39" s="133"/>
      <c r="DG39" s="133"/>
      <c r="DH39" s="133"/>
      <c r="DI39" s="133"/>
      <c r="DJ39" s="133"/>
      <c r="DK39" s="133"/>
      <c r="DL39" s="133"/>
      <c r="DM39" s="133"/>
      <c r="DN39" s="133"/>
      <c r="DO39" s="133"/>
      <c r="DP39" s="133"/>
      <c r="DQ39" s="133"/>
      <c r="DR39" s="133"/>
      <c r="DS39" s="133"/>
      <c r="DT39" s="133"/>
      <c r="DU39" s="133"/>
      <c r="DV39" s="133"/>
      <c r="DW39" s="133"/>
      <c r="DX39" s="133"/>
      <c r="DY39" s="133"/>
      <c r="DZ39" s="133"/>
      <c r="EA39" s="133"/>
      <c r="EB39" s="133"/>
      <c r="EC39" s="133"/>
      <c r="ED39" s="133"/>
      <c r="EE39" s="133"/>
      <c r="EF39" s="133"/>
      <c r="EG39" s="133"/>
      <c r="EH39" s="133"/>
      <c r="EI39" s="133"/>
      <c r="EJ39" s="133"/>
      <c r="EK39" s="133"/>
      <c r="EL39" s="133"/>
      <c r="EM39" s="133"/>
      <c r="EN39" s="133"/>
      <c r="EO39" s="133"/>
      <c r="EP39" s="133"/>
      <c r="EQ39" s="133"/>
      <c r="ER39" s="133"/>
      <c r="ES39" s="133"/>
      <c r="ET39" s="133"/>
      <c r="EU39" s="133"/>
      <c r="EV39" s="133"/>
      <c r="EW39" s="133"/>
      <c r="EX39" s="133"/>
      <c r="EY39" s="133"/>
      <c r="EZ39" s="133"/>
      <c r="FA39" s="133"/>
      <c r="FB39" s="133"/>
      <c r="FC39" s="133"/>
      <c r="FD39" s="133"/>
      <c r="FE39" s="133"/>
      <c r="FF39" s="133"/>
      <c r="FG39" s="133"/>
      <c r="FH39" s="133"/>
      <c r="FI39" s="133"/>
      <c r="FJ39" s="133"/>
      <c r="FK39" s="133"/>
      <c r="FL39" s="133"/>
      <c r="FM39" s="133"/>
      <c r="FN39" s="133"/>
      <c r="FO39" s="133"/>
      <c r="FP39" s="133"/>
      <c r="FQ39" s="133"/>
      <c r="FR39" s="133"/>
      <c r="FS39" s="133"/>
      <c r="FT39" s="133"/>
      <c r="FU39" s="133"/>
      <c r="FV39" s="133"/>
      <c r="FW39" s="133"/>
      <c r="FX39" s="133"/>
      <c r="FY39" s="133"/>
      <c r="FZ39" s="133"/>
      <c r="GA39" s="133"/>
      <c r="GB39" s="133"/>
      <c r="GC39" s="133"/>
      <c r="GD39" s="133"/>
      <c r="GE39" s="133"/>
      <c r="GF39" s="133"/>
      <c r="GG39" s="133"/>
      <c r="GH39" s="133"/>
      <c r="GI39" s="133"/>
      <c r="GJ39" s="133"/>
      <c r="GK39" s="133"/>
      <c r="GL39" s="133"/>
      <c r="GM39" s="133"/>
      <c r="GN39" s="133"/>
      <c r="GO39" s="133"/>
      <c r="GP39" s="133"/>
      <c r="GQ39" s="133"/>
      <c r="GR39" s="133"/>
      <c r="GS39" s="133"/>
      <c r="GT39" s="133"/>
      <c r="GU39" s="133"/>
      <c r="GV39" s="133"/>
      <c r="GW39" s="133"/>
      <c r="GX39" s="133"/>
      <c r="GY39" s="133"/>
      <c r="GZ39" s="133"/>
      <c r="HA39" s="133"/>
      <c r="HB39" s="133"/>
      <c r="HC39" s="133"/>
      <c r="HD39" s="133"/>
      <c r="HE39" s="133"/>
      <c r="HF39" s="133"/>
      <c r="HG39" s="133"/>
      <c r="HH39" s="133"/>
      <c r="HI39" s="133"/>
      <c r="HJ39" s="133"/>
      <c r="HK39" s="133"/>
      <c r="HL39" s="133"/>
      <c r="HM39" s="133"/>
      <c r="HN39" s="133"/>
      <c r="HO39" s="133"/>
      <c r="HP39" s="133"/>
      <c r="HQ39" s="133"/>
      <c r="HR39" s="133"/>
      <c r="HS39" s="133"/>
      <c r="HT39" s="133"/>
      <c r="HU39" s="133"/>
      <c r="HV39" s="133"/>
      <c r="HW39" s="133"/>
      <c r="HX39" s="133"/>
      <c r="HY39" s="133"/>
      <c r="HZ39" s="133"/>
      <c r="IA39" s="133"/>
      <c r="IB39" s="133"/>
      <c r="IC39" s="133"/>
      <c r="ID39" s="133"/>
      <c r="IE39" s="133"/>
      <c r="IF39" s="133"/>
      <c r="IG39" s="133"/>
      <c r="IH39" s="133"/>
      <c r="II39" s="133"/>
      <c r="IJ39" s="133"/>
      <c r="IK39" s="133"/>
      <c r="IL39" s="133"/>
      <c r="IM39" s="133"/>
      <c r="IN39" s="133"/>
      <c r="IO39" s="133"/>
      <c r="IP39" s="133"/>
      <c r="IQ39" s="133"/>
      <c r="IR39" s="133"/>
      <c r="IS39" s="133"/>
      <c r="IT39" s="133"/>
      <c r="IU39" s="133"/>
    </row>
    <row r="40" spans="1:255" x14ac:dyDescent="0.2">
      <c r="F40" s="110"/>
      <c r="I40" s="110"/>
      <c r="J40" s="110"/>
      <c r="K40" s="110"/>
      <c r="L40" s="133"/>
      <c r="M40" s="133"/>
      <c r="N40" s="133"/>
      <c r="O40" s="133"/>
      <c r="P40" s="133"/>
      <c r="Q40" s="133"/>
      <c r="R40" s="133"/>
      <c r="S40" s="133"/>
      <c r="T40" s="133"/>
      <c r="U40" s="133"/>
      <c r="V40" s="133"/>
      <c r="W40" s="133"/>
      <c r="X40" s="133"/>
      <c r="Y40" s="133"/>
      <c r="Z40" s="133"/>
      <c r="AA40" s="133"/>
      <c r="AB40" s="133"/>
      <c r="AC40" s="133"/>
      <c r="AD40" s="133"/>
      <c r="AE40" s="133"/>
      <c r="AF40" s="133"/>
      <c r="AG40" s="133"/>
      <c r="AH40" s="133"/>
      <c r="AI40" s="133"/>
      <c r="AJ40" s="133"/>
      <c r="AK40" s="133"/>
      <c r="AL40" s="133"/>
      <c r="AM40" s="133"/>
      <c r="AN40" s="133"/>
      <c r="AO40" s="133"/>
      <c r="AP40" s="133"/>
      <c r="AQ40" s="133"/>
      <c r="AR40" s="133"/>
      <c r="AS40" s="133"/>
      <c r="AT40" s="133"/>
      <c r="AU40" s="133"/>
      <c r="AV40" s="133"/>
      <c r="AW40" s="133"/>
      <c r="AX40" s="133"/>
      <c r="AY40" s="133"/>
      <c r="AZ40" s="133"/>
      <c r="BA40" s="133"/>
      <c r="BB40" s="133"/>
      <c r="BC40" s="133"/>
      <c r="BD40" s="133"/>
      <c r="BE40" s="133"/>
      <c r="BF40" s="133"/>
      <c r="BG40" s="133"/>
      <c r="BH40" s="133"/>
      <c r="BI40" s="133"/>
      <c r="BJ40" s="133"/>
      <c r="BK40" s="133"/>
      <c r="BL40" s="133"/>
      <c r="BM40" s="133"/>
      <c r="BN40" s="133"/>
      <c r="BO40" s="133"/>
      <c r="BP40" s="133"/>
      <c r="BQ40" s="133"/>
      <c r="BR40" s="133"/>
      <c r="BS40" s="133"/>
      <c r="BT40" s="133"/>
      <c r="BU40" s="133"/>
      <c r="BV40" s="133"/>
      <c r="BW40" s="133"/>
      <c r="BX40" s="133"/>
      <c r="BY40" s="133"/>
      <c r="BZ40" s="133"/>
      <c r="CA40" s="133"/>
      <c r="CB40" s="133"/>
      <c r="CC40" s="133"/>
      <c r="CD40" s="133"/>
      <c r="CE40" s="133"/>
      <c r="CF40" s="133"/>
      <c r="CG40" s="133"/>
      <c r="CH40" s="133"/>
      <c r="CI40" s="133"/>
      <c r="CJ40" s="133"/>
      <c r="CK40" s="133"/>
      <c r="CL40" s="133"/>
      <c r="CM40" s="133"/>
      <c r="CN40" s="133"/>
      <c r="CO40" s="133"/>
      <c r="CP40" s="133"/>
      <c r="CQ40" s="133"/>
      <c r="CR40" s="133"/>
      <c r="CS40" s="133"/>
      <c r="CT40" s="133"/>
      <c r="CU40" s="133"/>
      <c r="CV40" s="133"/>
      <c r="CW40" s="133"/>
      <c r="CX40" s="133"/>
      <c r="CY40" s="133"/>
      <c r="CZ40" s="133"/>
      <c r="DA40" s="133"/>
      <c r="DB40" s="133"/>
      <c r="DC40" s="133"/>
      <c r="DD40" s="133"/>
      <c r="DE40" s="133"/>
      <c r="DF40" s="133"/>
      <c r="DG40" s="133"/>
      <c r="DH40" s="133"/>
      <c r="DI40" s="133"/>
      <c r="DJ40" s="133"/>
      <c r="DK40" s="133"/>
      <c r="DL40" s="133"/>
      <c r="DM40" s="133"/>
      <c r="DN40" s="133"/>
      <c r="DO40" s="133"/>
      <c r="DP40" s="133"/>
      <c r="DQ40" s="133"/>
      <c r="DR40" s="133"/>
      <c r="DS40" s="133"/>
      <c r="DT40" s="133"/>
      <c r="DU40" s="133"/>
      <c r="DV40" s="133"/>
      <c r="DW40" s="133"/>
      <c r="DX40" s="133"/>
      <c r="DY40" s="133"/>
      <c r="DZ40" s="133"/>
      <c r="EA40" s="133"/>
      <c r="EB40" s="133"/>
      <c r="EC40" s="133"/>
      <c r="ED40" s="133"/>
      <c r="EE40" s="133"/>
      <c r="EF40" s="133"/>
      <c r="EG40" s="133"/>
      <c r="EH40" s="133"/>
      <c r="EI40" s="133"/>
      <c r="EJ40" s="133"/>
      <c r="EK40" s="133"/>
      <c r="EL40" s="133"/>
      <c r="EM40" s="133"/>
      <c r="EN40" s="133"/>
      <c r="EO40" s="133"/>
      <c r="EP40" s="133"/>
      <c r="EQ40" s="133"/>
      <c r="ER40" s="133"/>
      <c r="ES40" s="133"/>
      <c r="ET40" s="133"/>
      <c r="EU40" s="133"/>
      <c r="EV40" s="133"/>
      <c r="EW40" s="133"/>
      <c r="EX40" s="133"/>
      <c r="EY40" s="133"/>
      <c r="EZ40" s="133"/>
      <c r="FA40" s="133"/>
      <c r="FB40" s="133"/>
      <c r="FC40" s="133"/>
      <c r="FD40" s="133"/>
      <c r="FE40" s="133"/>
      <c r="FF40" s="133"/>
      <c r="FG40" s="133"/>
      <c r="FH40" s="133"/>
      <c r="FI40" s="133"/>
      <c r="FJ40" s="133"/>
      <c r="FK40" s="133"/>
      <c r="FL40" s="133"/>
      <c r="FM40" s="133"/>
      <c r="FN40" s="133"/>
      <c r="FO40" s="133"/>
      <c r="FP40" s="133"/>
      <c r="FQ40" s="133"/>
      <c r="FR40" s="133"/>
      <c r="FS40" s="133"/>
      <c r="FT40" s="133"/>
      <c r="FU40" s="133"/>
      <c r="FV40" s="133"/>
      <c r="FW40" s="133"/>
      <c r="FX40" s="133"/>
      <c r="FY40" s="133"/>
      <c r="FZ40" s="133"/>
      <c r="GA40" s="133"/>
      <c r="GB40" s="133"/>
      <c r="GC40" s="133"/>
      <c r="GD40" s="133"/>
      <c r="GE40" s="133"/>
      <c r="GF40" s="133"/>
      <c r="GG40" s="133"/>
      <c r="GH40" s="133"/>
      <c r="GI40" s="133"/>
      <c r="GJ40" s="133"/>
      <c r="GK40" s="133"/>
      <c r="GL40" s="133"/>
      <c r="GM40" s="133"/>
      <c r="GN40" s="133"/>
      <c r="GO40" s="133"/>
      <c r="GP40" s="133"/>
      <c r="GQ40" s="133"/>
      <c r="GR40" s="133"/>
      <c r="GS40" s="133"/>
      <c r="GT40" s="133"/>
      <c r="GU40" s="133"/>
      <c r="GV40" s="133"/>
      <c r="GW40" s="133"/>
      <c r="GX40" s="133"/>
      <c r="GY40" s="133"/>
      <c r="GZ40" s="133"/>
      <c r="HA40" s="133"/>
      <c r="HB40" s="133"/>
      <c r="HC40" s="133"/>
      <c r="HD40" s="133"/>
      <c r="HE40" s="133"/>
      <c r="HF40" s="133"/>
      <c r="HG40" s="133"/>
      <c r="HH40" s="133"/>
      <c r="HI40" s="133"/>
      <c r="HJ40" s="133"/>
      <c r="HK40" s="133"/>
      <c r="HL40" s="133"/>
      <c r="HM40" s="133"/>
      <c r="HN40" s="133"/>
      <c r="HO40" s="133"/>
      <c r="HP40" s="133"/>
      <c r="HQ40" s="133"/>
      <c r="HR40" s="133"/>
      <c r="HS40" s="133"/>
      <c r="HT40" s="133"/>
      <c r="HU40" s="133"/>
      <c r="HV40" s="133"/>
      <c r="HW40" s="133"/>
      <c r="HX40" s="133"/>
      <c r="HY40" s="133"/>
      <c r="HZ40" s="133"/>
      <c r="IA40" s="133"/>
      <c r="IB40" s="133"/>
      <c r="IC40" s="133"/>
      <c r="ID40" s="133"/>
      <c r="IE40" s="133"/>
      <c r="IF40" s="133"/>
      <c r="IG40" s="133"/>
      <c r="IH40" s="133"/>
      <c r="II40" s="133"/>
      <c r="IJ40" s="133"/>
      <c r="IK40" s="133"/>
      <c r="IL40" s="133"/>
      <c r="IM40" s="133"/>
      <c r="IN40" s="133"/>
      <c r="IO40" s="133"/>
      <c r="IP40" s="133"/>
      <c r="IQ40" s="133"/>
      <c r="IR40" s="133"/>
      <c r="IS40" s="133"/>
      <c r="IT40" s="133"/>
      <c r="IU40" s="133"/>
    </row>
    <row r="41" spans="1:255" ht="15" customHeight="1" x14ac:dyDescent="0.25">
      <c r="A41" s="121" t="s">
        <v>44</v>
      </c>
      <c r="B41" s="119"/>
      <c r="C41" s="119"/>
      <c r="D41" s="119"/>
      <c r="E41" s="119"/>
      <c r="F41" s="122"/>
      <c r="G41" s="119"/>
      <c r="H41" s="119"/>
      <c r="I41" s="122"/>
      <c r="J41" s="122"/>
      <c r="K41" s="123"/>
    </row>
    <row r="42" spans="1:255" ht="12" customHeight="1" x14ac:dyDescent="0.2">
      <c r="B42" s="119"/>
      <c r="C42" s="119"/>
      <c r="D42" s="119"/>
      <c r="E42" s="119"/>
      <c r="F42" s="122"/>
      <c r="G42" s="119"/>
      <c r="H42" s="119"/>
      <c r="I42" s="122"/>
      <c r="J42" s="122"/>
      <c r="K42" s="123"/>
    </row>
    <row r="43" spans="1:255" ht="12" customHeight="1" x14ac:dyDescent="0.2">
      <c r="A43" s="109" t="s">
        <v>73</v>
      </c>
      <c r="B43" s="119"/>
      <c r="C43" s="119"/>
      <c r="D43" s="119"/>
      <c r="E43" s="119"/>
      <c r="F43" s="122"/>
      <c r="G43" s="119"/>
      <c r="H43" s="119"/>
      <c r="I43" s="122"/>
      <c r="J43" s="122"/>
      <c r="K43" s="123"/>
    </row>
    <row r="44" spans="1:255" ht="12" customHeight="1" x14ac:dyDescent="0.2">
      <c r="B44" s="119"/>
      <c r="C44" s="119"/>
      <c r="D44" s="119"/>
      <c r="E44" s="119"/>
      <c r="F44" s="122"/>
      <c r="G44" s="127"/>
      <c r="H44" s="119"/>
      <c r="I44" s="122"/>
      <c r="J44" s="122"/>
      <c r="K44" s="123"/>
    </row>
    <row r="45" spans="1:255" ht="12" customHeight="1" x14ac:dyDescent="0.2">
      <c r="A45" s="113" t="s">
        <v>74</v>
      </c>
      <c r="B45" s="119">
        <v>58.169129380000001</v>
      </c>
      <c r="C45" s="119">
        <v>53.82</v>
      </c>
      <c r="D45" s="125">
        <v>331.03431524000001</v>
      </c>
      <c r="E45" s="119">
        <v>76.42</v>
      </c>
      <c r="F45" s="122">
        <v>45.409219</v>
      </c>
      <c r="G45" s="119">
        <v>32.369999999999997</v>
      </c>
      <c r="H45" s="119">
        <v>117.41800000000001</v>
      </c>
      <c r="I45" s="119">
        <v>69.215602279999999</v>
      </c>
      <c r="J45" s="119">
        <v>286.34762696000001</v>
      </c>
      <c r="K45" s="123">
        <f t="shared" ref="K45:K52" si="5">SUM(B45:J45)</f>
        <v>1070.20389286</v>
      </c>
    </row>
    <row r="46" spans="1:255" ht="12" customHeight="1" x14ac:dyDescent="0.2">
      <c r="A46" s="113" t="s">
        <v>75</v>
      </c>
      <c r="B46" s="119">
        <v>21.959667370000002</v>
      </c>
      <c r="C46" s="119"/>
      <c r="D46" s="119"/>
      <c r="E46" s="119"/>
      <c r="F46" s="122">
        <v>67.760120000000001</v>
      </c>
      <c r="G46" s="119">
        <v>13.4</v>
      </c>
      <c r="H46" s="119"/>
      <c r="I46" s="119">
        <v>134.26256699999999</v>
      </c>
      <c r="J46" s="119">
        <v>168.80060581000001</v>
      </c>
      <c r="K46" s="123">
        <f t="shared" si="5"/>
        <v>406.18296018000001</v>
      </c>
    </row>
    <row r="47" spans="1:255" ht="12" customHeight="1" x14ac:dyDescent="0.2">
      <c r="A47" s="113" t="s">
        <v>105</v>
      </c>
      <c r="B47" s="119"/>
      <c r="C47" s="119">
        <v>294.86</v>
      </c>
      <c r="D47" s="119"/>
      <c r="E47" s="149">
        <v>436.64</v>
      </c>
      <c r="F47" s="122"/>
      <c r="G47" s="119">
        <v>1612.36</v>
      </c>
      <c r="H47" s="119"/>
      <c r="I47" s="122">
        <v>17.088169000000001</v>
      </c>
      <c r="J47" s="122"/>
      <c r="K47" s="123">
        <f t="shared" si="5"/>
        <v>2360.9481689999998</v>
      </c>
    </row>
    <row r="48" spans="1:255" ht="12" customHeight="1" x14ac:dyDescent="0.2">
      <c r="A48" s="113" t="s">
        <v>107</v>
      </c>
      <c r="B48" s="119">
        <v>15.480121689999999</v>
      </c>
      <c r="C48" s="119">
        <v>89.89</v>
      </c>
      <c r="D48" s="119">
        <v>1732.6236175500001</v>
      </c>
      <c r="E48" s="119">
        <v>88</v>
      </c>
      <c r="F48" s="122"/>
      <c r="G48" s="119">
        <v>58.14</v>
      </c>
      <c r="H48" s="119">
        <v>77.236999999999995</v>
      </c>
      <c r="I48" s="122"/>
      <c r="J48" s="122">
        <v>4.1666149199999998</v>
      </c>
      <c r="K48" s="123">
        <f t="shared" si="5"/>
        <v>2065.5373541600002</v>
      </c>
    </row>
    <row r="49" spans="1:11" ht="12" customHeight="1" x14ac:dyDescent="0.2">
      <c r="A49" s="113" t="s">
        <v>106</v>
      </c>
      <c r="B49" s="119"/>
      <c r="C49" s="119"/>
      <c r="D49" s="125">
        <v>1558.0941166199998</v>
      </c>
      <c r="E49" s="119"/>
      <c r="F49" s="122"/>
      <c r="G49" s="119"/>
      <c r="H49" s="119"/>
      <c r="I49" s="122"/>
      <c r="J49" s="122"/>
      <c r="K49" s="123">
        <f t="shared" si="5"/>
        <v>1558.0941166199998</v>
      </c>
    </row>
    <row r="50" spans="1:11" ht="12" customHeight="1" x14ac:dyDescent="0.2">
      <c r="A50" s="113" t="s">
        <v>108</v>
      </c>
      <c r="B50" s="119"/>
      <c r="C50" s="119">
        <v>198.82</v>
      </c>
      <c r="D50" s="119">
        <v>1174.8604629000001</v>
      </c>
      <c r="E50" s="119">
        <v>660.21</v>
      </c>
      <c r="F50" s="122"/>
      <c r="G50" s="119">
        <v>434.86</v>
      </c>
      <c r="H50" s="119">
        <v>86.231999999999999</v>
      </c>
      <c r="I50" s="119">
        <v>24.845724000000001</v>
      </c>
      <c r="J50" s="119">
        <v>97.574849439999994</v>
      </c>
      <c r="K50" s="123">
        <f t="shared" si="5"/>
        <v>2677.4030363399997</v>
      </c>
    </row>
    <row r="51" spans="1:11" ht="12" customHeight="1" x14ac:dyDescent="0.2">
      <c r="A51" s="113" t="s">
        <v>78</v>
      </c>
      <c r="B51" s="119"/>
      <c r="C51" s="119"/>
      <c r="D51" s="119"/>
      <c r="E51" s="119"/>
      <c r="F51" s="122"/>
      <c r="G51" s="119">
        <v>17.059999999999999</v>
      </c>
      <c r="H51" s="119">
        <v>2.722</v>
      </c>
      <c r="I51" s="122"/>
      <c r="J51" s="122">
        <v>15.72254641</v>
      </c>
      <c r="K51" s="123">
        <f t="shared" si="5"/>
        <v>35.504546410000003</v>
      </c>
    </row>
    <row r="52" spans="1:11" ht="12" customHeight="1" x14ac:dyDescent="0.2">
      <c r="A52" s="113" t="s">
        <v>79</v>
      </c>
      <c r="B52" s="119"/>
      <c r="C52" s="119"/>
      <c r="D52" s="119"/>
      <c r="E52" s="119"/>
      <c r="F52" s="122"/>
      <c r="G52" s="119">
        <v>4.38</v>
      </c>
      <c r="H52" s="119"/>
      <c r="I52" s="122"/>
      <c r="J52" s="122">
        <v>21.86955699</v>
      </c>
      <c r="K52" s="123">
        <f t="shared" si="5"/>
        <v>26.249556989999999</v>
      </c>
    </row>
    <row r="53" spans="1:11" ht="12" customHeight="1" x14ac:dyDescent="0.2">
      <c r="B53" s="119"/>
      <c r="C53" s="119"/>
      <c r="D53" s="119"/>
      <c r="E53" s="119"/>
      <c r="F53" s="122"/>
      <c r="G53" s="119"/>
      <c r="H53" s="119"/>
      <c r="I53" s="122"/>
      <c r="J53" s="122"/>
      <c r="K53" s="123"/>
    </row>
    <row r="54" spans="1:11" s="109" customFormat="1" ht="12" customHeight="1" x14ac:dyDescent="0.2">
      <c r="A54" s="126" t="s">
        <v>12</v>
      </c>
      <c r="B54" s="131">
        <f t="shared" ref="B54:J54" si="6">SUM(B45:B52)</f>
        <v>95.608918440000011</v>
      </c>
      <c r="C54" s="131">
        <f t="shared" si="6"/>
        <v>637.39</v>
      </c>
      <c r="D54" s="131">
        <f t="shared" si="6"/>
        <v>4796.6125123100001</v>
      </c>
      <c r="E54" s="131">
        <f t="shared" si="6"/>
        <v>1261.27</v>
      </c>
      <c r="F54" s="132">
        <f t="shared" si="6"/>
        <v>113.16933900000001</v>
      </c>
      <c r="G54" s="131">
        <f t="shared" si="6"/>
        <v>2172.5700000000002</v>
      </c>
      <c r="H54" s="131">
        <f t="shared" si="6"/>
        <v>283.60899999999998</v>
      </c>
      <c r="I54" s="132">
        <f t="shared" si="6"/>
        <v>245.41206227999996</v>
      </c>
      <c r="J54" s="132">
        <f t="shared" si="6"/>
        <v>594.48180052999999</v>
      </c>
      <c r="K54" s="123">
        <f>SUM(B54:J54)</f>
        <v>10200.12363256</v>
      </c>
    </row>
    <row r="55" spans="1:11" ht="12" customHeight="1" x14ac:dyDescent="0.2">
      <c r="B55" s="119"/>
      <c r="C55" s="119"/>
      <c r="D55" s="119"/>
      <c r="E55" s="119"/>
      <c r="F55" s="122"/>
      <c r="G55" s="119"/>
      <c r="H55" s="119"/>
      <c r="I55" s="122"/>
      <c r="J55" s="122"/>
      <c r="K55" s="123"/>
    </row>
    <row r="56" spans="1:11" ht="12" customHeight="1" x14ac:dyDescent="0.2">
      <c r="A56" s="109" t="s">
        <v>45</v>
      </c>
      <c r="B56" s="119"/>
      <c r="C56" s="119"/>
      <c r="D56" s="119"/>
      <c r="E56" s="119"/>
      <c r="F56" s="122"/>
      <c r="G56" s="119"/>
      <c r="H56" s="119"/>
      <c r="I56" s="122"/>
      <c r="J56" s="122"/>
      <c r="K56" s="123"/>
    </row>
    <row r="57" spans="1:11" ht="12" customHeight="1" x14ac:dyDescent="0.2">
      <c r="B57" s="119"/>
      <c r="C57" s="119"/>
      <c r="D57" s="119"/>
      <c r="E57" s="119"/>
      <c r="F57" s="122"/>
      <c r="G57" s="119"/>
      <c r="H57" s="119"/>
      <c r="I57" s="122"/>
      <c r="J57" s="122"/>
      <c r="K57" s="123"/>
    </row>
    <row r="58" spans="1:11" ht="12" customHeight="1" x14ac:dyDescent="0.2">
      <c r="A58" s="113" t="s">
        <v>46</v>
      </c>
      <c r="B58" s="119">
        <v>622.71810734000007</v>
      </c>
      <c r="C58" s="119">
        <v>1485.33</v>
      </c>
      <c r="D58" s="125">
        <v>371.21540107999999</v>
      </c>
      <c r="E58" s="119">
        <v>139.25</v>
      </c>
      <c r="F58" s="122">
        <v>2273.5722390000001</v>
      </c>
      <c r="G58" s="119">
        <v>2459.2399999999998</v>
      </c>
      <c r="H58" s="119">
        <v>3178.1860000000001</v>
      </c>
      <c r="I58" s="119">
        <v>1747.6291212900001</v>
      </c>
      <c r="J58" s="119">
        <v>2990.4634896900002</v>
      </c>
      <c r="K58" s="123">
        <f>SUM(B58:J58)</f>
        <v>15267.6043584</v>
      </c>
    </row>
    <row r="59" spans="1:11" ht="12" customHeight="1" x14ac:dyDescent="0.2">
      <c r="A59" s="113" t="s">
        <v>47</v>
      </c>
      <c r="B59" s="119">
        <v>98.385420890000006</v>
      </c>
      <c r="C59" s="119"/>
      <c r="D59" s="119"/>
      <c r="E59" s="119"/>
      <c r="F59" s="122">
        <v>96.818177000000006</v>
      </c>
      <c r="G59" s="119">
        <v>369.05</v>
      </c>
      <c r="H59" s="119">
        <v>26.783000000000001</v>
      </c>
      <c r="I59" s="119">
        <v>74.678717550000002</v>
      </c>
      <c r="J59" s="119">
        <v>400.23739386</v>
      </c>
      <c r="K59" s="123">
        <f>SUM(B59:J59)</f>
        <v>1065.9527093000002</v>
      </c>
    </row>
    <row r="60" spans="1:11" ht="12" customHeight="1" x14ac:dyDescent="0.2">
      <c r="B60" s="119"/>
      <c r="C60" s="119"/>
      <c r="D60" s="119"/>
      <c r="E60" s="119"/>
      <c r="F60" s="122"/>
      <c r="G60" s="119"/>
      <c r="H60" s="119"/>
      <c r="I60" s="122"/>
      <c r="J60" s="122"/>
      <c r="K60" s="123"/>
    </row>
    <row r="61" spans="1:11" s="109" customFormat="1" ht="12" customHeight="1" x14ac:dyDescent="0.2">
      <c r="A61" s="109" t="s">
        <v>12</v>
      </c>
      <c r="B61" s="131">
        <f t="shared" ref="B61:J61" si="7">SUM(B58:B59)</f>
        <v>721.10352823000005</v>
      </c>
      <c r="C61" s="131">
        <f t="shared" si="7"/>
        <v>1485.33</v>
      </c>
      <c r="D61" s="131">
        <f t="shared" si="7"/>
        <v>371.21540107999999</v>
      </c>
      <c r="E61" s="131">
        <f t="shared" si="7"/>
        <v>139.25</v>
      </c>
      <c r="F61" s="132">
        <f t="shared" si="7"/>
        <v>2370.3904160000002</v>
      </c>
      <c r="G61" s="131">
        <f t="shared" si="7"/>
        <v>2828.29</v>
      </c>
      <c r="H61" s="131">
        <f t="shared" si="7"/>
        <v>3204.9690000000001</v>
      </c>
      <c r="I61" s="132">
        <f t="shared" si="7"/>
        <v>1822.3078388400002</v>
      </c>
      <c r="J61" s="132">
        <f t="shared" si="7"/>
        <v>3390.7008835500001</v>
      </c>
      <c r="K61" s="123">
        <f>SUM(B61:J61)</f>
        <v>16333.557067700001</v>
      </c>
    </row>
    <row r="62" spans="1:11" ht="12" customHeight="1" x14ac:dyDescent="0.2">
      <c r="B62" s="119"/>
      <c r="C62" s="119"/>
      <c r="D62" s="119"/>
      <c r="E62" s="119"/>
      <c r="F62" s="122"/>
      <c r="G62" s="119"/>
      <c r="H62" s="119"/>
      <c r="I62" s="122"/>
      <c r="J62" s="122"/>
      <c r="K62" s="123"/>
    </row>
    <row r="63" spans="1:11" ht="12" customHeight="1" x14ac:dyDescent="0.2">
      <c r="A63" s="109" t="s">
        <v>53</v>
      </c>
      <c r="B63" s="119">
        <v>13.26218463</v>
      </c>
      <c r="C63" s="119">
        <v>43.09</v>
      </c>
      <c r="D63" s="119">
        <v>600.21130329999994</v>
      </c>
      <c r="E63" s="119">
        <v>65.099999999999994</v>
      </c>
      <c r="F63" s="122">
        <v>139.63080400000001</v>
      </c>
      <c r="G63" s="119">
        <v>383.36</v>
      </c>
      <c r="H63" s="119">
        <v>165.36600000000001</v>
      </c>
      <c r="I63" s="119">
        <v>120.283196</v>
      </c>
      <c r="J63" s="119">
        <v>497.30312121999998</v>
      </c>
      <c r="K63" s="123">
        <f>SUM(B63:J63)</f>
        <v>2027.6066091500002</v>
      </c>
    </row>
    <row r="64" spans="1:11" s="109" customFormat="1" ht="12" customHeight="1" x14ac:dyDescent="0.2">
      <c r="A64" s="126" t="s">
        <v>123</v>
      </c>
      <c r="B64" s="119"/>
      <c r="C64" s="119"/>
      <c r="D64" s="119"/>
      <c r="E64" s="140"/>
      <c r="F64" s="122"/>
      <c r="G64" s="119"/>
      <c r="H64" s="119"/>
      <c r="I64" s="122"/>
      <c r="J64" s="122"/>
      <c r="K64" s="123"/>
    </row>
    <row r="65" spans="1:11" s="109" customFormat="1" ht="12" customHeight="1" x14ac:dyDescent="0.2">
      <c r="A65" s="126" t="s">
        <v>210</v>
      </c>
      <c r="B65" s="119">
        <v>2.2095823299999999</v>
      </c>
      <c r="C65" s="119">
        <v>6.2</v>
      </c>
      <c r="D65" s="119"/>
      <c r="E65" s="119"/>
      <c r="F65" s="122"/>
      <c r="G65" s="119"/>
      <c r="H65" s="119"/>
      <c r="I65" s="122"/>
      <c r="J65" s="122"/>
      <c r="K65" s="123">
        <f>SUM(B65:J65)</f>
        <v>8.4095823299999992</v>
      </c>
    </row>
    <row r="66" spans="1:11" s="109" customFormat="1" ht="12" customHeight="1" x14ac:dyDescent="0.2">
      <c r="A66" s="126" t="s">
        <v>125</v>
      </c>
      <c r="B66" s="119"/>
      <c r="C66" s="119"/>
      <c r="D66" s="119">
        <v>569.12021550999998</v>
      </c>
      <c r="E66" s="119">
        <v>58</v>
      </c>
      <c r="F66" s="122"/>
      <c r="G66" s="119">
        <v>250.38</v>
      </c>
      <c r="H66" s="119"/>
      <c r="I66" s="122"/>
      <c r="J66" s="122">
        <v>20.209</v>
      </c>
      <c r="K66" s="123">
        <f>SUM(B66:J66)</f>
        <v>897.70921550999992</v>
      </c>
    </row>
    <row r="67" spans="1:11" ht="12" customHeight="1" x14ac:dyDescent="0.2">
      <c r="A67" s="126"/>
      <c r="C67" s="146"/>
    </row>
    <row r="68" spans="1:11" ht="12" customHeight="1" x14ac:dyDescent="0.2">
      <c r="A68" s="142"/>
      <c r="C68" s="147"/>
    </row>
    <row r="69" spans="1:11" ht="12" customHeight="1" x14ac:dyDescent="0.2">
      <c r="A69" s="142"/>
      <c r="C69" s="124"/>
    </row>
    <row r="70" spans="1:11" ht="12" customHeight="1" x14ac:dyDescent="0.2">
      <c r="A70" s="143" t="s">
        <v>214</v>
      </c>
      <c r="C70" s="124"/>
    </row>
    <row r="71" spans="1:11" ht="12" customHeight="1" x14ac:dyDescent="0.2">
      <c r="A71" s="143" t="s">
        <v>212</v>
      </c>
    </row>
    <row r="72" spans="1:11" ht="12" customHeight="1" x14ac:dyDescent="0.2">
      <c r="A72" s="143" t="s">
        <v>205</v>
      </c>
    </row>
    <row r="73" spans="1:11" ht="14.25" customHeight="1" x14ac:dyDescent="0.2">
      <c r="A73" s="143" t="s">
        <v>206</v>
      </c>
      <c r="B73" s="119"/>
    </row>
    <row r="74" spans="1:11" ht="14.25" x14ac:dyDescent="0.2">
      <c r="A74" s="126" t="s">
        <v>207</v>
      </c>
    </row>
    <row r="75" spans="1:11" ht="14.25" x14ac:dyDescent="0.2">
      <c r="A75" s="143" t="s">
        <v>208</v>
      </c>
    </row>
    <row r="77" spans="1:11" x14ac:dyDescent="0.2">
      <c r="A77" s="148"/>
    </row>
  </sheetData>
  <printOptions horizontalCentered="1"/>
  <pageMargins left="0.28999999999999998" right="0.34" top="0.71" bottom="0.19685039370078741" header="0.45" footer="0.19"/>
  <pageSetup paperSize="9" scale="90" orientation="landscape" horizontalDpi="4294967292" verticalDpi="30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U78"/>
  <sheetViews>
    <sheetView zoomScaleNormal="100" workbookViewId="0">
      <pane xSplit="1" ySplit="4" topLeftCell="B5" activePane="bottomRight" state="frozenSplit"/>
      <selection activeCell="J50" sqref="J50"/>
      <selection pane="topRight" activeCell="J50" sqref="J50"/>
      <selection pane="bottomLeft" activeCell="J50" sqref="J50"/>
      <selection pane="bottomRight" activeCell="B5" sqref="B5"/>
    </sheetView>
  </sheetViews>
  <sheetFormatPr baseColWidth="10" defaultRowHeight="12.75" x14ac:dyDescent="0.2"/>
  <cols>
    <col min="1" max="1" width="41.28515625" style="113" customWidth="1"/>
    <col min="2" max="5" width="11.5703125" style="110" customWidth="1"/>
    <col min="6" max="6" width="11.5703125" style="111" customWidth="1"/>
    <col min="7" max="8" width="11.5703125" style="110" customWidth="1"/>
    <col min="9" max="10" width="11.5703125" style="111" customWidth="1"/>
    <col min="11" max="11" width="11.5703125" style="112" customWidth="1"/>
    <col min="12" max="16384" width="11.42578125" style="113"/>
  </cols>
  <sheetData>
    <row r="1" spans="1:11" x14ac:dyDescent="0.2">
      <c r="A1" s="109" t="s">
        <v>215</v>
      </c>
    </row>
    <row r="2" spans="1:11" x14ac:dyDescent="0.2">
      <c r="A2" s="113" t="s">
        <v>218</v>
      </c>
    </row>
    <row r="3" spans="1:11" x14ac:dyDescent="0.2">
      <c r="A3" s="114"/>
    </row>
    <row r="4" spans="1:11" s="117" customFormat="1" x14ac:dyDescent="0.2">
      <c r="A4" s="115"/>
      <c r="B4" s="110" t="s">
        <v>3</v>
      </c>
      <c r="C4" s="110" t="s">
        <v>4</v>
      </c>
      <c r="D4" s="110" t="s">
        <v>5</v>
      </c>
      <c r="E4" s="110" t="s">
        <v>6</v>
      </c>
      <c r="F4" s="116" t="s">
        <v>7</v>
      </c>
      <c r="G4" s="110" t="s">
        <v>8</v>
      </c>
      <c r="H4" s="110" t="s">
        <v>9</v>
      </c>
      <c r="I4" s="116" t="s">
        <v>198</v>
      </c>
      <c r="J4" s="116" t="s">
        <v>11</v>
      </c>
      <c r="K4" s="112" t="s">
        <v>12</v>
      </c>
    </row>
    <row r="5" spans="1:11" x14ac:dyDescent="0.2">
      <c r="C5" s="118"/>
      <c r="D5" s="119"/>
      <c r="E5" s="118"/>
      <c r="F5" s="120"/>
      <c r="G5" s="118"/>
      <c r="H5" s="118"/>
      <c r="I5" s="118"/>
      <c r="J5" s="118"/>
    </row>
    <row r="6" spans="1:11" ht="15.75" x14ac:dyDescent="0.25">
      <c r="A6" s="121" t="s">
        <v>42</v>
      </c>
      <c r="D6" s="119"/>
    </row>
    <row r="7" spans="1:11" x14ac:dyDescent="0.2">
      <c r="B7" s="119"/>
      <c r="C7" s="119"/>
      <c r="D7" s="119"/>
      <c r="E7" s="119"/>
      <c r="G7" s="119"/>
      <c r="H7" s="119"/>
      <c r="I7" s="119"/>
      <c r="J7" s="119"/>
      <c r="K7" s="119"/>
    </row>
    <row r="8" spans="1:11" x14ac:dyDescent="0.2">
      <c r="A8" s="109" t="s">
        <v>13</v>
      </c>
      <c r="B8" s="119"/>
      <c r="C8" s="119"/>
      <c r="D8" s="119"/>
      <c r="E8" s="119"/>
      <c r="G8" s="119"/>
      <c r="H8" s="119"/>
      <c r="I8" s="119"/>
      <c r="J8" s="119"/>
      <c r="K8" s="119"/>
    </row>
    <row r="9" spans="1:11" x14ac:dyDescent="0.2">
      <c r="B9" s="119"/>
      <c r="C9" s="119"/>
      <c r="D9" s="119"/>
      <c r="E9" s="119"/>
      <c r="G9" s="119"/>
      <c r="H9" s="119"/>
      <c r="I9" s="119"/>
      <c r="J9" s="119"/>
      <c r="K9" s="119"/>
    </row>
    <row r="10" spans="1:11" x14ac:dyDescent="0.2">
      <c r="A10" s="113" t="s">
        <v>72</v>
      </c>
      <c r="B10" s="119">
        <v>75.104539599999995</v>
      </c>
      <c r="C10" s="119">
        <v>64.900000000000006</v>
      </c>
      <c r="D10" s="119">
        <v>147.72776613999997</v>
      </c>
      <c r="E10" s="119">
        <v>48.6</v>
      </c>
      <c r="F10" s="122">
        <v>132.67111</v>
      </c>
      <c r="G10" s="119">
        <v>4.1100000000000003</v>
      </c>
      <c r="H10" s="119">
        <v>160.09899999999999</v>
      </c>
      <c r="I10" s="119">
        <v>102.00611544</v>
      </c>
      <c r="J10" s="119">
        <v>139.89099999999999</v>
      </c>
      <c r="K10" s="123">
        <f t="shared" ref="K10:K16" si="0">SUM(B10:J10)</f>
        <v>875.10953117999998</v>
      </c>
    </row>
    <row r="11" spans="1:11" x14ac:dyDescent="0.2">
      <c r="A11" s="114" t="s">
        <v>67</v>
      </c>
      <c r="B11" s="119">
        <v>0.41669020000000001</v>
      </c>
      <c r="C11" s="119">
        <v>0.03</v>
      </c>
      <c r="D11" s="119"/>
      <c r="E11" s="119"/>
      <c r="F11" s="122"/>
      <c r="G11" s="119"/>
      <c r="H11" s="119"/>
      <c r="I11" s="119"/>
      <c r="J11" s="119">
        <v>20.8</v>
      </c>
      <c r="K11" s="123">
        <f t="shared" si="0"/>
        <v>21.2466902</v>
      </c>
    </row>
    <row r="12" spans="1:11" x14ac:dyDescent="0.2">
      <c r="A12" s="113" t="s">
        <v>104</v>
      </c>
      <c r="B12" s="119"/>
      <c r="C12" s="119">
        <v>18.04</v>
      </c>
      <c r="D12" s="119">
        <v>40.511297490000004</v>
      </c>
      <c r="E12" s="119">
        <v>19.37</v>
      </c>
      <c r="F12" s="122">
        <v>25.713615000000001</v>
      </c>
      <c r="G12" s="119">
        <v>273.72000000000003</v>
      </c>
      <c r="H12" s="119"/>
      <c r="I12" s="119">
        <v>2.1003265799999999</v>
      </c>
      <c r="J12" s="119"/>
      <c r="K12" s="123">
        <f t="shared" si="0"/>
        <v>379.45523907000006</v>
      </c>
    </row>
    <row r="13" spans="1:11" x14ac:dyDescent="0.2">
      <c r="A13" s="113" t="s">
        <v>109</v>
      </c>
      <c r="B13" s="119">
        <v>4.8273065400000004</v>
      </c>
      <c r="C13" s="119">
        <v>10.98</v>
      </c>
      <c r="D13" s="119">
        <v>113.05347569</v>
      </c>
      <c r="E13" s="119">
        <v>14.06</v>
      </c>
      <c r="F13" s="122">
        <v>0.12787200000000001</v>
      </c>
      <c r="G13" s="119">
        <v>2.91</v>
      </c>
      <c r="H13" s="119">
        <v>24.393999999999998</v>
      </c>
      <c r="I13" s="119">
        <v>0</v>
      </c>
      <c r="J13" s="119">
        <v>10.237</v>
      </c>
      <c r="K13" s="123">
        <f t="shared" si="0"/>
        <v>180.58965423000001</v>
      </c>
    </row>
    <row r="14" spans="1:11" x14ac:dyDescent="0.2">
      <c r="A14" s="124" t="s">
        <v>69</v>
      </c>
      <c r="B14" s="119">
        <v>1.8394472500000001</v>
      </c>
      <c r="C14" s="119"/>
      <c r="D14" s="110">
        <v>0.34870000000000001</v>
      </c>
      <c r="E14" s="119">
        <v>9.64</v>
      </c>
      <c r="F14" s="122"/>
      <c r="G14" s="119">
        <v>8.3000000000000007</v>
      </c>
      <c r="H14" s="119">
        <v>16.681000000000001</v>
      </c>
      <c r="I14" s="119">
        <v>5.92614062</v>
      </c>
      <c r="J14" s="119">
        <v>8.56</v>
      </c>
      <c r="K14" s="123">
        <f t="shared" si="0"/>
        <v>51.295287870000003</v>
      </c>
    </row>
    <row r="15" spans="1:11" x14ac:dyDescent="0.2">
      <c r="A15" s="113" t="s">
        <v>70</v>
      </c>
      <c r="B15" s="119"/>
      <c r="C15" s="119"/>
      <c r="D15" s="119"/>
      <c r="E15" s="119"/>
      <c r="F15" s="122"/>
      <c r="G15" s="119"/>
      <c r="H15" s="119"/>
      <c r="I15" s="119"/>
      <c r="J15" s="119"/>
      <c r="K15" s="123">
        <f t="shared" si="0"/>
        <v>0</v>
      </c>
    </row>
    <row r="16" spans="1:11" x14ac:dyDescent="0.2">
      <c r="A16" s="113" t="s">
        <v>71</v>
      </c>
      <c r="B16" s="119">
        <v>0.58849099999999999</v>
      </c>
      <c r="C16" s="119"/>
      <c r="D16" s="119">
        <v>48.916095709499977</v>
      </c>
      <c r="E16" s="119">
        <v>38</v>
      </c>
      <c r="F16" s="125">
        <v>9.7180990000000005</v>
      </c>
      <c r="G16" s="119">
        <v>4.62</v>
      </c>
      <c r="H16" s="119">
        <v>10.738</v>
      </c>
      <c r="I16" s="119">
        <v>26.511497219999999</v>
      </c>
      <c r="J16" s="119">
        <v>32.991999999999997</v>
      </c>
      <c r="K16" s="123">
        <f t="shared" si="0"/>
        <v>172.08418292949997</v>
      </c>
    </row>
    <row r="17" spans="1:11" x14ac:dyDescent="0.2">
      <c r="B17" s="119"/>
      <c r="C17" s="119"/>
      <c r="D17" s="119"/>
      <c r="E17" s="119"/>
      <c r="F17" s="122"/>
      <c r="G17" s="119"/>
      <c r="H17" s="119"/>
      <c r="I17" s="122"/>
      <c r="J17" s="122"/>
      <c r="K17" s="123"/>
    </row>
    <row r="18" spans="1:11" s="126" customFormat="1" x14ac:dyDescent="0.2">
      <c r="A18" s="126" t="s">
        <v>12</v>
      </c>
      <c r="B18" s="127">
        <f>SUM(B10:B16)</f>
        <v>82.776474590000007</v>
      </c>
      <c r="C18" s="127">
        <f t="shared" ref="C18:J18" si="1">SUM(C10:C16)</f>
        <v>93.95</v>
      </c>
      <c r="D18" s="127">
        <f t="shared" si="1"/>
        <v>350.55733502949994</v>
      </c>
      <c r="E18" s="127">
        <f t="shared" si="1"/>
        <v>129.67000000000002</v>
      </c>
      <c r="F18" s="128">
        <f t="shared" si="1"/>
        <v>168.23069599999999</v>
      </c>
      <c r="G18" s="127">
        <f t="shared" si="1"/>
        <v>293.66000000000008</v>
      </c>
      <c r="H18" s="127">
        <f t="shared" si="1"/>
        <v>211.91200000000001</v>
      </c>
      <c r="I18" s="127">
        <f t="shared" si="1"/>
        <v>136.54407986000001</v>
      </c>
      <c r="J18" s="128">
        <f t="shared" si="1"/>
        <v>212.48</v>
      </c>
      <c r="K18" s="123">
        <f>SUM(B18:J18)</f>
        <v>1679.7805854795001</v>
      </c>
    </row>
    <row r="19" spans="1:11" x14ac:dyDescent="0.2">
      <c r="B19" s="119"/>
      <c r="C19" s="119"/>
      <c r="D19" s="119"/>
      <c r="E19" s="119"/>
      <c r="F19" s="122"/>
      <c r="G19" s="119"/>
      <c r="H19" s="119"/>
      <c r="I19" s="122"/>
      <c r="J19" s="122"/>
      <c r="K19" s="123"/>
    </row>
    <row r="20" spans="1:11" x14ac:dyDescent="0.2">
      <c r="B20" s="119"/>
      <c r="C20" s="119"/>
      <c r="D20" s="119"/>
      <c r="E20" s="119"/>
      <c r="F20" s="122"/>
      <c r="G20" s="119"/>
      <c r="H20" s="119"/>
      <c r="I20" s="122"/>
      <c r="J20" s="122"/>
      <c r="K20" s="123"/>
    </row>
    <row r="21" spans="1:11" x14ac:dyDescent="0.2">
      <c r="A21" s="109" t="s">
        <v>14</v>
      </c>
      <c r="B21" s="119"/>
      <c r="C21" s="119"/>
      <c r="D21" s="119"/>
      <c r="E21" s="119"/>
      <c r="F21" s="122"/>
      <c r="G21" s="119"/>
      <c r="H21" s="119"/>
      <c r="I21" s="122"/>
      <c r="J21" s="122"/>
      <c r="K21" s="123"/>
    </row>
    <row r="22" spans="1:11" x14ac:dyDescent="0.2">
      <c r="B22" s="119"/>
      <c r="C22" s="119"/>
      <c r="D22" s="119"/>
      <c r="E22" s="119"/>
      <c r="F22" s="122"/>
      <c r="G22" s="119"/>
      <c r="H22" s="119"/>
      <c r="I22" s="122"/>
      <c r="J22" s="122"/>
      <c r="K22" s="123"/>
    </row>
    <row r="23" spans="1:11" x14ac:dyDescent="0.2">
      <c r="A23" s="113" t="s">
        <v>72</v>
      </c>
      <c r="B23" s="119">
        <v>10.68763347</v>
      </c>
      <c r="C23" s="119"/>
      <c r="D23" s="119">
        <v>13.13730024</v>
      </c>
      <c r="E23" s="119"/>
      <c r="F23" s="122">
        <v>43.737583999999998</v>
      </c>
      <c r="G23" s="119">
        <v>14.96</v>
      </c>
      <c r="H23" s="119"/>
      <c r="I23" s="119">
        <v>57.63533795</v>
      </c>
      <c r="J23" s="119">
        <v>69.698999999999998</v>
      </c>
      <c r="K23" s="123">
        <f t="shared" ref="K23:K28" si="2">SUM(B23:J23)</f>
        <v>209.85685566000001</v>
      </c>
    </row>
    <row r="24" spans="1:11" x14ac:dyDescent="0.2">
      <c r="A24" s="113" t="s">
        <v>104</v>
      </c>
      <c r="B24" s="119"/>
      <c r="C24" s="119"/>
      <c r="D24" s="119">
        <v>3.6483355499999996</v>
      </c>
      <c r="E24" s="119"/>
      <c r="F24" s="122"/>
      <c r="G24" s="119">
        <v>14.58</v>
      </c>
      <c r="H24" s="119"/>
      <c r="I24" s="122"/>
      <c r="J24" s="122"/>
      <c r="K24" s="123">
        <f t="shared" si="2"/>
        <v>18.228335550000001</v>
      </c>
    </row>
    <row r="25" spans="1:11" x14ac:dyDescent="0.2">
      <c r="A25" s="113" t="s">
        <v>109</v>
      </c>
      <c r="B25" s="119">
        <v>2.256E-2</v>
      </c>
      <c r="C25" s="119"/>
      <c r="D25" s="119">
        <v>102.62142134999999</v>
      </c>
      <c r="E25" s="119">
        <v>61.06</v>
      </c>
      <c r="F25" s="122">
        <v>1.3572340000000001</v>
      </c>
      <c r="G25" s="119">
        <v>56.66</v>
      </c>
      <c r="H25" s="119">
        <v>15.173</v>
      </c>
      <c r="I25" s="119">
        <v>11.186205259999999</v>
      </c>
      <c r="J25" s="119">
        <v>97.528999999999996</v>
      </c>
      <c r="K25" s="123">
        <f t="shared" si="2"/>
        <v>345.60942061000003</v>
      </c>
    </row>
    <row r="26" spans="1:11" x14ac:dyDescent="0.2">
      <c r="A26" s="124" t="s">
        <v>69</v>
      </c>
      <c r="B26" s="119">
        <v>2.5079247699999998</v>
      </c>
      <c r="C26" s="119">
        <v>30.62</v>
      </c>
      <c r="D26" s="119">
        <v>11.683784490000001</v>
      </c>
      <c r="E26" s="119">
        <v>2.1</v>
      </c>
      <c r="F26" s="122"/>
      <c r="G26" s="119">
        <v>4.47</v>
      </c>
      <c r="H26" s="119">
        <v>17.742000000000001</v>
      </c>
      <c r="I26" s="119">
        <v>15.39282236</v>
      </c>
      <c r="J26" s="119">
        <v>49.36</v>
      </c>
      <c r="K26" s="123">
        <f t="shared" si="2"/>
        <v>133.87653161999998</v>
      </c>
    </row>
    <row r="27" spans="1:11" x14ac:dyDescent="0.2">
      <c r="A27" s="113" t="s">
        <v>70</v>
      </c>
      <c r="B27" s="119"/>
      <c r="C27" s="119"/>
      <c r="D27" s="119"/>
      <c r="E27" s="119"/>
      <c r="F27" s="122"/>
      <c r="G27" s="119"/>
      <c r="H27" s="119"/>
      <c r="I27" s="122"/>
      <c r="J27" s="122"/>
      <c r="K27" s="123">
        <f t="shared" si="2"/>
        <v>0</v>
      </c>
    </row>
    <row r="28" spans="1:11" x14ac:dyDescent="0.2">
      <c r="A28" s="113" t="s">
        <v>71</v>
      </c>
      <c r="B28" s="119"/>
      <c r="C28" s="119"/>
      <c r="D28" s="119">
        <v>8.7668967605000194</v>
      </c>
      <c r="E28" s="119"/>
      <c r="F28" s="122"/>
      <c r="G28" s="119">
        <v>3.72</v>
      </c>
      <c r="H28" s="119"/>
      <c r="I28" s="122"/>
      <c r="J28" s="122">
        <v>4.97</v>
      </c>
      <c r="K28" s="123">
        <f t="shared" si="2"/>
        <v>17.456896760500019</v>
      </c>
    </row>
    <row r="29" spans="1:11" x14ac:dyDescent="0.2">
      <c r="B29" s="119"/>
      <c r="C29" s="119"/>
      <c r="D29" s="119"/>
      <c r="E29" s="119"/>
      <c r="F29" s="122"/>
      <c r="G29" s="119"/>
      <c r="H29" s="119"/>
      <c r="I29" s="122"/>
      <c r="J29" s="122"/>
      <c r="K29" s="123"/>
    </row>
    <row r="30" spans="1:11" s="126" customFormat="1" x14ac:dyDescent="0.2">
      <c r="A30" s="126" t="s">
        <v>12</v>
      </c>
      <c r="B30" s="119">
        <f t="shared" ref="B30:J30" si="3">SUM(B23:B28)</f>
        <v>13.218118239999999</v>
      </c>
      <c r="C30" s="127">
        <f t="shared" si="3"/>
        <v>30.62</v>
      </c>
      <c r="D30" s="127">
        <f t="shared" si="3"/>
        <v>139.85773839050003</v>
      </c>
      <c r="E30" s="127">
        <f t="shared" si="3"/>
        <v>63.160000000000004</v>
      </c>
      <c r="F30" s="128">
        <f t="shared" si="3"/>
        <v>45.094817999999997</v>
      </c>
      <c r="G30" s="127">
        <f t="shared" si="3"/>
        <v>94.389999999999986</v>
      </c>
      <c r="H30" s="127">
        <f t="shared" si="3"/>
        <v>32.914999999999999</v>
      </c>
      <c r="I30" s="128">
        <f t="shared" si="3"/>
        <v>84.214365569999998</v>
      </c>
      <c r="J30" s="128">
        <f t="shared" si="3"/>
        <v>221.55800000000002</v>
      </c>
      <c r="K30" s="123">
        <f>SUM(B30:J30)</f>
        <v>725.02804020050007</v>
      </c>
    </row>
    <row r="31" spans="1:11" s="126" customFormat="1" x14ac:dyDescent="0.2">
      <c r="B31" s="119"/>
      <c r="C31" s="127"/>
      <c r="D31" s="127"/>
      <c r="E31" s="127"/>
      <c r="F31" s="128"/>
      <c r="G31" s="127"/>
      <c r="H31" s="127"/>
      <c r="I31" s="128"/>
      <c r="J31" s="128"/>
      <c r="K31" s="130"/>
    </row>
    <row r="32" spans="1:11" s="109" customFormat="1" x14ac:dyDescent="0.2">
      <c r="A32" s="109" t="s">
        <v>43</v>
      </c>
      <c r="B32" s="131">
        <f t="shared" ref="B32:J32" si="4">B18+B30</f>
        <v>95.994592830000002</v>
      </c>
      <c r="C32" s="131">
        <f t="shared" si="4"/>
        <v>124.57000000000001</v>
      </c>
      <c r="D32" s="131">
        <f t="shared" si="4"/>
        <v>490.41507342</v>
      </c>
      <c r="E32" s="131">
        <f t="shared" si="4"/>
        <v>192.83</v>
      </c>
      <c r="F32" s="132">
        <f t="shared" si="4"/>
        <v>213.325514</v>
      </c>
      <c r="G32" s="131">
        <f t="shared" si="4"/>
        <v>388.05000000000007</v>
      </c>
      <c r="H32" s="131">
        <f t="shared" si="4"/>
        <v>244.827</v>
      </c>
      <c r="I32" s="132">
        <f t="shared" si="4"/>
        <v>220.75844542999999</v>
      </c>
      <c r="J32" s="132">
        <f t="shared" si="4"/>
        <v>434.03800000000001</v>
      </c>
      <c r="K32" s="123">
        <f>SUM(B32:J32)</f>
        <v>2404.8086256799997</v>
      </c>
    </row>
    <row r="33" spans="1:255" s="109" customFormat="1" x14ac:dyDescent="0.2">
      <c r="B33" s="131"/>
      <c r="C33" s="131"/>
      <c r="D33" s="131"/>
      <c r="E33" s="131"/>
      <c r="F33" s="132"/>
      <c r="G33" s="131"/>
      <c r="H33" s="131"/>
      <c r="I33" s="132"/>
      <c r="J33" s="132"/>
      <c r="K33" s="123"/>
    </row>
    <row r="34" spans="1:255" s="126" customFormat="1" ht="14.25" x14ac:dyDescent="0.2">
      <c r="A34" s="109" t="s">
        <v>199</v>
      </c>
      <c r="B34" s="119"/>
      <c r="C34" s="127">
        <v>24.02</v>
      </c>
      <c r="D34" s="127"/>
      <c r="E34" s="127">
        <v>35.81</v>
      </c>
      <c r="F34" s="128">
        <v>1.5086569999999999</v>
      </c>
      <c r="G34" s="127">
        <v>42.28</v>
      </c>
      <c r="H34" s="127">
        <v>20.009</v>
      </c>
      <c r="I34" s="128"/>
      <c r="J34" s="128">
        <v>33.302</v>
      </c>
      <c r="K34" s="123">
        <f>SUM(B34:J34)</f>
        <v>156.92965699999999</v>
      </c>
    </row>
    <row r="35" spans="1:255" x14ac:dyDescent="0.2">
      <c r="B35" s="119"/>
      <c r="C35" s="119"/>
      <c r="D35" s="119"/>
      <c r="E35" s="119"/>
      <c r="F35" s="122"/>
      <c r="G35" s="119"/>
      <c r="H35" s="119"/>
      <c r="I35" s="122"/>
      <c r="J35" s="122"/>
      <c r="K35" s="133"/>
      <c r="L35" s="133"/>
      <c r="M35" s="133"/>
      <c r="N35" s="133"/>
      <c r="O35" s="133"/>
      <c r="P35" s="133"/>
      <c r="Q35" s="133"/>
      <c r="R35" s="133"/>
      <c r="S35" s="133"/>
      <c r="T35" s="133"/>
      <c r="U35" s="133"/>
      <c r="V35" s="133"/>
      <c r="W35" s="133"/>
      <c r="X35" s="133"/>
      <c r="Y35" s="133"/>
      <c r="Z35" s="133"/>
      <c r="AA35" s="133"/>
      <c r="AB35" s="133"/>
      <c r="AC35" s="133"/>
      <c r="AD35" s="133"/>
      <c r="AE35" s="133"/>
      <c r="AF35" s="133"/>
      <c r="AG35" s="133"/>
      <c r="AH35" s="133"/>
      <c r="AI35" s="133"/>
      <c r="AJ35" s="133"/>
      <c r="AK35" s="133"/>
      <c r="AL35" s="133"/>
      <c r="AM35" s="133"/>
      <c r="AN35" s="133"/>
      <c r="AO35" s="133"/>
      <c r="AP35" s="133"/>
      <c r="AQ35" s="133"/>
      <c r="AR35" s="133"/>
      <c r="AS35" s="133"/>
      <c r="AT35" s="133"/>
      <c r="AU35" s="133"/>
      <c r="AV35" s="133"/>
      <c r="AW35" s="133"/>
      <c r="AX35" s="133"/>
      <c r="AY35" s="133"/>
      <c r="AZ35" s="133"/>
      <c r="BA35" s="133"/>
      <c r="BB35" s="133"/>
      <c r="BC35" s="133"/>
      <c r="BD35" s="133"/>
      <c r="BE35" s="133"/>
      <c r="BF35" s="133"/>
      <c r="BG35" s="133"/>
      <c r="BH35" s="133"/>
      <c r="BI35" s="133"/>
      <c r="BJ35" s="133"/>
      <c r="BK35" s="133"/>
      <c r="BL35" s="133"/>
      <c r="BM35" s="133"/>
      <c r="BN35" s="133"/>
      <c r="BO35" s="133"/>
      <c r="BP35" s="133"/>
      <c r="BQ35" s="133"/>
      <c r="BR35" s="133"/>
      <c r="BS35" s="133"/>
      <c r="BT35" s="133"/>
      <c r="BU35" s="133"/>
      <c r="BV35" s="133"/>
      <c r="BW35" s="133"/>
      <c r="BX35" s="133"/>
      <c r="BY35" s="133"/>
      <c r="BZ35" s="133"/>
      <c r="CA35" s="133"/>
      <c r="CB35" s="133"/>
      <c r="CC35" s="133"/>
      <c r="CD35" s="133"/>
      <c r="CE35" s="133"/>
      <c r="CF35" s="133"/>
      <c r="CG35" s="133"/>
      <c r="CH35" s="133"/>
      <c r="CI35" s="133"/>
      <c r="CJ35" s="133"/>
      <c r="CK35" s="133"/>
      <c r="CL35" s="133"/>
      <c r="CM35" s="133"/>
      <c r="CN35" s="133"/>
      <c r="CO35" s="133"/>
      <c r="CP35" s="133"/>
      <c r="CQ35" s="133"/>
      <c r="CR35" s="133"/>
      <c r="CS35" s="133"/>
      <c r="CT35" s="133"/>
      <c r="CU35" s="133"/>
      <c r="CV35" s="133"/>
      <c r="CW35" s="133"/>
      <c r="CX35" s="133"/>
      <c r="CY35" s="133"/>
      <c r="CZ35" s="133"/>
      <c r="DA35" s="133"/>
      <c r="DB35" s="133"/>
      <c r="DC35" s="133"/>
      <c r="DD35" s="133"/>
      <c r="DE35" s="133"/>
      <c r="DF35" s="133"/>
      <c r="DG35" s="133"/>
      <c r="DH35" s="133"/>
      <c r="DI35" s="133"/>
      <c r="DJ35" s="133"/>
      <c r="DK35" s="133"/>
      <c r="DL35" s="133"/>
      <c r="DM35" s="133"/>
      <c r="DN35" s="133"/>
      <c r="DO35" s="133"/>
      <c r="DP35" s="133"/>
      <c r="DQ35" s="133"/>
      <c r="DR35" s="133"/>
      <c r="DS35" s="133"/>
      <c r="DT35" s="133"/>
      <c r="DU35" s="133"/>
      <c r="DV35" s="133"/>
      <c r="DW35" s="133"/>
      <c r="DX35" s="133"/>
      <c r="DY35" s="133"/>
      <c r="DZ35" s="133"/>
      <c r="EA35" s="133"/>
      <c r="EB35" s="133"/>
      <c r="EC35" s="133"/>
      <c r="ED35" s="133"/>
      <c r="EE35" s="133"/>
      <c r="EF35" s="133"/>
      <c r="EG35" s="133"/>
      <c r="EH35" s="133"/>
      <c r="EI35" s="133"/>
      <c r="EJ35" s="133"/>
      <c r="EK35" s="133"/>
      <c r="EL35" s="133"/>
      <c r="EM35" s="133"/>
      <c r="EN35" s="133"/>
      <c r="EO35" s="133"/>
      <c r="EP35" s="133"/>
      <c r="EQ35" s="133"/>
      <c r="ER35" s="133"/>
      <c r="ES35" s="133"/>
      <c r="ET35" s="133"/>
      <c r="EU35" s="133"/>
      <c r="EV35" s="133"/>
      <c r="EW35" s="133"/>
      <c r="EX35" s="133"/>
      <c r="EY35" s="133"/>
      <c r="EZ35" s="133"/>
      <c r="FA35" s="133"/>
      <c r="FB35" s="133"/>
      <c r="FC35" s="133"/>
      <c r="FD35" s="133"/>
      <c r="FE35" s="133"/>
      <c r="FF35" s="133"/>
      <c r="FG35" s="133"/>
      <c r="FH35" s="133"/>
      <c r="FI35" s="133"/>
      <c r="FJ35" s="133"/>
      <c r="FK35" s="133"/>
      <c r="FL35" s="133"/>
      <c r="FM35" s="133"/>
      <c r="FN35" s="133"/>
      <c r="FO35" s="133"/>
      <c r="FP35" s="133"/>
      <c r="FQ35" s="133"/>
      <c r="FR35" s="133"/>
      <c r="FS35" s="133"/>
      <c r="FT35" s="133"/>
      <c r="FU35" s="133"/>
      <c r="FV35" s="133"/>
      <c r="FW35" s="133"/>
      <c r="FX35" s="133"/>
      <c r="FY35" s="133"/>
      <c r="FZ35" s="133"/>
      <c r="GA35" s="133"/>
      <c r="GB35" s="133"/>
      <c r="GC35" s="133"/>
      <c r="GD35" s="133"/>
      <c r="GE35" s="133"/>
      <c r="GF35" s="133"/>
      <c r="GG35" s="133"/>
      <c r="GH35" s="133"/>
      <c r="GI35" s="133"/>
      <c r="GJ35" s="133"/>
      <c r="GK35" s="133"/>
      <c r="GL35" s="133"/>
      <c r="GM35" s="133"/>
      <c r="GN35" s="133"/>
      <c r="GO35" s="133"/>
      <c r="GP35" s="133"/>
      <c r="GQ35" s="133"/>
      <c r="GR35" s="133"/>
      <c r="GS35" s="133"/>
      <c r="GT35" s="133"/>
      <c r="GU35" s="133"/>
      <c r="GV35" s="133"/>
      <c r="GW35" s="133"/>
      <c r="GX35" s="133"/>
      <c r="GY35" s="133"/>
      <c r="GZ35" s="133"/>
      <c r="HA35" s="133"/>
      <c r="HB35" s="133"/>
      <c r="HC35" s="133"/>
      <c r="HD35" s="133"/>
      <c r="HE35" s="133"/>
      <c r="HF35" s="133"/>
      <c r="HG35" s="133"/>
      <c r="HH35" s="133"/>
      <c r="HI35" s="133"/>
      <c r="HJ35" s="133"/>
      <c r="HK35" s="133"/>
      <c r="HL35" s="133"/>
      <c r="HM35" s="133"/>
      <c r="HN35" s="133"/>
      <c r="HO35" s="133"/>
      <c r="HP35" s="133"/>
      <c r="HQ35" s="133"/>
      <c r="HR35" s="133"/>
      <c r="HS35" s="133"/>
      <c r="HT35" s="133"/>
      <c r="HU35" s="133"/>
      <c r="HV35" s="133"/>
      <c r="HW35" s="133"/>
      <c r="HX35" s="133"/>
      <c r="HY35" s="133"/>
      <c r="HZ35" s="133"/>
      <c r="IA35" s="133"/>
      <c r="IB35" s="133"/>
      <c r="IC35" s="133"/>
      <c r="ID35" s="133"/>
      <c r="IE35" s="133"/>
      <c r="IF35" s="133"/>
      <c r="IG35" s="133"/>
      <c r="IH35" s="133"/>
      <c r="II35" s="133"/>
      <c r="IJ35" s="133"/>
      <c r="IK35" s="133"/>
      <c r="IL35" s="133"/>
      <c r="IM35" s="133"/>
      <c r="IN35" s="133"/>
      <c r="IO35" s="133"/>
      <c r="IP35" s="133"/>
      <c r="IQ35" s="133"/>
      <c r="IR35" s="133"/>
      <c r="IS35" s="133"/>
      <c r="IT35" s="133"/>
      <c r="IU35" s="133"/>
    </row>
    <row r="36" spans="1:255" ht="14.25" x14ac:dyDescent="0.2">
      <c r="A36" s="109" t="s">
        <v>200</v>
      </c>
      <c r="F36" s="110"/>
      <c r="I36" s="110"/>
      <c r="J36" s="110"/>
      <c r="K36" s="110"/>
      <c r="L36" s="133"/>
      <c r="M36" s="133"/>
      <c r="N36" s="133"/>
      <c r="O36" s="133"/>
      <c r="P36" s="133"/>
      <c r="Q36" s="133"/>
      <c r="R36" s="133"/>
      <c r="S36" s="133"/>
      <c r="T36" s="133"/>
      <c r="U36" s="133"/>
      <c r="V36" s="133"/>
      <c r="W36" s="133"/>
      <c r="X36" s="133"/>
      <c r="Y36" s="133"/>
      <c r="Z36" s="133"/>
      <c r="AA36" s="133"/>
      <c r="AB36" s="133"/>
      <c r="AC36" s="133"/>
      <c r="AD36" s="133"/>
      <c r="AE36" s="133"/>
      <c r="AF36" s="133"/>
      <c r="AG36" s="133"/>
      <c r="AH36" s="133"/>
      <c r="AI36" s="133"/>
      <c r="AJ36" s="133"/>
      <c r="AK36" s="133"/>
      <c r="AL36" s="133"/>
      <c r="AM36" s="133"/>
      <c r="AN36" s="133"/>
      <c r="AO36" s="133"/>
      <c r="AP36" s="133"/>
      <c r="AQ36" s="133"/>
      <c r="AR36" s="133"/>
      <c r="AS36" s="133"/>
      <c r="AT36" s="133"/>
      <c r="AU36" s="133"/>
      <c r="AV36" s="133"/>
      <c r="AW36" s="133"/>
      <c r="AX36" s="133"/>
      <c r="AY36" s="133"/>
      <c r="AZ36" s="133"/>
      <c r="BA36" s="133"/>
      <c r="BB36" s="133"/>
      <c r="BC36" s="133"/>
      <c r="BD36" s="133"/>
      <c r="BE36" s="133"/>
      <c r="BF36" s="133"/>
      <c r="BG36" s="133"/>
      <c r="BH36" s="133"/>
      <c r="BI36" s="133"/>
      <c r="BJ36" s="133"/>
      <c r="BK36" s="133"/>
      <c r="BL36" s="133"/>
      <c r="BM36" s="133"/>
      <c r="BN36" s="133"/>
      <c r="BO36" s="133"/>
      <c r="BP36" s="133"/>
      <c r="BQ36" s="133"/>
      <c r="BR36" s="133"/>
      <c r="BS36" s="133"/>
      <c r="BT36" s="133"/>
      <c r="BU36" s="133"/>
      <c r="BV36" s="133"/>
      <c r="BW36" s="133"/>
      <c r="BX36" s="133"/>
      <c r="BY36" s="133"/>
      <c r="BZ36" s="133"/>
      <c r="CA36" s="133"/>
      <c r="CB36" s="133"/>
      <c r="CC36" s="133"/>
      <c r="CD36" s="133"/>
      <c r="CE36" s="133"/>
      <c r="CF36" s="133"/>
      <c r="CG36" s="133"/>
      <c r="CH36" s="133"/>
      <c r="CI36" s="133"/>
      <c r="CJ36" s="133"/>
      <c r="CK36" s="133"/>
      <c r="CL36" s="133"/>
      <c r="CM36" s="133"/>
      <c r="CN36" s="133"/>
      <c r="CO36" s="133"/>
      <c r="CP36" s="133"/>
      <c r="CQ36" s="133"/>
      <c r="CR36" s="133"/>
      <c r="CS36" s="133"/>
      <c r="CT36" s="133"/>
      <c r="CU36" s="133"/>
      <c r="CV36" s="133"/>
      <c r="CW36" s="133"/>
      <c r="CX36" s="133"/>
      <c r="CY36" s="133"/>
      <c r="CZ36" s="133"/>
      <c r="DA36" s="133"/>
      <c r="DB36" s="133"/>
      <c r="DC36" s="133"/>
      <c r="DD36" s="133"/>
      <c r="DE36" s="133"/>
      <c r="DF36" s="133"/>
      <c r="DG36" s="133"/>
      <c r="DH36" s="133"/>
      <c r="DI36" s="133"/>
      <c r="DJ36" s="133"/>
      <c r="DK36" s="133"/>
      <c r="DL36" s="133"/>
      <c r="DM36" s="133"/>
      <c r="DN36" s="133"/>
      <c r="DO36" s="133"/>
      <c r="DP36" s="133"/>
      <c r="DQ36" s="133"/>
      <c r="DR36" s="133"/>
      <c r="DS36" s="133"/>
      <c r="DT36" s="133"/>
      <c r="DU36" s="133"/>
      <c r="DV36" s="133"/>
      <c r="DW36" s="133"/>
      <c r="DX36" s="133"/>
      <c r="DY36" s="133"/>
      <c r="DZ36" s="133"/>
      <c r="EA36" s="133"/>
      <c r="EB36" s="133"/>
      <c r="EC36" s="133"/>
      <c r="ED36" s="133"/>
      <c r="EE36" s="133"/>
      <c r="EF36" s="133"/>
      <c r="EG36" s="133"/>
      <c r="EH36" s="133"/>
      <c r="EI36" s="133"/>
      <c r="EJ36" s="133"/>
      <c r="EK36" s="133"/>
      <c r="EL36" s="133"/>
      <c r="EM36" s="133"/>
      <c r="EN36" s="133"/>
      <c r="EO36" s="133"/>
      <c r="EP36" s="133"/>
      <c r="EQ36" s="133"/>
      <c r="ER36" s="133"/>
      <c r="ES36" s="133"/>
      <c r="ET36" s="133"/>
      <c r="EU36" s="133"/>
      <c r="EV36" s="133"/>
      <c r="EW36" s="133"/>
      <c r="EX36" s="133"/>
      <c r="EY36" s="133"/>
      <c r="EZ36" s="133"/>
      <c r="FA36" s="133"/>
      <c r="FB36" s="133"/>
      <c r="FC36" s="133"/>
      <c r="FD36" s="133"/>
      <c r="FE36" s="133"/>
      <c r="FF36" s="133"/>
      <c r="FG36" s="133"/>
      <c r="FH36" s="133"/>
      <c r="FI36" s="133"/>
      <c r="FJ36" s="133"/>
      <c r="FK36" s="133"/>
      <c r="FL36" s="133"/>
      <c r="FM36" s="133"/>
      <c r="FN36" s="133"/>
      <c r="FO36" s="133"/>
      <c r="FP36" s="133"/>
      <c r="FQ36" s="133"/>
      <c r="FR36" s="133"/>
      <c r="FS36" s="133"/>
      <c r="FT36" s="133"/>
      <c r="FU36" s="133"/>
      <c r="FV36" s="133"/>
      <c r="FW36" s="133"/>
      <c r="FX36" s="133"/>
      <c r="FY36" s="133"/>
      <c r="FZ36" s="133"/>
      <c r="GA36" s="133"/>
      <c r="GB36" s="133"/>
      <c r="GC36" s="133"/>
      <c r="GD36" s="133"/>
      <c r="GE36" s="133"/>
      <c r="GF36" s="133"/>
      <c r="GG36" s="133"/>
      <c r="GH36" s="133"/>
      <c r="GI36" s="133"/>
      <c r="GJ36" s="133"/>
      <c r="GK36" s="133"/>
      <c r="GL36" s="133"/>
      <c r="GM36" s="133"/>
      <c r="GN36" s="133"/>
      <c r="GO36" s="133"/>
      <c r="GP36" s="133"/>
      <c r="GQ36" s="133"/>
      <c r="GR36" s="133"/>
      <c r="GS36" s="133"/>
      <c r="GT36" s="133"/>
      <c r="GU36" s="133"/>
      <c r="GV36" s="133"/>
      <c r="GW36" s="133"/>
      <c r="GX36" s="133"/>
      <c r="GY36" s="133"/>
      <c r="GZ36" s="133"/>
      <c r="HA36" s="133"/>
      <c r="HB36" s="133"/>
      <c r="HC36" s="133"/>
      <c r="HD36" s="133"/>
      <c r="HE36" s="133"/>
      <c r="HF36" s="133"/>
      <c r="HG36" s="133"/>
      <c r="HH36" s="133"/>
      <c r="HI36" s="133"/>
      <c r="HJ36" s="133"/>
      <c r="HK36" s="133"/>
      <c r="HL36" s="133"/>
      <c r="HM36" s="133"/>
      <c r="HN36" s="133"/>
      <c r="HO36" s="133"/>
      <c r="HP36" s="133"/>
      <c r="HQ36" s="133"/>
      <c r="HR36" s="133"/>
      <c r="HS36" s="133"/>
      <c r="HT36" s="133"/>
      <c r="HU36" s="133"/>
      <c r="HV36" s="133"/>
      <c r="HW36" s="133"/>
      <c r="HX36" s="133"/>
      <c r="HY36" s="133"/>
      <c r="HZ36" s="133"/>
      <c r="IA36" s="133"/>
      <c r="IB36" s="133"/>
      <c r="IC36" s="133"/>
      <c r="ID36" s="133"/>
      <c r="IE36" s="133"/>
      <c r="IF36" s="133"/>
      <c r="IG36" s="133"/>
      <c r="IH36" s="133"/>
      <c r="II36" s="133"/>
      <c r="IJ36" s="133"/>
      <c r="IK36" s="133"/>
      <c r="IL36" s="133"/>
      <c r="IM36" s="133"/>
      <c r="IN36" s="133"/>
      <c r="IO36" s="133"/>
      <c r="IP36" s="133"/>
      <c r="IQ36" s="133"/>
      <c r="IR36" s="133"/>
      <c r="IS36" s="133"/>
      <c r="IT36" s="133"/>
      <c r="IU36" s="133"/>
    </row>
    <row r="37" spans="1:255" x14ac:dyDescent="0.2">
      <c r="A37" s="113" t="s">
        <v>46</v>
      </c>
      <c r="B37" s="110">
        <v>479</v>
      </c>
      <c r="D37" s="110">
        <v>24272</v>
      </c>
      <c r="E37" s="110">
        <v>34160</v>
      </c>
      <c r="F37" s="134">
        <v>9808</v>
      </c>
      <c r="G37" s="135">
        <v>31580</v>
      </c>
      <c r="H37" s="110">
        <v>5356</v>
      </c>
      <c r="I37" s="110">
        <v>10211</v>
      </c>
      <c r="J37" s="110">
        <v>18325</v>
      </c>
      <c r="K37" s="136">
        <f>SUM(B37:J37)</f>
        <v>134191</v>
      </c>
      <c r="L37" s="133"/>
      <c r="M37" s="133"/>
      <c r="N37" s="133"/>
      <c r="O37" s="133"/>
      <c r="P37" s="133"/>
      <c r="Q37" s="133"/>
      <c r="R37" s="133"/>
      <c r="S37" s="133"/>
      <c r="T37" s="133"/>
      <c r="U37" s="133"/>
      <c r="V37" s="133"/>
      <c r="W37" s="133"/>
      <c r="X37" s="133"/>
      <c r="Y37" s="133"/>
      <c r="Z37" s="133"/>
      <c r="AA37" s="133"/>
      <c r="AB37" s="133"/>
      <c r="AC37" s="133"/>
      <c r="AD37" s="133"/>
      <c r="AE37" s="133"/>
      <c r="AF37" s="133"/>
      <c r="AG37" s="133"/>
      <c r="AH37" s="133"/>
      <c r="AI37" s="133"/>
      <c r="AJ37" s="133"/>
      <c r="AK37" s="133"/>
      <c r="AL37" s="133"/>
      <c r="AM37" s="133"/>
      <c r="AN37" s="133"/>
      <c r="AO37" s="133"/>
      <c r="AP37" s="133"/>
      <c r="AQ37" s="133"/>
      <c r="AR37" s="133"/>
      <c r="AS37" s="133"/>
      <c r="AT37" s="133"/>
      <c r="AU37" s="133"/>
      <c r="AV37" s="133"/>
      <c r="AW37" s="133"/>
      <c r="AX37" s="133"/>
      <c r="AY37" s="133"/>
      <c r="AZ37" s="133"/>
      <c r="BA37" s="133"/>
      <c r="BB37" s="133"/>
      <c r="BC37" s="133"/>
      <c r="BD37" s="133"/>
      <c r="BE37" s="133"/>
      <c r="BF37" s="133"/>
      <c r="BG37" s="133"/>
      <c r="BH37" s="133"/>
      <c r="BI37" s="133"/>
      <c r="BJ37" s="133"/>
      <c r="BK37" s="133"/>
      <c r="BL37" s="133"/>
      <c r="BM37" s="133"/>
      <c r="BN37" s="133"/>
      <c r="BO37" s="133"/>
      <c r="BP37" s="133"/>
      <c r="BQ37" s="133"/>
      <c r="BR37" s="133"/>
      <c r="BS37" s="133"/>
      <c r="BT37" s="133"/>
      <c r="BU37" s="133"/>
      <c r="BV37" s="133"/>
      <c r="BW37" s="133"/>
      <c r="BX37" s="133"/>
      <c r="BY37" s="133"/>
      <c r="BZ37" s="133"/>
      <c r="CA37" s="133"/>
      <c r="CB37" s="133"/>
      <c r="CC37" s="133"/>
      <c r="CD37" s="133"/>
      <c r="CE37" s="133"/>
      <c r="CF37" s="133"/>
      <c r="CG37" s="133"/>
      <c r="CH37" s="133"/>
      <c r="CI37" s="133"/>
      <c r="CJ37" s="133"/>
      <c r="CK37" s="133"/>
      <c r="CL37" s="133"/>
      <c r="CM37" s="133"/>
      <c r="CN37" s="133"/>
      <c r="CO37" s="133"/>
      <c r="CP37" s="133"/>
      <c r="CQ37" s="133"/>
      <c r="CR37" s="133"/>
      <c r="CS37" s="133"/>
      <c r="CT37" s="133"/>
      <c r="CU37" s="133"/>
      <c r="CV37" s="133"/>
      <c r="CW37" s="133"/>
      <c r="CX37" s="133"/>
      <c r="CY37" s="133"/>
      <c r="CZ37" s="133"/>
      <c r="DA37" s="133"/>
      <c r="DB37" s="133"/>
      <c r="DC37" s="133"/>
      <c r="DD37" s="133"/>
      <c r="DE37" s="133"/>
      <c r="DF37" s="133"/>
      <c r="DG37" s="133"/>
      <c r="DH37" s="133"/>
      <c r="DI37" s="133"/>
      <c r="DJ37" s="133"/>
      <c r="DK37" s="133"/>
      <c r="DL37" s="133"/>
      <c r="DM37" s="133"/>
      <c r="DN37" s="133"/>
      <c r="DO37" s="133"/>
      <c r="DP37" s="133"/>
      <c r="DQ37" s="133"/>
      <c r="DR37" s="133"/>
      <c r="DS37" s="133"/>
      <c r="DT37" s="133"/>
      <c r="DU37" s="133"/>
      <c r="DV37" s="133"/>
      <c r="DW37" s="133"/>
      <c r="DX37" s="133"/>
      <c r="DY37" s="133"/>
      <c r="DZ37" s="133"/>
      <c r="EA37" s="133"/>
      <c r="EB37" s="133"/>
      <c r="EC37" s="133"/>
      <c r="ED37" s="133"/>
      <c r="EE37" s="133"/>
      <c r="EF37" s="133"/>
      <c r="EG37" s="133"/>
      <c r="EH37" s="133"/>
      <c r="EI37" s="133"/>
      <c r="EJ37" s="133"/>
      <c r="EK37" s="133"/>
      <c r="EL37" s="133"/>
      <c r="EM37" s="133"/>
      <c r="EN37" s="133"/>
      <c r="EO37" s="133"/>
      <c r="EP37" s="133"/>
      <c r="EQ37" s="133"/>
      <c r="ER37" s="133"/>
      <c r="ES37" s="133"/>
      <c r="ET37" s="133"/>
      <c r="EU37" s="133"/>
      <c r="EV37" s="133"/>
      <c r="EW37" s="133"/>
      <c r="EX37" s="133"/>
      <c r="EY37" s="133"/>
      <c r="EZ37" s="133"/>
      <c r="FA37" s="133"/>
      <c r="FB37" s="133"/>
      <c r="FC37" s="133"/>
      <c r="FD37" s="133"/>
      <c r="FE37" s="133"/>
      <c r="FF37" s="133"/>
      <c r="FG37" s="133"/>
      <c r="FH37" s="133"/>
      <c r="FI37" s="133"/>
      <c r="FJ37" s="133"/>
      <c r="FK37" s="133"/>
      <c r="FL37" s="133"/>
      <c r="FM37" s="133"/>
      <c r="FN37" s="133"/>
      <c r="FO37" s="133"/>
      <c r="FP37" s="133"/>
      <c r="FQ37" s="133"/>
      <c r="FR37" s="133"/>
      <c r="FS37" s="133"/>
      <c r="FT37" s="133"/>
      <c r="FU37" s="133"/>
      <c r="FV37" s="133"/>
      <c r="FW37" s="133"/>
      <c r="FX37" s="133"/>
      <c r="FY37" s="133"/>
      <c r="FZ37" s="133"/>
      <c r="GA37" s="133"/>
      <c r="GB37" s="133"/>
      <c r="GC37" s="133"/>
      <c r="GD37" s="133"/>
      <c r="GE37" s="133"/>
      <c r="GF37" s="133"/>
      <c r="GG37" s="133"/>
      <c r="GH37" s="133"/>
      <c r="GI37" s="133"/>
      <c r="GJ37" s="133"/>
      <c r="GK37" s="133"/>
      <c r="GL37" s="133"/>
      <c r="GM37" s="133"/>
      <c r="GN37" s="133"/>
      <c r="GO37" s="133"/>
      <c r="GP37" s="133"/>
      <c r="GQ37" s="133"/>
      <c r="GR37" s="133"/>
      <c r="GS37" s="133"/>
      <c r="GT37" s="133"/>
      <c r="GU37" s="133"/>
      <c r="GV37" s="133"/>
      <c r="GW37" s="133"/>
      <c r="GX37" s="133"/>
      <c r="GY37" s="133"/>
      <c r="GZ37" s="133"/>
      <c r="HA37" s="133"/>
      <c r="HB37" s="133"/>
      <c r="HC37" s="133"/>
      <c r="HD37" s="133"/>
      <c r="HE37" s="133"/>
      <c r="HF37" s="133"/>
      <c r="HG37" s="133"/>
      <c r="HH37" s="133"/>
      <c r="HI37" s="133"/>
      <c r="HJ37" s="133"/>
      <c r="HK37" s="133"/>
      <c r="HL37" s="133"/>
      <c r="HM37" s="133"/>
      <c r="HN37" s="133"/>
      <c r="HO37" s="133"/>
      <c r="HP37" s="133"/>
      <c r="HQ37" s="133"/>
      <c r="HR37" s="133"/>
      <c r="HS37" s="133"/>
      <c r="HT37" s="133"/>
      <c r="HU37" s="133"/>
      <c r="HV37" s="133"/>
      <c r="HW37" s="133"/>
      <c r="HX37" s="133"/>
      <c r="HY37" s="133"/>
      <c r="HZ37" s="133"/>
      <c r="IA37" s="133"/>
      <c r="IB37" s="133"/>
      <c r="IC37" s="133"/>
      <c r="ID37" s="133"/>
      <c r="IE37" s="133"/>
      <c r="IF37" s="133"/>
      <c r="IG37" s="133"/>
      <c r="IH37" s="133"/>
      <c r="II37" s="133"/>
      <c r="IJ37" s="133"/>
      <c r="IK37" s="133"/>
      <c r="IL37" s="133"/>
      <c r="IM37" s="133"/>
      <c r="IN37" s="133"/>
      <c r="IO37" s="133"/>
      <c r="IP37" s="133"/>
      <c r="IQ37" s="133"/>
      <c r="IR37" s="133"/>
      <c r="IS37" s="133"/>
      <c r="IT37" s="133"/>
      <c r="IU37" s="133"/>
    </row>
    <row r="38" spans="1:255" x14ac:dyDescent="0.2">
      <c r="A38" s="113" t="s">
        <v>201</v>
      </c>
      <c r="D38" s="110">
        <v>6034</v>
      </c>
      <c r="F38" s="110"/>
      <c r="I38" s="110"/>
      <c r="J38" s="110">
        <v>4631</v>
      </c>
      <c r="K38" s="136">
        <f>SUM(B38:J38)</f>
        <v>10665</v>
      </c>
      <c r="L38" s="133"/>
      <c r="M38" s="133"/>
      <c r="N38" s="133"/>
      <c r="O38" s="133"/>
      <c r="P38" s="133"/>
      <c r="Q38" s="133"/>
      <c r="R38" s="133"/>
      <c r="S38" s="133"/>
      <c r="T38" s="133"/>
      <c r="U38" s="133"/>
      <c r="V38" s="133"/>
      <c r="W38" s="133"/>
      <c r="X38" s="133"/>
      <c r="Y38" s="133"/>
      <c r="Z38" s="133"/>
      <c r="AA38" s="133"/>
      <c r="AB38" s="133"/>
      <c r="AC38" s="133"/>
      <c r="AD38" s="133"/>
      <c r="AE38" s="133"/>
      <c r="AF38" s="133"/>
      <c r="AG38" s="133"/>
      <c r="AH38" s="133"/>
      <c r="AI38" s="133"/>
      <c r="AJ38" s="133"/>
      <c r="AK38" s="133"/>
      <c r="AL38" s="133"/>
      <c r="AM38" s="133"/>
      <c r="AN38" s="133"/>
      <c r="AO38" s="133"/>
      <c r="AP38" s="133"/>
      <c r="AQ38" s="133"/>
      <c r="AR38" s="133"/>
      <c r="AS38" s="133"/>
      <c r="AT38" s="133"/>
      <c r="AU38" s="133"/>
      <c r="AV38" s="133"/>
      <c r="AW38" s="133"/>
      <c r="AX38" s="133"/>
      <c r="AY38" s="133"/>
      <c r="AZ38" s="133"/>
      <c r="BA38" s="133"/>
      <c r="BB38" s="133"/>
      <c r="BC38" s="133"/>
      <c r="BD38" s="133"/>
      <c r="BE38" s="133"/>
      <c r="BF38" s="133"/>
      <c r="BG38" s="133"/>
      <c r="BH38" s="133"/>
      <c r="BI38" s="133"/>
      <c r="BJ38" s="133"/>
      <c r="BK38" s="133"/>
      <c r="BL38" s="133"/>
      <c r="BM38" s="133"/>
      <c r="BN38" s="133"/>
      <c r="BO38" s="133"/>
      <c r="BP38" s="133"/>
      <c r="BQ38" s="133"/>
      <c r="BR38" s="133"/>
      <c r="BS38" s="133"/>
      <c r="BT38" s="133"/>
      <c r="BU38" s="133"/>
      <c r="BV38" s="133"/>
      <c r="BW38" s="133"/>
      <c r="BX38" s="133"/>
      <c r="BY38" s="133"/>
      <c r="BZ38" s="133"/>
      <c r="CA38" s="133"/>
      <c r="CB38" s="133"/>
      <c r="CC38" s="133"/>
      <c r="CD38" s="133"/>
      <c r="CE38" s="133"/>
      <c r="CF38" s="133"/>
      <c r="CG38" s="133"/>
      <c r="CH38" s="133"/>
      <c r="CI38" s="133"/>
      <c r="CJ38" s="133"/>
      <c r="CK38" s="133"/>
      <c r="CL38" s="133"/>
      <c r="CM38" s="133"/>
      <c r="CN38" s="133"/>
      <c r="CO38" s="133"/>
      <c r="CP38" s="133"/>
      <c r="CQ38" s="133"/>
      <c r="CR38" s="133"/>
      <c r="CS38" s="133"/>
      <c r="CT38" s="133"/>
      <c r="CU38" s="133"/>
      <c r="CV38" s="133"/>
      <c r="CW38" s="133"/>
      <c r="CX38" s="133"/>
      <c r="CY38" s="133"/>
      <c r="CZ38" s="133"/>
      <c r="DA38" s="133"/>
      <c r="DB38" s="133"/>
      <c r="DC38" s="133"/>
      <c r="DD38" s="133"/>
      <c r="DE38" s="133"/>
      <c r="DF38" s="133"/>
      <c r="DG38" s="133"/>
      <c r="DH38" s="133"/>
      <c r="DI38" s="133"/>
      <c r="DJ38" s="133"/>
      <c r="DK38" s="133"/>
      <c r="DL38" s="133"/>
      <c r="DM38" s="133"/>
      <c r="DN38" s="133"/>
      <c r="DO38" s="133"/>
      <c r="DP38" s="133"/>
      <c r="DQ38" s="133"/>
      <c r="DR38" s="133"/>
      <c r="DS38" s="133"/>
      <c r="DT38" s="133"/>
      <c r="DU38" s="133"/>
      <c r="DV38" s="133"/>
      <c r="DW38" s="133"/>
      <c r="DX38" s="133"/>
      <c r="DY38" s="133"/>
      <c r="DZ38" s="133"/>
      <c r="EA38" s="133"/>
      <c r="EB38" s="133"/>
      <c r="EC38" s="133"/>
      <c r="ED38" s="133"/>
      <c r="EE38" s="133"/>
      <c r="EF38" s="133"/>
      <c r="EG38" s="133"/>
      <c r="EH38" s="133"/>
      <c r="EI38" s="133"/>
      <c r="EJ38" s="133"/>
      <c r="EK38" s="133"/>
      <c r="EL38" s="133"/>
      <c r="EM38" s="133"/>
      <c r="EN38" s="133"/>
      <c r="EO38" s="133"/>
      <c r="EP38" s="133"/>
      <c r="EQ38" s="133"/>
      <c r="ER38" s="133"/>
      <c r="ES38" s="133"/>
      <c r="ET38" s="133"/>
      <c r="EU38" s="133"/>
      <c r="EV38" s="133"/>
      <c r="EW38" s="133"/>
      <c r="EX38" s="133"/>
      <c r="EY38" s="133"/>
      <c r="EZ38" s="133"/>
      <c r="FA38" s="133"/>
      <c r="FB38" s="133"/>
      <c r="FC38" s="133"/>
      <c r="FD38" s="133"/>
      <c r="FE38" s="133"/>
      <c r="FF38" s="133"/>
      <c r="FG38" s="133"/>
      <c r="FH38" s="133"/>
      <c r="FI38" s="133"/>
      <c r="FJ38" s="133"/>
      <c r="FK38" s="133"/>
      <c r="FL38" s="133"/>
      <c r="FM38" s="133"/>
      <c r="FN38" s="133"/>
      <c r="FO38" s="133"/>
      <c r="FP38" s="133"/>
      <c r="FQ38" s="133"/>
      <c r="FR38" s="133"/>
      <c r="FS38" s="133"/>
      <c r="FT38" s="133"/>
      <c r="FU38" s="133"/>
      <c r="FV38" s="133"/>
      <c r="FW38" s="133"/>
      <c r="FX38" s="133"/>
      <c r="FY38" s="133"/>
      <c r="FZ38" s="133"/>
      <c r="GA38" s="133"/>
      <c r="GB38" s="133"/>
      <c r="GC38" s="133"/>
      <c r="GD38" s="133"/>
      <c r="GE38" s="133"/>
      <c r="GF38" s="133"/>
      <c r="GG38" s="133"/>
      <c r="GH38" s="133"/>
      <c r="GI38" s="133"/>
      <c r="GJ38" s="133"/>
      <c r="GK38" s="133"/>
      <c r="GL38" s="133"/>
      <c r="GM38" s="133"/>
      <c r="GN38" s="133"/>
      <c r="GO38" s="133"/>
      <c r="GP38" s="133"/>
      <c r="GQ38" s="133"/>
      <c r="GR38" s="133"/>
      <c r="GS38" s="133"/>
      <c r="GT38" s="133"/>
      <c r="GU38" s="133"/>
      <c r="GV38" s="133"/>
      <c r="GW38" s="133"/>
      <c r="GX38" s="133"/>
      <c r="GY38" s="133"/>
      <c r="GZ38" s="133"/>
      <c r="HA38" s="133"/>
      <c r="HB38" s="133"/>
      <c r="HC38" s="133"/>
      <c r="HD38" s="133"/>
      <c r="HE38" s="133"/>
      <c r="HF38" s="133"/>
      <c r="HG38" s="133"/>
      <c r="HH38" s="133"/>
      <c r="HI38" s="133"/>
      <c r="HJ38" s="133"/>
      <c r="HK38" s="133"/>
      <c r="HL38" s="133"/>
      <c r="HM38" s="133"/>
      <c r="HN38" s="133"/>
      <c r="HO38" s="133"/>
      <c r="HP38" s="133"/>
      <c r="HQ38" s="133"/>
      <c r="HR38" s="133"/>
      <c r="HS38" s="133"/>
      <c r="HT38" s="133"/>
      <c r="HU38" s="133"/>
      <c r="HV38" s="133"/>
      <c r="HW38" s="133"/>
      <c r="HX38" s="133"/>
      <c r="HY38" s="133"/>
      <c r="HZ38" s="133"/>
      <c r="IA38" s="133"/>
      <c r="IB38" s="133"/>
      <c r="IC38" s="133"/>
      <c r="ID38" s="133"/>
      <c r="IE38" s="133"/>
      <c r="IF38" s="133"/>
      <c r="IG38" s="133"/>
      <c r="IH38" s="133"/>
      <c r="II38" s="133"/>
      <c r="IJ38" s="133"/>
      <c r="IK38" s="133"/>
      <c r="IL38" s="133"/>
      <c r="IM38" s="133"/>
      <c r="IN38" s="133"/>
      <c r="IO38" s="133"/>
      <c r="IP38" s="133"/>
      <c r="IQ38" s="133"/>
      <c r="IR38" s="133"/>
      <c r="IS38" s="133"/>
      <c r="IT38" s="133"/>
      <c r="IU38" s="133"/>
    </row>
    <row r="39" spans="1:255" ht="14.25" x14ac:dyDescent="0.2">
      <c r="A39" s="126" t="s">
        <v>202</v>
      </c>
      <c r="C39" s="110">
        <v>15582</v>
      </c>
      <c r="F39" s="110">
        <v>1639</v>
      </c>
      <c r="H39" s="110">
        <v>10901</v>
      </c>
      <c r="I39" s="110"/>
      <c r="J39" s="110">
        <v>27015</v>
      </c>
      <c r="K39" s="136">
        <f>SUM(B39:J39)</f>
        <v>55137</v>
      </c>
      <c r="L39" s="133"/>
      <c r="M39" s="133"/>
      <c r="N39" s="133"/>
      <c r="O39" s="133"/>
      <c r="P39" s="133"/>
      <c r="Q39" s="133"/>
      <c r="R39" s="133"/>
      <c r="S39" s="133"/>
      <c r="T39" s="133"/>
      <c r="U39" s="133"/>
      <c r="V39" s="133"/>
      <c r="W39" s="133"/>
      <c r="X39" s="133"/>
      <c r="Y39" s="133"/>
      <c r="Z39" s="133"/>
      <c r="AA39" s="133"/>
      <c r="AB39" s="133"/>
      <c r="AC39" s="133"/>
      <c r="AD39" s="133"/>
      <c r="AE39" s="133"/>
      <c r="AF39" s="133"/>
      <c r="AG39" s="133"/>
      <c r="AH39" s="133"/>
      <c r="AI39" s="133"/>
      <c r="AJ39" s="133"/>
      <c r="AK39" s="133"/>
      <c r="AL39" s="133"/>
      <c r="AM39" s="133"/>
      <c r="AN39" s="133"/>
      <c r="AO39" s="133"/>
      <c r="AP39" s="133"/>
      <c r="AQ39" s="133"/>
      <c r="AR39" s="133"/>
      <c r="AS39" s="133"/>
      <c r="AT39" s="133"/>
      <c r="AU39" s="133"/>
      <c r="AV39" s="133"/>
      <c r="AW39" s="133"/>
      <c r="AX39" s="133"/>
      <c r="AY39" s="133"/>
      <c r="AZ39" s="133"/>
      <c r="BA39" s="133"/>
      <c r="BB39" s="133"/>
      <c r="BC39" s="133"/>
      <c r="BD39" s="133"/>
      <c r="BE39" s="133"/>
      <c r="BF39" s="133"/>
      <c r="BG39" s="133"/>
      <c r="BH39" s="133"/>
      <c r="BI39" s="133"/>
      <c r="BJ39" s="133"/>
      <c r="BK39" s="133"/>
      <c r="BL39" s="133"/>
      <c r="BM39" s="133"/>
      <c r="BN39" s="133"/>
      <c r="BO39" s="133"/>
      <c r="BP39" s="133"/>
      <c r="BQ39" s="133"/>
      <c r="BR39" s="133"/>
      <c r="BS39" s="133"/>
      <c r="BT39" s="133"/>
      <c r="BU39" s="133"/>
      <c r="BV39" s="133"/>
      <c r="BW39" s="133"/>
      <c r="BX39" s="133"/>
      <c r="BY39" s="133"/>
      <c r="BZ39" s="133"/>
      <c r="CA39" s="133"/>
      <c r="CB39" s="133"/>
      <c r="CC39" s="133"/>
      <c r="CD39" s="133"/>
      <c r="CE39" s="133"/>
      <c r="CF39" s="133"/>
      <c r="CG39" s="133"/>
      <c r="CH39" s="133"/>
      <c r="CI39" s="133"/>
      <c r="CJ39" s="133"/>
      <c r="CK39" s="133"/>
      <c r="CL39" s="133"/>
      <c r="CM39" s="133"/>
      <c r="CN39" s="133"/>
      <c r="CO39" s="133"/>
      <c r="CP39" s="133"/>
      <c r="CQ39" s="133"/>
      <c r="CR39" s="133"/>
      <c r="CS39" s="133"/>
      <c r="CT39" s="133"/>
      <c r="CU39" s="133"/>
      <c r="CV39" s="133"/>
      <c r="CW39" s="133"/>
      <c r="CX39" s="133"/>
      <c r="CY39" s="133"/>
      <c r="CZ39" s="133"/>
      <c r="DA39" s="133"/>
      <c r="DB39" s="133"/>
      <c r="DC39" s="133"/>
      <c r="DD39" s="133"/>
      <c r="DE39" s="133"/>
      <c r="DF39" s="133"/>
      <c r="DG39" s="133"/>
      <c r="DH39" s="133"/>
      <c r="DI39" s="133"/>
      <c r="DJ39" s="133"/>
      <c r="DK39" s="133"/>
      <c r="DL39" s="133"/>
      <c r="DM39" s="133"/>
      <c r="DN39" s="133"/>
      <c r="DO39" s="133"/>
      <c r="DP39" s="133"/>
      <c r="DQ39" s="133"/>
      <c r="DR39" s="133"/>
      <c r="DS39" s="133"/>
      <c r="DT39" s="133"/>
      <c r="DU39" s="133"/>
      <c r="DV39" s="133"/>
      <c r="DW39" s="133"/>
      <c r="DX39" s="133"/>
      <c r="DY39" s="133"/>
      <c r="DZ39" s="133"/>
      <c r="EA39" s="133"/>
      <c r="EB39" s="133"/>
      <c r="EC39" s="133"/>
      <c r="ED39" s="133"/>
      <c r="EE39" s="133"/>
      <c r="EF39" s="133"/>
      <c r="EG39" s="133"/>
      <c r="EH39" s="133"/>
      <c r="EI39" s="133"/>
      <c r="EJ39" s="133"/>
      <c r="EK39" s="133"/>
      <c r="EL39" s="133"/>
      <c r="EM39" s="133"/>
      <c r="EN39" s="133"/>
      <c r="EO39" s="133"/>
      <c r="EP39" s="133"/>
      <c r="EQ39" s="133"/>
      <c r="ER39" s="133"/>
      <c r="ES39" s="133"/>
      <c r="ET39" s="133"/>
      <c r="EU39" s="133"/>
      <c r="EV39" s="133"/>
      <c r="EW39" s="133"/>
      <c r="EX39" s="133"/>
      <c r="EY39" s="133"/>
      <c r="EZ39" s="133"/>
      <c r="FA39" s="133"/>
      <c r="FB39" s="133"/>
      <c r="FC39" s="133"/>
      <c r="FD39" s="133"/>
      <c r="FE39" s="133"/>
      <c r="FF39" s="133"/>
      <c r="FG39" s="133"/>
      <c r="FH39" s="133"/>
      <c r="FI39" s="133"/>
      <c r="FJ39" s="133"/>
      <c r="FK39" s="133"/>
      <c r="FL39" s="133"/>
      <c r="FM39" s="133"/>
      <c r="FN39" s="133"/>
      <c r="FO39" s="133"/>
      <c r="FP39" s="133"/>
      <c r="FQ39" s="133"/>
      <c r="FR39" s="133"/>
      <c r="FS39" s="133"/>
      <c r="FT39" s="133"/>
      <c r="FU39" s="133"/>
      <c r="FV39" s="133"/>
      <c r="FW39" s="133"/>
      <c r="FX39" s="133"/>
      <c r="FY39" s="133"/>
      <c r="FZ39" s="133"/>
      <c r="GA39" s="133"/>
      <c r="GB39" s="133"/>
      <c r="GC39" s="133"/>
      <c r="GD39" s="133"/>
      <c r="GE39" s="133"/>
      <c r="GF39" s="133"/>
      <c r="GG39" s="133"/>
      <c r="GH39" s="133"/>
      <c r="GI39" s="133"/>
      <c r="GJ39" s="133"/>
      <c r="GK39" s="133"/>
      <c r="GL39" s="133"/>
      <c r="GM39" s="133"/>
      <c r="GN39" s="133"/>
      <c r="GO39" s="133"/>
      <c r="GP39" s="133"/>
      <c r="GQ39" s="133"/>
      <c r="GR39" s="133"/>
      <c r="GS39" s="133"/>
      <c r="GT39" s="133"/>
      <c r="GU39" s="133"/>
      <c r="GV39" s="133"/>
      <c r="GW39" s="133"/>
      <c r="GX39" s="133"/>
      <c r="GY39" s="133"/>
      <c r="GZ39" s="133"/>
      <c r="HA39" s="133"/>
      <c r="HB39" s="133"/>
      <c r="HC39" s="133"/>
      <c r="HD39" s="133"/>
      <c r="HE39" s="133"/>
      <c r="HF39" s="133"/>
      <c r="HG39" s="133"/>
      <c r="HH39" s="133"/>
      <c r="HI39" s="133"/>
      <c r="HJ39" s="133"/>
      <c r="HK39" s="133"/>
      <c r="HL39" s="133"/>
      <c r="HM39" s="133"/>
      <c r="HN39" s="133"/>
      <c r="HO39" s="133"/>
      <c r="HP39" s="133"/>
      <c r="HQ39" s="133"/>
      <c r="HR39" s="133"/>
      <c r="HS39" s="133"/>
      <c r="HT39" s="133"/>
      <c r="HU39" s="133"/>
      <c r="HV39" s="133"/>
      <c r="HW39" s="133"/>
      <c r="HX39" s="133"/>
      <c r="HY39" s="133"/>
      <c r="HZ39" s="133"/>
      <c r="IA39" s="133"/>
      <c r="IB39" s="133"/>
      <c r="IC39" s="133"/>
      <c r="ID39" s="133"/>
      <c r="IE39" s="133"/>
      <c r="IF39" s="133"/>
      <c r="IG39" s="133"/>
      <c r="IH39" s="133"/>
      <c r="II39" s="133"/>
      <c r="IJ39" s="133"/>
      <c r="IK39" s="133"/>
      <c r="IL39" s="133"/>
      <c r="IM39" s="133"/>
      <c r="IN39" s="133"/>
      <c r="IO39" s="133"/>
      <c r="IP39" s="133"/>
      <c r="IQ39" s="133"/>
      <c r="IR39" s="133"/>
      <c r="IS39" s="133"/>
      <c r="IT39" s="133"/>
      <c r="IU39" s="133"/>
    </row>
    <row r="40" spans="1:255" x14ac:dyDescent="0.2">
      <c r="F40" s="110"/>
      <c r="I40" s="110"/>
      <c r="J40" s="110"/>
      <c r="K40" s="110"/>
      <c r="L40" s="133"/>
      <c r="M40" s="133"/>
      <c r="N40" s="133"/>
      <c r="O40" s="133"/>
      <c r="P40" s="133"/>
      <c r="Q40" s="133"/>
      <c r="R40" s="133"/>
      <c r="S40" s="133"/>
      <c r="T40" s="133"/>
      <c r="U40" s="133"/>
      <c r="V40" s="133"/>
      <c r="W40" s="133"/>
      <c r="X40" s="133"/>
      <c r="Y40" s="133"/>
      <c r="Z40" s="133"/>
      <c r="AA40" s="133"/>
      <c r="AB40" s="133"/>
      <c r="AC40" s="133"/>
      <c r="AD40" s="133"/>
      <c r="AE40" s="133"/>
      <c r="AF40" s="133"/>
      <c r="AG40" s="133"/>
      <c r="AH40" s="133"/>
      <c r="AI40" s="133"/>
      <c r="AJ40" s="133"/>
      <c r="AK40" s="133"/>
      <c r="AL40" s="133"/>
      <c r="AM40" s="133"/>
      <c r="AN40" s="133"/>
      <c r="AO40" s="133"/>
      <c r="AP40" s="133"/>
      <c r="AQ40" s="133"/>
      <c r="AR40" s="133"/>
      <c r="AS40" s="133"/>
      <c r="AT40" s="133"/>
      <c r="AU40" s="133"/>
      <c r="AV40" s="133"/>
      <c r="AW40" s="133"/>
      <c r="AX40" s="133"/>
      <c r="AY40" s="133"/>
      <c r="AZ40" s="133"/>
      <c r="BA40" s="133"/>
      <c r="BB40" s="133"/>
      <c r="BC40" s="133"/>
      <c r="BD40" s="133"/>
      <c r="BE40" s="133"/>
      <c r="BF40" s="133"/>
      <c r="BG40" s="133"/>
      <c r="BH40" s="133"/>
      <c r="BI40" s="133"/>
      <c r="BJ40" s="133"/>
      <c r="BK40" s="133"/>
      <c r="BL40" s="133"/>
      <c r="BM40" s="133"/>
      <c r="BN40" s="133"/>
      <c r="BO40" s="133"/>
      <c r="BP40" s="133"/>
      <c r="BQ40" s="133"/>
      <c r="BR40" s="133"/>
      <c r="BS40" s="133"/>
      <c r="BT40" s="133"/>
      <c r="BU40" s="133"/>
      <c r="BV40" s="133"/>
      <c r="BW40" s="133"/>
      <c r="BX40" s="133"/>
      <c r="BY40" s="133"/>
      <c r="BZ40" s="133"/>
      <c r="CA40" s="133"/>
      <c r="CB40" s="133"/>
      <c r="CC40" s="133"/>
      <c r="CD40" s="133"/>
      <c r="CE40" s="133"/>
      <c r="CF40" s="133"/>
      <c r="CG40" s="133"/>
      <c r="CH40" s="133"/>
      <c r="CI40" s="133"/>
      <c r="CJ40" s="133"/>
      <c r="CK40" s="133"/>
      <c r="CL40" s="133"/>
      <c r="CM40" s="133"/>
      <c r="CN40" s="133"/>
      <c r="CO40" s="133"/>
      <c r="CP40" s="133"/>
      <c r="CQ40" s="133"/>
      <c r="CR40" s="133"/>
      <c r="CS40" s="133"/>
      <c r="CT40" s="133"/>
      <c r="CU40" s="133"/>
      <c r="CV40" s="133"/>
      <c r="CW40" s="133"/>
      <c r="CX40" s="133"/>
      <c r="CY40" s="133"/>
      <c r="CZ40" s="133"/>
      <c r="DA40" s="133"/>
      <c r="DB40" s="133"/>
      <c r="DC40" s="133"/>
      <c r="DD40" s="133"/>
      <c r="DE40" s="133"/>
      <c r="DF40" s="133"/>
      <c r="DG40" s="133"/>
      <c r="DH40" s="133"/>
      <c r="DI40" s="133"/>
      <c r="DJ40" s="133"/>
      <c r="DK40" s="133"/>
      <c r="DL40" s="133"/>
      <c r="DM40" s="133"/>
      <c r="DN40" s="133"/>
      <c r="DO40" s="133"/>
      <c r="DP40" s="133"/>
      <c r="DQ40" s="133"/>
      <c r="DR40" s="133"/>
      <c r="DS40" s="133"/>
      <c r="DT40" s="133"/>
      <c r="DU40" s="133"/>
      <c r="DV40" s="133"/>
      <c r="DW40" s="133"/>
      <c r="DX40" s="133"/>
      <c r="DY40" s="133"/>
      <c r="DZ40" s="133"/>
      <c r="EA40" s="133"/>
      <c r="EB40" s="133"/>
      <c r="EC40" s="133"/>
      <c r="ED40" s="133"/>
      <c r="EE40" s="133"/>
      <c r="EF40" s="133"/>
      <c r="EG40" s="133"/>
      <c r="EH40" s="133"/>
      <c r="EI40" s="133"/>
      <c r="EJ40" s="133"/>
      <c r="EK40" s="133"/>
      <c r="EL40" s="133"/>
      <c r="EM40" s="133"/>
      <c r="EN40" s="133"/>
      <c r="EO40" s="133"/>
      <c r="EP40" s="133"/>
      <c r="EQ40" s="133"/>
      <c r="ER40" s="133"/>
      <c r="ES40" s="133"/>
      <c r="ET40" s="133"/>
      <c r="EU40" s="133"/>
      <c r="EV40" s="133"/>
      <c r="EW40" s="133"/>
      <c r="EX40" s="133"/>
      <c r="EY40" s="133"/>
      <c r="EZ40" s="133"/>
      <c r="FA40" s="133"/>
      <c r="FB40" s="133"/>
      <c r="FC40" s="133"/>
      <c r="FD40" s="133"/>
      <c r="FE40" s="133"/>
      <c r="FF40" s="133"/>
      <c r="FG40" s="133"/>
      <c r="FH40" s="133"/>
      <c r="FI40" s="133"/>
      <c r="FJ40" s="133"/>
      <c r="FK40" s="133"/>
      <c r="FL40" s="133"/>
      <c r="FM40" s="133"/>
      <c r="FN40" s="133"/>
      <c r="FO40" s="133"/>
      <c r="FP40" s="133"/>
      <c r="FQ40" s="133"/>
      <c r="FR40" s="133"/>
      <c r="FS40" s="133"/>
      <c r="FT40" s="133"/>
      <c r="FU40" s="133"/>
      <c r="FV40" s="133"/>
      <c r="FW40" s="133"/>
      <c r="FX40" s="133"/>
      <c r="FY40" s="133"/>
      <c r="FZ40" s="133"/>
      <c r="GA40" s="133"/>
      <c r="GB40" s="133"/>
      <c r="GC40" s="133"/>
      <c r="GD40" s="133"/>
      <c r="GE40" s="133"/>
      <c r="GF40" s="133"/>
      <c r="GG40" s="133"/>
      <c r="GH40" s="133"/>
      <c r="GI40" s="133"/>
      <c r="GJ40" s="133"/>
      <c r="GK40" s="133"/>
      <c r="GL40" s="133"/>
      <c r="GM40" s="133"/>
      <c r="GN40" s="133"/>
      <c r="GO40" s="133"/>
      <c r="GP40" s="133"/>
      <c r="GQ40" s="133"/>
      <c r="GR40" s="133"/>
      <c r="GS40" s="133"/>
      <c r="GT40" s="133"/>
      <c r="GU40" s="133"/>
      <c r="GV40" s="133"/>
      <c r="GW40" s="133"/>
      <c r="GX40" s="133"/>
      <c r="GY40" s="133"/>
      <c r="GZ40" s="133"/>
      <c r="HA40" s="133"/>
      <c r="HB40" s="133"/>
      <c r="HC40" s="133"/>
      <c r="HD40" s="133"/>
      <c r="HE40" s="133"/>
      <c r="HF40" s="133"/>
      <c r="HG40" s="133"/>
      <c r="HH40" s="133"/>
      <c r="HI40" s="133"/>
      <c r="HJ40" s="133"/>
      <c r="HK40" s="133"/>
      <c r="HL40" s="133"/>
      <c r="HM40" s="133"/>
      <c r="HN40" s="133"/>
      <c r="HO40" s="133"/>
      <c r="HP40" s="133"/>
      <c r="HQ40" s="133"/>
      <c r="HR40" s="133"/>
      <c r="HS40" s="133"/>
      <c r="HT40" s="133"/>
      <c r="HU40" s="133"/>
      <c r="HV40" s="133"/>
      <c r="HW40" s="133"/>
      <c r="HX40" s="133"/>
      <c r="HY40" s="133"/>
      <c r="HZ40" s="133"/>
      <c r="IA40" s="133"/>
      <c r="IB40" s="133"/>
      <c r="IC40" s="133"/>
      <c r="ID40" s="133"/>
      <c r="IE40" s="133"/>
      <c r="IF40" s="133"/>
      <c r="IG40" s="133"/>
      <c r="IH40" s="133"/>
      <c r="II40" s="133"/>
      <c r="IJ40" s="133"/>
      <c r="IK40" s="133"/>
      <c r="IL40" s="133"/>
      <c r="IM40" s="133"/>
      <c r="IN40" s="133"/>
      <c r="IO40" s="133"/>
      <c r="IP40" s="133"/>
      <c r="IQ40" s="133"/>
      <c r="IR40" s="133"/>
      <c r="IS40" s="133"/>
      <c r="IT40" s="133"/>
      <c r="IU40" s="133"/>
    </row>
    <row r="41" spans="1:255" ht="15" customHeight="1" x14ac:dyDescent="0.25">
      <c r="A41" s="121" t="s">
        <v>44</v>
      </c>
      <c r="B41" s="119"/>
      <c r="C41" s="119"/>
      <c r="D41" s="119"/>
      <c r="E41" s="119"/>
      <c r="F41" s="122"/>
      <c r="G41" s="119"/>
      <c r="H41" s="119"/>
      <c r="I41" s="122"/>
      <c r="J41" s="122"/>
      <c r="K41" s="123"/>
    </row>
    <row r="42" spans="1:255" ht="12" customHeight="1" x14ac:dyDescent="0.2">
      <c r="B42" s="119"/>
      <c r="C42" s="119"/>
      <c r="D42" s="119"/>
      <c r="E42" s="119"/>
      <c r="F42" s="122"/>
      <c r="G42" s="119"/>
      <c r="H42" s="119"/>
      <c r="I42" s="122"/>
      <c r="J42" s="122"/>
      <c r="K42" s="123"/>
    </row>
    <row r="43" spans="1:255" ht="12" customHeight="1" x14ac:dyDescent="0.2">
      <c r="A43" s="109" t="s">
        <v>73</v>
      </c>
      <c r="B43" s="119"/>
      <c r="C43" s="119"/>
      <c r="D43" s="119"/>
      <c r="E43" s="119"/>
      <c r="F43" s="122"/>
      <c r="G43" s="119"/>
      <c r="H43" s="119"/>
      <c r="I43" s="122"/>
      <c r="J43" s="122"/>
      <c r="K43" s="123"/>
    </row>
    <row r="44" spans="1:255" ht="12" customHeight="1" x14ac:dyDescent="0.2">
      <c r="B44" s="119"/>
      <c r="C44" s="119"/>
      <c r="D44" s="119"/>
      <c r="E44" s="119"/>
      <c r="F44" s="122"/>
      <c r="G44" s="127"/>
      <c r="H44" s="119"/>
      <c r="I44" s="122"/>
      <c r="J44" s="122"/>
      <c r="K44" s="123"/>
    </row>
    <row r="45" spans="1:255" ht="12" customHeight="1" x14ac:dyDescent="0.2">
      <c r="A45" s="113" t="s">
        <v>74</v>
      </c>
      <c r="B45" s="119">
        <v>49.86488911</v>
      </c>
      <c r="C45" s="119">
        <v>35.47</v>
      </c>
      <c r="D45" s="125">
        <v>392.03035735000003</v>
      </c>
      <c r="E45" s="119">
        <v>159.53</v>
      </c>
      <c r="F45" s="122">
        <v>98.283941999999996</v>
      </c>
      <c r="G45" s="119">
        <v>31.46</v>
      </c>
      <c r="H45" s="119">
        <v>99.34</v>
      </c>
      <c r="I45" s="119">
        <v>56.133365439999999</v>
      </c>
      <c r="J45" s="119">
        <v>313.19740386000001</v>
      </c>
      <c r="K45" s="123">
        <f t="shared" ref="K45:K52" si="5">SUM(B45:J45)</f>
        <v>1235.3099577600001</v>
      </c>
    </row>
    <row r="46" spans="1:255" ht="12" customHeight="1" x14ac:dyDescent="0.2">
      <c r="A46" s="113" t="s">
        <v>75</v>
      </c>
      <c r="B46" s="119">
        <v>19.246978240000001</v>
      </c>
      <c r="C46" s="119"/>
      <c r="D46" s="119"/>
      <c r="E46" s="119"/>
      <c r="F46" s="122">
        <v>70.744123000000002</v>
      </c>
      <c r="G46" s="119">
        <v>8.75</v>
      </c>
      <c r="H46" s="119"/>
      <c r="I46" s="119">
        <v>116.70662873000001</v>
      </c>
      <c r="J46" s="119">
        <v>165.14658498</v>
      </c>
      <c r="K46" s="123">
        <f t="shared" si="5"/>
        <v>380.59431495000001</v>
      </c>
    </row>
    <row r="47" spans="1:255" ht="12" customHeight="1" x14ac:dyDescent="0.2">
      <c r="A47" s="113" t="s">
        <v>105</v>
      </c>
      <c r="B47" s="119"/>
      <c r="C47" s="119">
        <v>309.19</v>
      </c>
      <c r="D47" s="119"/>
      <c r="E47" s="149">
        <v>319.45</v>
      </c>
      <c r="F47" s="122"/>
      <c r="G47" s="119">
        <v>1513.42</v>
      </c>
      <c r="H47" s="119"/>
      <c r="I47" s="122">
        <v>20.42149463925</v>
      </c>
      <c r="J47" s="122"/>
      <c r="K47" s="123">
        <f t="shared" si="5"/>
        <v>2162.4814946392498</v>
      </c>
    </row>
    <row r="48" spans="1:255" ht="12" customHeight="1" x14ac:dyDescent="0.2">
      <c r="A48" s="113" t="s">
        <v>107</v>
      </c>
      <c r="B48" s="119">
        <v>13.10120598</v>
      </c>
      <c r="C48" s="119">
        <v>87.49</v>
      </c>
      <c r="D48" s="119">
        <v>1698.1182183599999</v>
      </c>
      <c r="E48" s="119">
        <v>13.86</v>
      </c>
      <c r="F48" s="122"/>
      <c r="G48" s="119">
        <v>57.54</v>
      </c>
      <c r="H48" s="119">
        <v>87.694999999999993</v>
      </c>
      <c r="I48" s="122"/>
      <c r="J48" s="122">
        <v>13.45782165</v>
      </c>
      <c r="K48" s="123">
        <f t="shared" si="5"/>
        <v>1971.2622459899997</v>
      </c>
    </row>
    <row r="49" spans="1:11" ht="12" customHeight="1" x14ac:dyDescent="0.2">
      <c r="A49" s="113" t="s">
        <v>106</v>
      </c>
      <c r="B49" s="119"/>
      <c r="C49" s="119"/>
      <c r="D49" s="125">
        <v>1747.73758501</v>
      </c>
      <c r="E49" s="119"/>
      <c r="F49" s="122"/>
      <c r="G49" s="119"/>
      <c r="H49" s="119"/>
      <c r="I49" s="122"/>
      <c r="J49" s="122"/>
      <c r="K49" s="123">
        <f t="shared" si="5"/>
        <v>1747.73758501</v>
      </c>
    </row>
    <row r="50" spans="1:11" ht="12" customHeight="1" x14ac:dyDescent="0.2">
      <c r="A50" s="113" t="s">
        <v>108</v>
      </c>
      <c r="B50" s="119"/>
      <c r="C50" s="119">
        <v>201.63</v>
      </c>
      <c r="D50" s="119">
        <v>1165.83259544</v>
      </c>
      <c r="E50" s="119">
        <v>664.1</v>
      </c>
      <c r="F50" s="122"/>
      <c r="G50" s="119">
        <v>446.67</v>
      </c>
      <c r="H50" s="119">
        <v>91.131</v>
      </c>
      <c r="I50" s="119">
        <v>17.230249149999995</v>
      </c>
      <c r="J50" s="119">
        <v>996.78701976000002</v>
      </c>
      <c r="K50" s="123">
        <f t="shared" si="5"/>
        <v>3583.3808643499997</v>
      </c>
    </row>
    <row r="51" spans="1:11" ht="12" customHeight="1" x14ac:dyDescent="0.2">
      <c r="A51" s="113" t="s">
        <v>78</v>
      </c>
      <c r="B51" s="119"/>
      <c r="C51" s="119"/>
      <c r="D51" s="119"/>
      <c r="E51" s="119"/>
      <c r="F51" s="122"/>
      <c r="G51" s="119">
        <v>11.57</v>
      </c>
      <c r="H51" s="119">
        <v>3.1150000000000002</v>
      </c>
      <c r="I51" s="122"/>
      <c r="J51" s="122">
        <v>11.398028910000001</v>
      </c>
      <c r="K51" s="123">
        <f t="shared" si="5"/>
        <v>26.083028910000003</v>
      </c>
    </row>
    <row r="52" spans="1:11" ht="12" customHeight="1" x14ac:dyDescent="0.2">
      <c r="A52" s="113" t="s">
        <v>79</v>
      </c>
      <c r="B52" s="119"/>
      <c r="C52" s="119"/>
      <c r="D52" s="119"/>
      <c r="E52" s="119"/>
      <c r="F52" s="122"/>
      <c r="G52" s="119">
        <v>4.9400000000000004</v>
      </c>
      <c r="H52" s="119"/>
      <c r="I52" s="122"/>
      <c r="J52" s="122">
        <v>6.2309512399999996</v>
      </c>
      <c r="K52" s="123">
        <f t="shared" si="5"/>
        <v>11.170951240000001</v>
      </c>
    </row>
    <row r="53" spans="1:11" ht="12" customHeight="1" x14ac:dyDescent="0.2">
      <c r="B53" s="119"/>
      <c r="C53" s="119"/>
      <c r="D53" s="119"/>
      <c r="E53" s="119"/>
      <c r="F53" s="122"/>
      <c r="G53" s="119"/>
      <c r="H53" s="119"/>
      <c r="I53" s="122"/>
      <c r="J53" s="122"/>
      <c r="K53" s="123"/>
    </row>
    <row r="54" spans="1:11" s="109" customFormat="1" ht="12" customHeight="1" x14ac:dyDescent="0.2">
      <c r="A54" s="126" t="s">
        <v>12</v>
      </c>
      <c r="B54" s="131">
        <f t="shared" ref="B54:J54" si="6">SUM(B45:B52)</f>
        <v>82.21307333</v>
      </c>
      <c r="C54" s="131">
        <f t="shared" si="6"/>
        <v>633.78</v>
      </c>
      <c r="D54" s="131">
        <f t="shared" si="6"/>
        <v>5003.7187561599994</v>
      </c>
      <c r="E54" s="131">
        <f t="shared" si="6"/>
        <v>1156.94</v>
      </c>
      <c r="F54" s="132">
        <f t="shared" si="6"/>
        <v>169.028065</v>
      </c>
      <c r="G54" s="131">
        <f t="shared" si="6"/>
        <v>2074.3500000000004</v>
      </c>
      <c r="H54" s="131">
        <f t="shared" si="6"/>
        <v>281.28100000000001</v>
      </c>
      <c r="I54" s="132">
        <f t="shared" si="6"/>
        <v>210.49173795925</v>
      </c>
      <c r="J54" s="132">
        <f t="shared" si="6"/>
        <v>1506.2178104</v>
      </c>
      <c r="K54" s="123">
        <f>SUM(B54:J54)</f>
        <v>11118.020442849251</v>
      </c>
    </row>
    <row r="55" spans="1:11" ht="12" customHeight="1" x14ac:dyDescent="0.2">
      <c r="B55" s="119"/>
      <c r="C55" s="119"/>
      <c r="D55" s="119"/>
      <c r="E55" s="119"/>
      <c r="F55" s="122"/>
      <c r="G55" s="119"/>
      <c r="H55" s="119"/>
      <c r="I55" s="122"/>
      <c r="J55" s="122"/>
      <c r="K55" s="123"/>
    </row>
    <row r="56" spans="1:11" ht="12" customHeight="1" x14ac:dyDescent="0.2">
      <c r="A56" s="109" t="s">
        <v>45</v>
      </c>
      <c r="B56" s="119"/>
      <c r="C56" s="119"/>
      <c r="D56" s="119"/>
      <c r="E56" s="119"/>
      <c r="F56" s="122"/>
      <c r="G56" s="119"/>
      <c r="H56" s="119"/>
      <c r="I56" s="122"/>
      <c r="J56" s="122"/>
      <c r="K56" s="123"/>
    </row>
    <row r="57" spans="1:11" ht="12" customHeight="1" x14ac:dyDescent="0.2">
      <c r="B57" s="119"/>
      <c r="C57" s="119"/>
      <c r="D57" s="119"/>
      <c r="E57" s="119"/>
      <c r="F57" s="122"/>
      <c r="G57" s="119"/>
      <c r="H57" s="119"/>
      <c r="I57" s="122"/>
      <c r="J57" s="122"/>
      <c r="K57" s="123"/>
    </row>
    <row r="58" spans="1:11" ht="12" customHeight="1" x14ac:dyDescent="0.2">
      <c r="A58" s="113" t="s">
        <v>46</v>
      </c>
      <c r="B58" s="119">
        <v>694.44503789999999</v>
      </c>
      <c r="C58" s="119">
        <v>1541.46</v>
      </c>
      <c r="D58" s="125">
        <v>558.44195355999989</v>
      </c>
      <c r="E58" s="119">
        <v>187.59</v>
      </c>
      <c r="F58" s="122">
        <f>1792.842411+503.511472</f>
        <v>2296.3538830000002</v>
      </c>
      <c r="G58" s="119">
        <v>2380.66</v>
      </c>
      <c r="H58" s="119">
        <v>3201.6729999999998</v>
      </c>
      <c r="I58" s="119">
        <v>1736.26863377</v>
      </c>
      <c r="J58" s="119">
        <v>2969.9108982799999</v>
      </c>
      <c r="K58" s="123">
        <f>SUM(B58:J58)</f>
        <v>15566.80340651</v>
      </c>
    </row>
    <row r="59" spans="1:11" ht="12" customHeight="1" x14ac:dyDescent="0.2">
      <c r="A59" s="113" t="s">
        <v>47</v>
      </c>
      <c r="B59" s="119">
        <v>106.44989052</v>
      </c>
      <c r="C59" s="119"/>
      <c r="D59" s="119"/>
      <c r="E59" s="119"/>
      <c r="F59" s="122">
        <v>115.613095</v>
      </c>
      <c r="G59" s="119">
        <v>206.16</v>
      </c>
      <c r="H59" s="119">
        <v>22.638999999999999</v>
      </c>
      <c r="I59" s="119">
        <v>126.76075706</v>
      </c>
      <c r="J59" s="119">
        <v>439.58471844000002</v>
      </c>
      <c r="K59" s="123">
        <f>SUM(B59:J59)</f>
        <v>1017.20746102</v>
      </c>
    </row>
    <row r="60" spans="1:11" ht="12" customHeight="1" x14ac:dyDescent="0.2">
      <c r="B60" s="119"/>
      <c r="C60" s="119"/>
      <c r="D60" s="119"/>
      <c r="E60" s="119"/>
      <c r="F60" s="122"/>
      <c r="G60" s="119"/>
      <c r="H60" s="119"/>
      <c r="I60" s="122"/>
      <c r="J60" s="122"/>
      <c r="K60" s="123"/>
    </row>
    <row r="61" spans="1:11" s="109" customFormat="1" ht="12" customHeight="1" x14ac:dyDescent="0.2">
      <c r="A61" s="109" t="s">
        <v>12</v>
      </c>
      <c r="B61" s="131">
        <f t="shared" ref="B61:J61" si="7">SUM(B58:B59)</f>
        <v>800.89492842000004</v>
      </c>
      <c r="C61" s="131">
        <f t="shared" si="7"/>
        <v>1541.46</v>
      </c>
      <c r="D61" s="131">
        <f t="shared" si="7"/>
        <v>558.44195355999989</v>
      </c>
      <c r="E61" s="131">
        <f t="shared" si="7"/>
        <v>187.59</v>
      </c>
      <c r="F61" s="132">
        <f t="shared" si="7"/>
        <v>2411.9669780000004</v>
      </c>
      <c r="G61" s="131">
        <f t="shared" si="7"/>
        <v>2586.8199999999997</v>
      </c>
      <c r="H61" s="131">
        <f t="shared" si="7"/>
        <v>3224.3119999999999</v>
      </c>
      <c r="I61" s="132">
        <f t="shared" si="7"/>
        <v>1863.02939083</v>
      </c>
      <c r="J61" s="132">
        <f t="shared" si="7"/>
        <v>3409.4956167199998</v>
      </c>
      <c r="K61" s="123">
        <f>SUM(B61:J61)</f>
        <v>16584.01086753</v>
      </c>
    </row>
    <row r="62" spans="1:11" ht="12" customHeight="1" x14ac:dyDescent="0.2">
      <c r="B62" s="119"/>
      <c r="C62" s="119"/>
      <c r="D62" s="119"/>
      <c r="E62" s="119"/>
      <c r="F62" s="122"/>
      <c r="G62" s="119"/>
      <c r="H62" s="119"/>
      <c r="I62" s="122"/>
      <c r="J62" s="122"/>
      <c r="K62" s="123"/>
    </row>
    <row r="63" spans="1:11" ht="12" customHeight="1" x14ac:dyDescent="0.2">
      <c r="A63" s="109" t="s">
        <v>53</v>
      </c>
      <c r="B63" s="119">
        <v>19.575052970000002</v>
      </c>
      <c r="C63" s="119">
        <v>44.45</v>
      </c>
      <c r="D63" s="119">
        <v>20.677663819999999</v>
      </c>
      <c r="E63" s="119">
        <v>5.84</v>
      </c>
      <c r="F63" s="122">
        <v>142.346935</v>
      </c>
      <c r="G63" s="119">
        <v>368.21</v>
      </c>
      <c r="H63" s="119">
        <v>185.38</v>
      </c>
      <c r="I63" s="119">
        <v>141.59246822</v>
      </c>
      <c r="J63" s="119">
        <v>256.50599999999997</v>
      </c>
      <c r="K63" s="123">
        <f>SUM(B63:J63)</f>
        <v>1184.57812001</v>
      </c>
    </row>
    <row r="64" spans="1:11" s="109" customFormat="1" ht="12" customHeight="1" x14ac:dyDescent="0.2">
      <c r="A64" s="126" t="s">
        <v>123</v>
      </c>
      <c r="B64" s="119"/>
      <c r="C64" s="119"/>
      <c r="D64" s="119"/>
      <c r="E64" s="140"/>
      <c r="F64" s="122"/>
      <c r="G64" s="119"/>
      <c r="H64" s="119"/>
      <c r="I64" s="122"/>
      <c r="J64" s="122"/>
      <c r="K64" s="123"/>
    </row>
    <row r="65" spans="1:11" s="109" customFormat="1" ht="12" customHeight="1" x14ac:dyDescent="0.2">
      <c r="A65" s="126" t="s">
        <v>210</v>
      </c>
      <c r="B65" s="119">
        <v>2.0421507399999999</v>
      </c>
      <c r="C65" s="119">
        <v>9.7899999999999991</v>
      </c>
      <c r="D65" s="119"/>
      <c r="E65" s="119"/>
      <c r="F65" s="122"/>
      <c r="G65" s="119">
        <v>57</v>
      </c>
      <c r="H65" s="119"/>
      <c r="I65" s="122"/>
      <c r="J65" s="122"/>
      <c r="K65" s="123">
        <f>SUM(B65:J65)</f>
        <v>68.832150740000003</v>
      </c>
    </row>
    <row r="66" spans="1:11" s="109" customFormat="1" ht="12" customHeight="1" x14ac:dyDescent="0.2">
      <c r="A66" s="126" t="s">
        <v>125</v>
      </c>
      <c r="B66" s="119"/>
      <c r="C66" s="119"/>
      <c r="D66" s="119"/>
      <c r="E66" s="119"/>
      <c r="F66" s="122"/>
      <c r="G66" s="150">
        <v>256.16000000000003</v>
      </c>
      <c r="H66" s="119"/>
      <c r="I66" s="122"/>
      <c r="J66" s="122">
        <v>83.194298919999994</v>
      </c>
      <c r="K66" s="123">
        <f>SUM(B66:J66)</f>
        <v>339.35429892000002</v>
      </c>
    </row>
    <row r="67" spans="1:11" ht="12" customHeight="1" x14ac:dyDescent="0.2">
      <c r="A67" s="126"/>
      <c r="C67" s="146"/>
    </row>
    <row r="68" spans="1:11" ht="12" customHeight="1" x14ac:dyDescent="0.2">
      <c r="A68" s="142"/>
      <c r="C68" s="147"/>
    </row>
    <row r="69" spans="1:11" ht="12" customHeight="1" x14ac:dyDescent="0.2">
      <c r="A69" s="142"/>
      <c r="C69" s="147"/>
    </row>
    <row r="70" spans="1:11" ht="12" customHeight="1" x14ac:dyDescent="0.2">
      <c r="A70" s="143" t="s">
        <v>214</v>
      </c>
      <c r="C70" s="147"/>
    </row>
    <row r="71" spans="1:11" ht="12" customHeight="1" x14ac:dyDescent="0.2">
      <c r="A71" s="143" t="s">
        <v>212</v>
      </c>
    </row>
    <row r="72" spans="1:11" ht="12" customHeight="1" x14ac:dyDescent="0.2">
      <c r="A72" s="143" t="s">
        <v>205</v>
      </c>
    </row>
    <row r="73" spans="1:11" ht="14.25" customHeight="1" x14ac:dyDescent="0.2">
      <c r="A73" s="143" t="s">
        <v>206</v>
      </c>
      <c r="B73" s="119"/>
    </row>
    <row r="74" spans="1:11" ht="14.25" customHeight="1" x14ac:dyDescent="0.2">
      <c r="A74" s="143" t="s">
        <v>216</v>
      </c>
      <c r="B74" s="119"/>
    </row>
    <row r="75" spans="1:11" ht="14.25" x14ac:dyDescent="0.2">
      <c r="A75" s="126" t="s">
        <v>207</v>
      </c>
    </row>
    <row r="76" spans="1:11" ht="14.25" x14ac:dyDescent="0.2">
      <c r="A76" s="143" t="s">
        <v>208</v>
      </c>
    </row>
    <row r="78" spans="1:11" x14ac:dyDescent="0.2">
      <c r="A78" s="148"/>
    </row>
  </sheetData>
  <printOptions horizontalCentered="1"/>
  <pageMargins left="0.28999999999999998" right="0.34" top="0.71" bottom="0.19685039370078741" header="0.45" footer="0.19"/>
  <pageSetup paperSize="9" scale="90" orientation="landscape" horizontalDpi="4294967292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4"/>
  <sheetViews>
    <sheetView workbookViewId="0"/>
  </sheetViews>
  <sheetFormatPr baseColWidth="10" defaultRowHeight="12.75" x14ac:dyDescent="0.2"/>
  <cols>
    <col min="1" max="1" width="38.28515625" style="1" customWidth="1"/>
    <col min="2" max="10" width="11.42578125" style="1"/>
    <col min="11" max="11" width="11.42578125" style="2"/>
    <col min="12" max="16384" width="11.42578125" style="1"/>
  </cols>
  <sheetData>
    <row r="1" spans="1:11" x14ac:dyDescent="0.2">
      <c r="A1" s="2" t="s">
        <v>39</v>
      </c>
    </row>
    <row r="2" spans="1:11" x14ac:dyDescent="0.2">
      <c r="A2" s="1" t="s">
        <v>40</v>
      </c>
    </row>
    <row r="4" spans="1:11" s="3" customFormat="1" x14ac:dyDescent="0.2">
      <c r="A4" s="5"/>
      <c r="B4" s="3" t="s">
        <v>41</v>
      </c>
      <c r="C4" s="3" t="s">
        <v>4</v>
      </c>
      <c r="D4" s="3" t="s">
        <v>5</v>
      </c>
      <c r="E4" s="3" t="s">
        <v>6</v>
      </c>
      <c r="F4" s="3" t="s">
        <v>7</v>
      </c>
      <c r="G4" s="3" t="s">
        <v>8</v>
      </c>
      <c r="H4" s="3" t="s">
        <v>9</v>
      </c>
      <c r="I4" s="3" t="s">
        <v>10</v>
      </c>
      <c r="J4" s="3" t="s">
        <v>11</v>
      </c>
      <c r="K4" s="4" t="s">
        <v>12</v>
      </c>
    </row>
    <row r="6" spans="1:11" ht="15.75" x14ac:dyDescent="0.25">
      <c r="A6" s="6" t="s">
        <v>42</v>
      </c>
    </row>
    <row r="8" spans="1:11" s="7" customFormat="1" x14ac:dyDescent="0.2">
      <c r="A8" s="2" t="s">
        <v>13</v>
      </c>
      <c r="K8" s="2">
        <f>SUM(B8:J8)</f>
        <v>0</v>
      </c>
    </row>
    <row r="9" spans="1:11" s="7" customFormat="1" x14ac:dyDescent="0.2">
      <c r="A9" s="2" t="s">
        <v>14</v>
      </c>
      <c r="K9" s="2">
        <f>SUM(B9:J9)</f>
        <v>0</v>
      </c>
    </row>
    <row r="11" spans="1:11" s="2" customFormat="1" x14ac:dyDescent="0.2">
      <c r="A11" s="7" t="s">
        <v>43</v>
      </c>
      <c r="B11" s="2">
        <f t="shared" ref="B11:J11" si="0">B8+B9</f>
        <v>0</v>
      </c>
      <c r="C11" s="2">
        <f t="shared" si="0"/>
        <v>0</v>
      </c>
      <c r="D11" s="2">
        <f t="shared" si="0"/>
        <v>0</v>
      </c>
      <c r="E11" s="2">
        <f t="shared" si="0"/>
        <v>0</v>
      </c>
      <c r="F11" s="2">
        <f t="shared" si="0"/>
        <v>0</v>
      </c>
      <c r="G11" s="2">
        <f t="shared" si="0"/>
        <v>0</v>
      </c>
      <c r="H11" s="2">
        <f t="shared" si="0"/>
        <v>0</v>
      </c>
      <c r="I11" s="2">
        <f t="shared" si="0"/>
        <v>0</v>
      </c>
      <c r="J11" s="2">
        <f t="shared" si="0"/>
        <v>0</v>
      </c>
      <c r="K11" s="2">
        <f>SUM(B11:J11)</f>
        <v>0</v>
      </c>
    </row>
    <row r="14" spans="1:11" ht="15.75" x14ac:dyDescent="0.25">
      <c r="A14" s="6" t="s">
        <v>44</v>
      </c>
    </row>
    <row r="16" spans="1:11" x14ac:dyDescent="0.2">
      <c r="A16" s="2" t="s">
        <v>45</v>
      </c>
      <c r="B16" s="3" t="s">
        <v>3</v>
      </c>
      <c r="C16" s="3" t="s">
        <v>4</v>
      </c>
      <c r="D16" s="3" t="s">
        <v>5</v>
      </c>
      <c r="E16" s="3" t="s">
        <v>6</v>
      </c>
      <c r="F16" s="3" t="s">
        <v>7</v>
      </c>
      <c r="G16" s="3" t="s">
        <v>8</v>
      </c>
      <c r="H16" s="3" t="s">
        <v>9</v>
      </c>
      <c r="I16" s="3" t="s">
        <v>10</v>
      </c>
      <c r="J16" s="3" t="s">
        <v>11</v>
      </c>
    </row>
    <row r="18" spans="1:11" x14ac:dyDescent="0.2">
      <c r="A18" s="1" t="s">
        <v>46</v>
      </c>
      <c r="B18" s="1">
        <v>10994.616922380001</v>
      </c>
      <c r="C18" s="1">
        <v>21105</v>
      </c>
      <c r="D18" s="1">
        <v>58114.041505159999</v>
      </c>
      <c r="E18" s="1">
        <v>40168.980000000003</v>
      </c>
      <c r="F18" s="1">
        <v>7491.8</v>
      </c>
      <c r="G18" s="1">
        <f>17668+24458</f>
        <v>42126</v>
      </c>
      <c r="H18" s="1">
        <f>13438.793+11555.509</f>
        <v>24994.302</v>
      </c>
      <c r="I18" s="1">
        <f>7876.42424586+7792.35395188</f>
        <v>15668.778197740001</v>
      </c>
      <c r="J18" s="1">
        <f>35779.51322225+245.60911738+10501.73798131+358.31258243</f>
        <v>46885.172903370003</v>
      </c>
      <c r="K18" s="2">
        <f>SUM(B18:J18)</f>
        <v>267548.69152865</v>
      </c>
    </row>
    <row r="19" spans="1:11" x14ac:dyDescent="0.2">
      <c r="A19" s="1" t="s">
        <v>47</v>
      </c>
      <c r="B19" s="1">
        <v>741.30353651999997</v>
      </c>
      <c r="C19" s="1">
        <v>0</v>
      </c>
      <c r="E19" s="1">
        <v>1333.32</v>
      </c>
      <c r="F19" s="1">
        <v>485.8</v>
      </c>
      <c r="G19" s="1">
        <f>168+564</f>
        <v>732</v>
      </c>
      <c r="H19" s="1">
        <f>191.305+733.71</f>
        <v>925.0150000000001</v>
      </c>
      <c r="I19" s="1">
        <f>58.38435699</f>
        <v>58.384356990000001</v>
      </c>
      <c r="K19" s="2">
        <f>SUM(B19:J19)</f>
        <v>4275.8228935100005</v>
      </c>
    </row>
    <row r="21" spans="1:11" x14ac:dyDescent="0.2">
      <c r="A21" s="7" t="s">
        <v>12</v>
      </c>
      <c r="B21" s="1">
        <f t="shared" ref="B21:J21" si="1">SUM(B18:B19)</f>
        <v>11735.9204589</v>
      </c>
      <c r="C21" s="1">
        <f t="shared" si="1"/>
        <v>21105</v>
      </c>
      <c r="D21" s="1">
        <f t="shared" si="1"/>
        <v>58114.041505159999</v>
      </c>
      <c r="E21" s="1">
        <f t="shared" si="1"/>
        <v>41502.300000000003</v>
      </c>
      <c r="F21" s="1">
        <f t="shared" si="1"/>
        <v>7977.6</v>
      </c>
      <c r="G21" s="1">
        <f t="shared" si="1"/>
        <v>42858</v>
      </c>
      <c r="H21" s="1">
        <f t="shared" si="1"/>
        <v>25919.316999999999</v>
      </c>
      <c r="I21" s="1">
        <f t="shared" si="1"/>
        <v>15727.162554730001</v>
      </c>
      <c r="J21" s="1">
        <f t="shared" si="1"/>
        <v>46885.172903370003</v>
      </c>
      <c r="K21" s="2">
        <f>SUM(B21:J21)</f>
        <v>271824.51442216005</v>
      </c>
    </row>
    <row r="23" spans="1:11" s="2" customFormat="1" x14ac:dyDescent="0.2">
      <c r="A23" s="2" t="s">
        <v>48</v>
      </c>
      <c r="B23" s="7"/>
      <c r="C23" s="7"/>
      <c r="D23" s="7"/>
      <c r="E23" s="7"/>
      <c r="F23" s="7"/>
      <c r="G23" s="7"/>
      <c r="H23" s="7"/>
      <c r="I23" s="7"/>
      <c r="J23" s="7"/>
      <c r="K23" s="2">
        <f>SUM(B23:J23)</f>
        <v>0</v>
      </c>
    </row>
    <row r="25" spans="1:11" x14ac:dyDescent="0.2">
      <c r="A25" s="2" t="s">
        <v>49</v>
      </c>
    </row>
    <row r="27" spans="1:11" x14ac:dyDescent="0.2">
      <c r="A27" s="1" t="s">
        <v>50</v>
      </c>
      <c r="K27" s="2">
        <f>SUM(B27:J27)</f>
        <v>0</v>
      </c>
    </row>
    <row r="28" spans="1:11" x14ac:dyDescent="0.2">
      <c r="A28" s="1" t="s">
        <v>51</v>
      </c>
      <c r="B28" s="3"/>
      <c r="C28" s="3"/>
      <c r="D28" s="3"/>
      <c r="E28" s="3"/>
      <c r="F28" s="3"/>
      <c r="G28" s="3"/>
      <c r="H28" s="3"/>
      <c r="I28" s="3"/>
      <c r="J28" s="3"/>
      <c r="K28" s="2">
        <f>SUM(B28:J28)</f>
        <v>0</v>
      </c>
    </row>
    <row r="29" spans="1:11" x14ac:dyDescent="0.2">
      <c r="A29" s="1" t="s">
        <v>52</v>
      </c>
      <c r="K29" s="2">
        <f>SUM(B29:J29)</f>
        <v>0</v>
      </c>
    </row>
    <row r="30" spans="1:11" x14ac:dyDescent="0.2">
      <c r="A30" s="1" t="s">
        <v>53</v>
      </c>
      <c r="K30" s="2">
        <f>SUM(B30:J30)</f>
        <v>0</v>
      </c>
    </row>
    <row r="31" spans="1:11" s="2" customFormat="1" x14ac:dyDescent="0.2">
      <c r="A31" s="2" t="s">
        <v>12</v>
      </c>
      <c r="K31" s="2">
        <f>SUM(B31:J31)</f>
        <v>0</v>
      </c>
    </row>
    <row r="33" spans="1:11" s="2" customFormat="1" x14ac:dyDescent="0.2">
      <c r="A33" s="2" t="s">
        <v>42</v>
      </c>
      <c r="B33" s="2">
        <f t="shared" ref="B33:J33" si="2">B11</f>
        <v>0</v>
      </c>
      <c r="C33" s="2">
        <f t="shared" si="2"/>
        <v>0</v>
      </c>
      <c r="D33" s="2">
        <f t="shared" si="2"/>
        <v>0</v>
      </c>
      <c r="E33" s="2">
        <f t="shared" si="2"/>
        <v>0</v>
      </c>
      <c r="F33" s="2">
        <f t="shared" si="2"/>
        <v>0</v>
      </c>
      <c r="G33" s="2">
        <f t="shared" si="2"/>
        <v>0</v>
      </c>
      <c r="H33" s="2">
        <f t="shared" si="2"/>
        <v>0</v>
      </c>
      <c r="I33" s="2">
        <f t="shared" si="2"/>
        <v>0</v>
      </c>
      <c r="J33" s="2">
        <f t="shared" si="2"/>
        <v>0</v>
      </c>
      <c r="K33" s="2">
        <f>SUM(B33:J33)</f>
        <v>0</v>
      </c>
    </row>
    <row r="34" spans="1:11" x14ac:dyDescent="0.2">
      <c r="A34"/>
    </row>
    <row r="36" spans="1:11" s="2" customFormat="1" x14ac:dyDescent="0.2">
      <c r="A36" s="7" t="s">
        <v>54</v>
      </c>
      <c r="B36" s="2">
        <f t="shared" ref="B36:J36" si="3">SUM(B27:B30)-B33</f>
        <v>0</v>
      </c>
      <c r="C36" s="2">
        <f t="shared" si="3"/>
        <v>0</v>
      </c>
      <c r="D36" s="2">
        <f t="shared" si="3"/>
        <v>0</v>
      </c>
      <c r="E36" s="2">
        <f t="shared" si="3"/>
        <v>0</v>
      </c>
      <c r="F36" s="2">
        <f t="shared" si="3"/>
        <v>0</v>
      </c>
      <c r="G36" s="2">
        <f t="shared" si="3"/>
        <v>0</v>
      </c>
      <c r="H36" s="2">
        <f t="shared" si="3"/>
        <v>0</v>
      </c>
      <c r="I36" s="2">
        <f t="shared" si="3"/>
        <v>0</v>
      </c>
      <c r="J36" s="2">
        <f t="shared" si="3"/>
        <v>0</v>
      </c>
      <c r="K36" s="2">
        <f>SUM(B36:J36)</f>
        <v>0</v>
      </c>
    </row>
    <row r="37" spans="1:11" s="2" customFormat="1" x14ac:dyDescent="0.2">
      <c r="A37" s="7"/>
    </row>
    <row r="41" spans="1:11" x14ac:dyDescent="0.2">
      <c r="A41" s="1" t="s">
        <v>55</v>
      </c>
    </row>
    <row r="43" spans="1:11" x14ac:dyDescent="0.2">
      <c r="A43" s="1" t="s">
        <v>56</v>
      </c>
      <c r="K43" s="2">
        <f>SUM(B43:J43)</f>
        <v>0</v>
      </c>
    </row>
    <row r="44" spans="1:11" x14ac:dyDescent="0.2">
      <c r="A44" s="1" t="s">
        <v>57</v>
      </c>
      <c r="K44" s="1">
        <f>SUM(B44:J44)</f>
        <v>0</v>
      </c>
    </row>
  </sheetData>
  <phoneticPr fontId="0" type="noConversion"/>
  <printOptions horizontalCentered="1"/>
  <pageMargins left="0.39370078740157483" right="0.39370078740157483" top="0.39370078740157483" bottom="0.39370078740157483" header="0.51181102362204722" footer="0.51181102362204722"/>
  <pageSetup paperSize="9" scale="90" orientation="landscape" horizontalDpi="4294967292" verticalDpi="300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U76"/>
  <sheetViews>
    <sheetView zoomScaleNormal="100" workbookViewId="0">
      <pane xSplit="1" ySplit="4" topLeftCell="B5" activePane="bottomRight" state="frozenSplit"/>
      <selection activeCell="B5" sqref="B5"/>
      <selection pane="topRight" activeCell="B5" sqref="B5"/>
      <selection pane="bottomLeft" activeCell="B5" sqref="B5"/>
      <selection pane="bottomRight" activeCell="B5" sqref="B5"/>
    </sheetView>
  </sheetViews>
  <sheetFormatPr baseColWidth="10" defaultRowHeight="12.75" x14ac:dyDescent="0.2"/>
  <cols>
    <col min="1" max="1" width="41.28515625" style="114" customWidth="1"/>
    <col min="2" max="5" width="11.5703125" style="110" customWidth="1"/>
    <col min="6" max="10" width="11.5703125" style="111" customWidth="1"/>
    <col min="11" max="11" width="11.5703125" style="136" customWidth="1"/>
    <col min="12" max="16384" width="11.42578125" style="114"/>
  </cols>
  <sheetData>
    <row r="1" spans="1:11" x14ac:dyDescent="0.2">
      <c r="A1" s="140" t="s">
        <v>219</v>
      </c>
    </row>
    <row r="2" spans="1:11" x14ac:dyDescent="0.2">
      <c r="A2" s="114" t="s">
        <v>220</v>
      </c>
    </row>
    <row r="4" spans="1:11" s="110" customFormat="1" x14ac:dyDescent="0.2">
      <c r="A4" s="152"/>
      <c r="B4" s="110" t="s">
        <v>3</v>
      </c>
      <c r="C4" s="110" t="s">
        <v>4</v>
      </c>
      <c r="D4" s="110" t="s">
        <v>5</v>
      </c>
      <c r="E4" s="110" t="s">
        <v>6</v>
      </c>
      <c r="F4" s="116" t="s">
        <v>7</v>
      </c>
      <c r="G4" s="116" t="s">
        <v>8</v>
      </c>
      <c r="H4" s="116" t="s">
        <v>9</v>
      </c>
      <c r="I4" s="116" t="s">
        <v>198</v>
      </c>
      <c r="J4" s="116" t="s">
        <v>11</v>
      </c>
      <c r="K4" s="136" t="s">
        <v>12</v>
      </c>
    </row>
    <row r="5" spans="1:11" x14ac:dyDescent="0.2">
      <c r="C5" s="118"/>
      <c r="D5" s="119"/>
      <c r="E5" s="118"/>
      <c r="F5" s="120"/>
      <c r="G5" s="118"/>
      <c r="H5" s="118"/>
      <c r="I5" s="118"/>
      <c r="J5" s="118"/>
    </row>
    <row r="6" spans="1:11" ht="15.75" x14ac:dyDescent="0.25">
      <c r="A6" s="153" t="s">
        <v>42</v>
      </c>
      <c r="D6" s="119"/>
    </row>
    <row r="7" spans="1:11" x14ac:dyDescent="0.2">
      <c r="B7" s="119"/>
      <c r="C7" s="119"/>
      <c r="D7" s="119"/>
      <c r="E7" s="119"/>
      <c r="G7" s="119"/>
      <c r="H7" s="119"/>
      <c r="I7" s="119"/>
      <c r="J7" s="119"/>
      <c r="K7" s="119"/>
    </row>
    <row r="8" spans="1:11" x14ac:dyDescent="0.2">
      <c r="A8" s="140" t="s">
        <v>13</v>
      </c>
      <c r="B8" s="119"/>
      <c r="C8" s="119"/>
      <c r="D8" s="119"/>
      <c r="E8" s="119"/>
      <c r="G8" s="119"/>
      <c r="H8" s="119"/>
      <c r="I8" s="119"/>
      <c r="J8" s="119"/>
      <c r="K8" s="119"/>
    </row>
    <row r="9" spans="1:11" x14ac:dyDescent="0.2">
      <c r="B9" s="119"/>
      <c r="C9" s="119"/>
      <c r="D9" s="119"/>
      <c r="E9" s="119"/>
      <c r="G9" s="119"/>
      <c r="H9" s="119"/>
      <c r="I9" s="119"/>
      <c r="J9" s="119"/>
      <c r="K9" s="119"/>
    </row>
    <row r="10" spans="1:11" x14ac:dyDescent="0.2">
      <c r="A10" s="114" t="s">
        <v>72</v>
      </c>
      <c r="B10" s="119">
        <v>54.851891000000002</v>
      </c>
      <c r="C10" s="119">
        <v>32.909999999999997</v>
      </c>
      <c r="D10" s="119">
        <v>116.38758881999999</v>
      </c>
      <c r="E10" s="119">
        <v>138.4</v>
      </c>
      <c r="F10" s="119">
        <v>211.03123299999999</v>
      </c>
      <c r="G10" s="119">
        <v>2.1800000000000002</v>
      </c>
      <c r="H10" s="119">
        <v>140.52699999999999</v>
      </c>
      <c r="I10" s="119">
        <v>79.266413440000008</v>
      </c>
      <c r="J10" s="154">
        <v>278.97699999999998</v>
      </c>
      <c r="K10" s="131">
        <f t="shared" ref="K10:K16" si="0">SUM(B10:J10)</f>
        <v>1054.5311262599998</v>
      </c>
    </row>
    <row r="11" spans="1:11" x14ac:dyDescent="0.2">
      <c r="A11" s="114" t="s">
        <v>67</v>
      </c>
      <c r="B11" s="119">
        <v>0.11295797</v>
      </c>
      <c r="C11" s="119">
        <v>0.02</v>
      </c>
      <c r="D11" s="119">
        <v>0</v>
      </c>
      <c r="E11" s="119"/>
      <c r="F11" s="119"/>
      <c r="G11" s="119"/>
      <c r="H11" s="119"/>
      <c r="I11" s="119"/>
      <c r="J11" s="119">
        <v>16.146999999999998</v>
      </c>
      <c r="K11" s="131">
        <f t="shared" si="0"/>
        <v>16.279957969999998</v>
      </c>
    </row>
    <row r="12" spans="1:11" x14ac:dyDescent="0.2">
      <c r="A12" s="114" t="s">
        <v>104</v>
      </c>
      <c r="B12" s="119"/>
      <c r="C12" s="119">
        <v>20.25</v>
      </c>
      <c r="D12" s="119">
        <v>47.8594534</v>
      </c>
      <c r="E12" s="119">
        <v>19.39</v>
      </c>
      <c r="F12" s="119">
        <v>20.463626000000001</v>
      </c>
      <c r="G12" s="119">
        <v>159.65</v>
      </c>
      <c r="H12" s="119"/>
      <c r="I12" s="119">
        <v>2.2147123099999999</v>
      </c>
      <c r="J12" s="119"/>
      <c r="K12" s="131">
        <f t="shared" si="0"/>
        <v>269.82779170999999</v>
      </c>
    </row>
    <row r="13" spans="1:11" x14ac:dyDescent="0.2">
      <c r="A13" s="114" t="s">
        <v>109</v>
      </c>
      <c r="B13" s="119">
        <v>2.4984920000000002</v>
      </c>
      <c r="C13" s="119">
        <v>10.65</v>
      </c>
      <c r="D13" s="119">
        <v>116.45781917000001</v>
      </c>
      <c r="E13" s="119">
        <v>1.8</v>
      </c>
      <c r="F13" s="119">
        <v>0.33916200000000002</v>
      </c>
      <c r="G13" s="119">
        <v>2.78</v>
      </c>
      <c r="H13" s="119">
        <v>25.702000000000002</v>
      </c>
      <c r="I13" s="119"/>
      <c r="J13" s="119">
        <v>7.3209999999999997</v>
      </c>
      <c r="K13" s="131">
        <f t="shared" si="0"/>
        <v>167.54847316999999</v>
      </c>
    </row>
    <row r="14" spans="1:11" x14ac:dyDescent="0.2">
      <c r="A14" s="147" t="s">
        <v>69</v>
      </c>
      <c r="B14" s="119">
        <v>1.332724</v>
      </c>
      <c r="C14" s="119"/>
      <c r="D14" s="110">
        <v>0.27957692000000001</v>
      </c>
      <c r="E14" s="119">
        <v>7.3</v>
      </c>
      <c r="F14" s="119"/>
      <c r="G14" s="119">
        <v>8.26</v>
      </c>
      <c r="H14" s="119">
        <v>15.314</v>
      </c>
      <c r="I14" s="119">
        <v>4.0473320600000005</v>
      </c>
      <c r="J14" s="119">
        <v>16.565999999999999</v>
      </c>
      <c r="K14" s="131">
        <f t="shared" si="0"/>
        <v>53.099632979999996</v>
      </c>
    </row>
    <row r="15" spans="1:11" x14ac:dyDescent="0.2">
      <c r="A15" s="114" t="s">
        <v>70</v>
      </c>
      <c r="B15" s="119"/>
      <c r="C15" s="119"/>
      <c r="D15" s="119">
        <v>0</v>
      </c>
      <c r="E15" s="119"/>
      <c r="F15" s="119"/>
      <c r="G15" s="119"/>
      <c r="H15" s="119"/>
      <c r="I15" s="119"/>
      <c r="J15" s="119"/>
      <c r="K15" s="131">
        <f t="shared" si="0"/>
        <v>0</v>
      </c>
    </row>
    <row r="16" spans="1:11" x14ac:dyDescent="0.2">
      <c r="A16" s="114" t="s">
        <v>71</v>
      </c>
      <c r="B16" s="119"/>
      <c r="C16" s="119"/>
      <c r="D16" s="119">
        <v>46.305853810000002</v>
      </c>
      <c r="E16" s="119">
        <v>36.5</v>
      </c>
      <c r="F16" s="125">
        <v>10.222905000000001</v>
      </c>
      <c r="G16" s="119"/>
      <c r="H16" s="119">
        <v>10.645</v>
      </c>
      <c r="I16" s="119">
        <v>26.730268179999999</v>
      </c>
      <c r="J16" s="119">
        <v>27.488</v>
      </c>
      <c r="K16" s="131">
        <f t="shared" si="0"/>
        <v>157.89202699000001</v>
      </c>
    </row>
    <row r="17" spans="1:11" x14ac:dyDescent="0.2">
      <c r="B17" s="119"/>
      <c r="C17" s="119"/>
      <c r="D17" s="119"/>
      <c r="E17" s="119"/>
      <c r="F17" s="122"/>
      <c r="G17" s="122"/>
      <c r="H17" s="122"/>
      <c r="I17" s="122"/>
      <c r="J17" s="122"/>
      <c r="K17" s="131"/>
    </row>
    <row r="18" spans="1:11" s="155" customFormat="1" x14ac:dyDescent="0.2">
      <c r="A18" s="155" t="s">
        <v>12</v>
      </c>
      <c r="B18" s="127">
        <f>SUM(B10:B16)</f>
        <v>58.796064969999996</v>
      </c>
      <c r="C18" s="127">
        <f t="shared" ref="C18:J18" si="1">SUM(C10:C16)</f>
        <v>63.83</v>
      </c>
      <c r="D18" s="127">
        <f t="shared" si="1"/>
        <v>327.29029212</v>
      </c>
      <c r="E18" s="127">
        <f t="shared" si="1"/>
        <v>203.39000000000004</v>
      </c>
      <c r="F18" s="128">
        <f t="shared" si="1"/>
        <v>242.05692599999998</v>
      </c>
      <c r="G18" s="127">
        <f t="shared" si="1"/>
        <v>172.87</v>
      </c>
      <c r="H18" s="127">
        <f t="shared" si="1"/>
        <v>192.18799999999999</v>
      </c>
      <c r="I18" s="127">
        <f t="shared" si="1"/>
        <v>112.25872599</v>
      </c>
      <c r="J18" s="128">
        <f t="shared" si="1"/>
        <v>346.49899999999997</v>
      </c>
      <c r="K18" s="131">
        <f>SUM(B18:J18)</f>
        <v>1719.17900908</v>
      </c>
    </row>
    <row r="19" spans="1:11" x14ac:dyDescent="0.2">
      <c r="B19" s="119"/>
      <c r="C19" s="119"/>
      <c r="D19" s="119"/>
      <c r="E19" s="119"/>
      <c r="F19" s="122"/>
      <c r="G19" s="122"/>
      <c r="H19" s="122"/>
      <c r="I19" s="122"/>
      <c r="J19" s="122"/>
      <c r="K19" s="131"/>
    </row>
    <row r="20" spans="1:11" x14ac:dyDescent="0.2">
      <c r="B20" s="119"/>
      <c r="C20" s="119"/>
      <c r="D20" s="119"/>
      <c r="E20" s="119"/>
      <c r="F20" s="122"/>
      <c r="G20" s="122"/>
      <c r="H20" s="122"/>
      <c r="I20" s="122"/>
      <c r="J20" s="122"/>
      <c r="K20" s="131"/>
    </row>
    <row r="21" spans="1:11" x14ac:dyDescent="0.2">
      <c r="A21" s="140" t="s">
        <v>14</v>
      </c>
      <c r="B21" s="119"/>
      <c r="C21" s="119"/>
      <c r="D21" s="119"/>
      <c r="E21" s="119"/>
      <c r="F21" s="122"/>
      <c r="G21" s="122"/>
      <c r="H21" s="122"/>
      <c r="I21" s="122"/>
      <c r="J21" s="122"/>
      <c r="K21" s="131"/>
    </row>
    <row r="22" spans="1:11" x14ac:dyDescent="0.2">
      <c r="B22" s="119"/>
      <c r="C22" s="119"/>
      <c r="D22" s="119"/>
      <c r="E22" s="119"/>
      <c r="F22" s="122"/>
      <c r="G22" s="122"/>
      <c r="H22" s="122"/>
      <c r="I22" s="122"/>
      <c r="J22" s="122"/>
      <c r="K22" s="131"/>
    </row>
    <row r="23" spans="1:11" x14ac:dyDescent="0.2">
      <c r="A23" s="114" t="s">
        <v>72</v>
      </c>
      <c r="B23" s="119">
        <v>8.7866140000000001</v>
      </c>
      <c r="C23" s="119"/>
      <c r="D23" s="119">
        <v>9.2723091199999992</v>
      </c>
      <c r="E23" s="119"/>
      <c r="F23" s="119">
        <v>27.310859000000001</v>
      </c>
      <c r="G23" s="119">
        <v>24.75</v>
      </c>
      <c r="H23" s="119"/>
      <c r="I23" s="119">
        <v>38.521026689999999</v>
      </c>
      <c r="J23" s="119">
        <v>61.424999999999997</v>
      </c>
      <c r="K23" s="131">
        <f t="shared" ref="K23:K28" si="2">SUM(B23:J23)</f>
        <v>170.06580880999999</v>
      </c>
    </row>
    <row r="24" spans="1:11" x14ac:dyDescent="0.2">
      <c r="A24" s="114" t="s">
        <v>104</v>
      </c>
      <c r="B24" s="119"/>
      <c r="C24" s="119"/>
      <c r="D24" s="119">
        <v>5.0879759</v>
      </c>
      <c r="E24" s="119"/>
      <c r="F24" s="122"/>
      <c r="G24" s="122">
        <v>5.88</v>
      </c>
      <c r="H24" s="122"/>
      <c r="I24" s="122"/>
      <c r="J24" s="122"/>
      <c r="K24" s="131">
        <f t="shared" si="2"/>
        <v>10.967975899999999</v>
      </c>
    </row>
    <row r="25" spans="1:11" x14ac:dyDescent="0.2">
      <c r="A25" s="114" t="s">
        <v>109</v>
      </c>
      <c r="B25" s="119"/>
      <c r="C25" s="119"/>
      <c r="D25" s="119">
        <v>108.27288541</v>
      </c>
      <c r="E25" s="119">
        <v>65.53</v>
      </c>
      <c r="F25" s="119">
        <v>1.0279700000000001</v>
      </c>
      <c r="G25" s="119">
        <v>48.9</v>
      </c>
      <c r="H25" s="119">
        <v>15.645</v>
      </c>
      <c r="I25" s="119">
        <v>8.0909776200000003</v>
      </c>
      <c r="J25" s="119">
        <v>98.564999999999998</v>
      </c>
      <c r="K25" s="131">
        <f t="shared" si="2"/>
        <v>346.03183303000003</v>
      </c>
    </row>
    <row r="26" spans="1:11" x14ac:dyDescent="0.2">
      <c r="A26" s="147" t="s">
        <v>69</v>
      </c>
      <c r="B26" s="119">
        <v>1.9990859999999999</v>
      </c>
      <c r="C26" s="119">
        <v>31.83</v>
      </c>
      <c r="D26" s="119">
        <v>11.369738640000001</v>
      </c>
      <c r="E26" s="119">
        <v>4.9000000000000004</v>
      </c>
      <c r="F26" s="119"/>
      <c r="G26" s="119">
        <v>5.39</v>
      </c>
      <c r="H26" s="119">
        <v>25.625</v>
      </c>
      <c r="I26" s="119">
        <v>8.8454242599999997</v>
      </c>
      <c r="J26" s="119">
        <v>51.997</v>
      </c>
      <c r="K26" s="131">
        <f t="shared" si="2"/>
        <v>141.95624889999999</v>
      </c>
    </row>
    <row r="27" spans="1:11" x14ac:dyDescent="0.2">
      <c r="A27" s="114" t="s">
        <v>70</v>
      </c>
      <c r="B27" s="119"/>
      <c r="C27" s="119"/>
      <c r="D27" s="119">
        <v>0</v>
      </c>
      <c r="E27" s="119"/>
      <c r="F27" s="122"/>
      <c r="G27" s="122"/>
      <c r="H27" s="122"/>
      <c r="I27" s="122"/>
      <c r="J27" s="122"/>
      <c r="K27" s="131">
        <f t="shared" si="2"/>
        <v>0</v>
      </c>
    </row>
    <row r="28" spans="1:11" x14ac:dyDescent="0.2">
      <c r="A28" s="114" t="s">
        <v>71</v>
      </c>
      <c r="B28" s="119"/>
      <c r="C28" s="119"/>
      <c r="D28" s="119">
        <v>8.8199148100000002</v>
      </c>
      <c r="E28" s="119"/>
      <c r="F28" s="122"/>
      <c r="G28" s="122"/>
      <c r="H28" s="122"/>
      <c r="I28" s="122"/>
      <c r="J28" s="122">
        <v>4.2720000000000002</v>
      </c>
      <c r="K28" s="131">
        <f t="shared" si="2"/>
        <v>13.09191481</v>
      </c>
    </row>
    <row r="29" spans="1:11" x14ac:dyDescent="0.2">
      <c r="B29" s="119"/>
      <c r="C29" s="119"/>
      <c r="D29" s="119"/>
      <c r="E29" s="119"/>
      <c r="F29" s="122"/>
      <c r="G29" s="122"/>
      <c r="H29" s="122"/>
      <c r="I29" s="122"/>
      <c r="J29" s="122"/>
      <c r="K29" s="131"/>
    </row>
    <row r="30" spans="1:11" s="155" customFormat="1" x14ac:dyDescent="0.2">
      <c r="A30" s="155" t="s">
        <v>12</v>
      </c>
      <c r="B30" s="119">
        <f t="shared" ref="B30:J30" si="3">SUM(B23:B28)</f>
        <v>10.7857</v>
      </c>
      <c r="C30" s="127">
        <f t="shared" si="3"/>
        <v>31.83</v>
      </c>
      <c r="D30" s="127">
        <f t="shared" si="3"/>
        <v>142.82282388000002</v>
      </c>
      <c r="E30" s="127">
        <f t="shared" si="3"/>
        <v>70.430000000000007</v>
      </c>
      <c r="F30" s="128">
        <f t="shared" si="3"/>
        <v>28.338829</v>
      </c>
      <c r="G30" s="128">
        <f t="shared" si="3"/>
        <v>84.92</v>
      </c>
      <c r="H30" s="128">
        <f t="shared" si="3"/>
        <v>41.269999999999996</v>
      </c>
      <c r="I30" s="128">
        <f t="shared" si="3"/>
        <v>55.457428570000005</v>
      </c>
      <c r="J30" s="128">
        <f t="shared" si="3"/>
        <v>216.25900000000001</v>
      </c>
      <c r="K30" s="131">
        <f>SUM(B30:J30)</f>
        <v>682.11378145000003</v>
      </c>
    </row>
    <row r="31" spans="1:11" s="155" customFormat="1" x14ac:dyDescent="0.2">
      <c r="B31" s="119"/>
      <c r="C31" s="127"/>
      <c r="D31" s="127"/>
      <c r="E31" s="127"/>
      <c r="F31" s="128"/>
      <c r="G31" s="128"/>
      <c r="H31" s="128"/>
      <c r="I31" s="128"/>
      <c r="J31" s="128"/>
      <c r="K31" s="127"/>
    </row>
    <row r="32" spans="1:11" s="140" customFormat="1" x14ac:dyDescent="0.2">
      <c r="A32" s="140" t="s">
        <v>43</v>
      </c>
      <c r="B32" s="131">
        <f t="shared" ref="B32:J32" si="4">B18+B30</f>
        <v>69.581764969999995</v>
      </c>
      <c r="C32" s="131">
        <f t="shared" si="4"/>
        <v>95.66</v>
      </c>
      <c r="D32" s="131">
        <f t="shared" si="4"/>
        <v>470.11311599999999</v>
      </c>
      <c r="E32" s="131">
        <f t="shared" si="4"/>
        <v>273.82000000000005</v>
      </c>
      <c r="F32" s="132">
        <f t="shared" si="4"/>
        <v>270.39575499999995</v>
      </c>
      <c r="G32" s="132">
        <f t="shared" si="4"/>
        <v>257.79000000000002</v>
      </c>
      <c r="H32" s="132">
        <f t="shared" si="4"/>
        <v>233.45799999999997</v>
      </c>
      <c r="I32" s="132">
        <f t="shared" si="4"/>
        <v>167.71615456000001</v>
      </c>
      <c r="J32" s="132">
        <f t="shared" si="4"/>
        <v>562.75800000000004</v>
      </c>
      <c r="K32" s="131">
        <f>SUM(B32:J32)</f>
        <v>2401.2927905299998</v>
      </c>
    </row>
    <row r="33" spans="1:255" s="140" customFormat="1" x14ac:dyDescent="0.2">
      <c r="B33" s="131"/>
      <c r="C33" s="131"/>
      <c r="D33" s="131"/>
      <c r="E33" s="131"/>
      <c r="F33" s="132"/>
      <c r="G33" s="132"/>
      <c r="H33" s="132"/>
      <c r="I33" s="132"/>
      <c r="J33" s="132"/>
      <c r="K33" s="131"/>
    </row>
    <row r="34" spans="1:255" s="155" customFormat="1" ht="14.25" x14ac:dyDescent="0.2">
      <c r="A34" s="140" t="s">
        <v>199</v>
      </c>
      <c r="B34" s="119">
        <v>0.67366000000000004</v>
      </c>
      <c r="C34" s="127">
        <v>27.7</v>
      </c>
      <c r="D34" s="127"/>
      <c r="E34" s="127">
        <v>35.700000000000003</v>
      </c>
      <c r="F34" s="128">
        <v>1.6108629999999999</v>
      </c>
      <c r="G34" s="128">
        <v>46.61</v>
      </c>
      <c r="H34" s="128">
        <v>21.277000000000001</v>
      </c>
      <c r="I34" s="128"/>
      <c r="J34" s="128"/>
      <c r="K34" s="131">
        <f>SUM(B34:J34)</f>
        <v>133.57152300000001</v>
      </c>
    </row>
    <row r="35" spans="1:255" x14ac:dyDescent="0.2">
      <c r="B35" s="119"/>
      <c r="C35" s="119"/>
      <c r="D35" s="119"/>
      <c r="E35" s="119"/>
      <c r="F35" s="122"/>
      <c r="G35" s="122"/>
      <c r="H35" s="122"/>
      <c r="I35" s="122"/>
      <c r="J35" s="122"/>
      <c r="K35" s="119"/>
      <c r="L35" s="119"/>
      <c r="M35" s="119"/>
      <c r="N35" s="119"/>
      <c r="O35" s="119"/>
      <c r="P35" s="119"/>
      <c r="Q35" s="119"/>
      <c r="R35" s="119"/>
      <c r="S35" s="119"/>
      <c r="T35" s="119"/>
      <c r="U35" s="119"/>
      <c r="V35" s="119"/>
      <c r="W35" s="119"/>
      <c r="X35" s="119"/>
      <c r="Y35" s="119"/>
      <c r="Z35" s="119"/>
      <c r="AA35" s="119"/>
      <c r="AB35" s="119"/>
      <c r="AC35" s="119"/>
      <c r="AD35" s="119"/>
      <c r="AE35" s="119"/>
      <c r="AF35" s="119"/>
      <c r="AG35" s="119"/>
      <c r="AH35" s="119"/>
      <c r="AI35" s="119"/>
      <c r="AJ35" s="119"/>
      <c r="AK35" s="119"/>
      <c r="AL35" s="119"/>
      <c r="AM35" s="119"/>
      <c r="AN35" s="119"/>
      <c r="AO35" s="119"/>
      <c r="AP35" s="119"/>
      <c r="AQ35" s="119"/>
      <c r="AR35" s="119"/>
      <c r="AS35" s="119"/>
      <c r="AT35" s="119"/>
      <c r="AU35" s="119"/>
      <c r="AV35" s="119"/>
      <c r="AW35" s="119"/>
      <c r="AX35" s="119"/>
      <c r="AY35" s="119"/>
      <c r="AZ35" s="119"/>
      <c r="BA35" s="119"/>
      <c r="BB35" s="119"/>
      <c r="BC35" s="119"/>
      <c r="BD35" s="119"/>
      <c r="BE35" s="119"/>
      <c r="BF35" s="119"/>
      <c r="BG35" s="119"/>
      <c r="BH35" s="119"/>
      <c r="BI35" s="119"/>
      <c r="BJ35" s="119"/>
      <c r="BK35" s="119"/>
      <c r="BL35" s="119"/>
      <c r="BM35" s="119"/>
      <c r="BN35" s="119"/>
      <c r="BO35" s="119"/>
      <c r="BP35" s="119"/>
      <c r="BQ35" s="119"/>
      <c r="BR35" s="119"/>
      <c r="BS35" s="119"/>
      <c r="BT35" s="119"/>
      <c r="BU35" s="119"/>
      <c r="BV35" s="119"/>
      <c r="BW35" s="119"/>
      <c r="BX35" s="119"/>
      <c r="BY35" s="119"/>
      <c r="BZ35" s="119"/>
      <c r="CA35" s="119"/>
      <c r="CB35" s="119"/>
      <c r="CC35" s="119"/>
      <c r="CD35" s="119"/>
      <c r="CE35" s="119"/>
      <c r="CF35" s="119"/>
      <c r="CG35" s="119"/>
      <c r="CH35" s="119"/>
      <c r="CI35" s="119"/>
      <c r="CJ35" s="119"/>
      <c r="CK35" s="119"/>
      <c r="CL35" s="119"/>
      <c r="CM35" s="119"/>
      <c r="CN35" s="119"/>
      <c r="CO35" s="119"/>
      <c r="CP35" s="119"/>
      <c r="CQ35" s="119"/>
      <c r="CR35" s="119"/>
      <c r="CS35" s="119"/>
      <c r="CT35" s="119"/>
      <c r="CU35" s="119"/>
      <c r="CV35" s="119"/>
      <c r="CW35" s="119"/>
      <c r="CX35" s="119"/>
      <c r="CY35" s="119"/>
      <c r="CZ35" s="119"/>
      <c r="DA35" s="119"/>
      <c r="DB35" s="119"/>
      <c r="DC35" s="119"/>
      <c r="DD35" s="119"/>
      <c r="DE35" s="119"/>
      <c r="DF35" s="119"/>
      <c r="DG35" s="119"/>
      <c r="DH35" s="119"/>
      <c r="DI35" s="119"/>
      <c r="DJ35" s="119"/>
      <c r="DK35" s="119"/>
      <c r="DL35" s="119"/>
      <c r="DM35" s="119"/>
      <c r="DN35" s="119"/>
      <c r="DO35" s="119"/>
      <c r="DP35" s="119"/>
      <c r="DQ35" s="119"/>
      <c r="DR35" s="119"/>
      <c r="DS35" s="119"/>
      <c r="DT35" s="119"/>
      <c r="DU35" s="119"/>
      <c r="DV35" s="119"/>
      <c r="DW35" s="119"/>
      <c r="DX35" s="119"/>
      <c r="DY35" s="119"/>
      <c r="DZ35" s="119"/>
      <c r="EA35" s="119"/>
      <c r="EB35" s="119"/>
      <c r="EC35" s="119"/>
      <c r="ED35" s="119"/>
      <c r="EE35" s="119"/>
      <c r="EF35" s="119"/>
      <c r="EG35" s="119"/>
      <c r="EH35" s="119"/>
      <c r="EI35" s="119"/>
      <c r="EJ35" s="119"/>
      <c r="EK35" s="119"/>
      <c r="EL35" s="119"/>
      <c r="EM35" s="119"/>
      <c r="EN35" s="119"/>
      <c r="EO35" s="119"/>
      <c r="EP35" s="119"/>
      <c r="EQ35" s="119"/>
      <c r="ER35" s="119"/>
      <c r="ES35" s="119"/>
      <c r="ET35" s="119"/>
      <c r="EU35" s="119"/>
      <c r="EV35" s="119"/>
      <c r="EW35" s="119"/>
      <c r="EX35" s="119"/>
      <c r="EY35" s="119"/>
      <c r="EZ35" s="119"/>
      <c r="FA35" s="119"/>
      <c r="FB35" s="119"/>
      <c r="FC35" s="119"/>
      <c r="FD35" s="119"/>
      <c r="FE35" s="119"/>
      <c r="FF35" s="119"/>
      <c r="FG35" s="119"/>
      <c r="FH35" s="119"/>
      <c r="FI35" s="119"/>
      <c r="FJ35" s="119"/>
      <c r="FK35" s="119"/>
      <c r="FL35" s="119"/>
      <c r="FM35" s="119"/>
      <c r="FN35" s="119"/>
      <c r="FO35" s="119"/>
      <c r="FP35" s="119"/>
      <c r="FQ35" s="119"/>
      <c r="FR35" s="119"/>
      <c r="FS35" s="119"/>
      <c r="FT35" s="119"/>
      <c r="FU35" s="119"/>
      <c r="FV35" s="119"/>
      <c r="FW35" s="119"/>
      <c r="FX35" s="119"/>
      <c r="FY35" s="119"/>
      <c r="FZ35" s="119"/>
      <c r="GA35" s="119"/>
      <c r="GB35" s="119"/>
      <c r="GC35" s="119"/>
      <c r="GD35" s="119"/>
      <c r="GE35" s="119"/>
      <c r="GF35" s="119"/>
      <c r="GG35" s="119"/>
      <c r="GH35" s="119"/>
      <c r="GI35" s="119"/>
      <c r="GJ35" s="119"/>
      <c r="GK35" s="119"/>
      <c r="GL35" s="119"/>
      <c r="GM35" s="119"/>
      <c r="GN35" s="119"/>
      <c r="GO35" s="119"/>
      <c r="GP35" s="119"/>
      <c r="GQ35" s="119"/>
      <c r="GR35" s="119"/>
      <c r="GS35" s="119"/>
      <c r="GT35" s="119"/>
      <c r="GU35" s="119"/>
      <c r="GV35" s="119"/>
      <c r="GW35" s="119"/>
      <c r="GX35" s="119"/>
      <c r="GY35" s="119"/>
      <c r="GZ35" s="119"/>
      <c r="HA35" s="119"/>
      <c r="HB35" s="119"/>
      <c r="HC35" s="119"/>
      <c r="HD35" s="119"/>
      <c r="HE35" s="119"/>
      <c r="HF35" s="119"/>
      <c r="HG35" s="119"/>
      <c r="HH35" s="119"/>
      <c r="HI35" s="119"/>
      <c r="HJ35" s="119"/>
      <c r="HK35" s="119"/>
      <c r="HL35" s="119"/>
      <c r="HM35" s="119"/>
      <c r="HN35" s="119"/>
      <c r="HO35" s="119"/>
      <c r="HP35" s="119"/>
      <c r="HQ35" s="119"/>
      <c r="HR35" s="119"/>
      <c r="HS35" s="119"/>
      <c r="HT35" s="119"/>
      <c r="HU35" s="119"/>
      <c r="HV35" s="119"/>
      <c r="HW35" s="119"/>
      <c r="HX35" s="119"/>
      <c r="HY35" s="119"/>
      <c r="HZ35" s="119"/>
      <c r="IA35" s="119"/>
      <c r="IB35" s="119"/>
      <c r="IC35" s="119"/>
      <c r="ID35" s="119"/>
      <c r="IE35" s="119"/>
      <c r="IF35" s="119"/>
      <c r="IG35" s="119"/>
      <c r="IH35" s="119"/>
      <c r="II35" s="119"/>
      <c r="IJ35" s="119"/>
      <c r="IK35" s="119"/>
      <c r="IL35" s="119"/>
      <c r="IM35" s="119"/>
      <c r="IN35" s="119"/>
      <c r="IO35" s="119"/>
      <c r="IP35" s="119"/>
      <c r="IQ35" s="119"/>
      <c r="IR35" s="119"/>
      <c r="IS35" s="119"/>
      <c r="IT35" s="119"/>
      <c r="IU35" s="119"/>
    </row>
    <row r="36" spans="1:255" ht="14.25" x14ac:dyDescent="0.2">
      <c r="A36" s="140" t="s">
        <v>200</v>
      </c>
      <c r="F36" s="110"/>
      <c r="G36" s="110"/>
      <c r="H36" s="110"/>
      <c r="I36" s="110"/>
      <c r="J36" s="110"/>
      <c r="K36" s="110"/>
      <c r="L36" s="119"/>
      <c r="M36" s="119"/>
      <c r="N36" s="119"/>
      <c r="O36" s="119"/>
      <c r="P36" s="119"/>
      <c r="Q36" s="119"/>
      <c r="R36" s="119"/>
      <c r="S36" s="119"/>
      <c r="T36" s="119"/>
      <c r="U36" s="119"/>
      <c r="V36" s="119"/>
      <c r="W36" s="119"/>
      <c r="X36" s="119"/>
      <c r="Y36" s="119"/>
      <c r="Z36" s="119"/>
      <c r="AA36" s="119"/>
      <c r="AB36" s="119"/>
      <c r="AC36" s="119"/>
      <c r="AD36" s="119"/>
      <c r="AE36" s="119"/>
      <c r="AF36" s="119"/>
      <c r="AG36" s="119"/>
      <c r="AH36" s="119"/>
      <c r="AI36" s="119"/>
      <c r="AJ36" s="119"/>
      <c r="AK36" s="119"/>
      <c r="AL36" s="119"/>
      <c r="AM36" s="119"/>
      <c r="AN36" s="119"/>
      <c r="AO36" s="119"/>
      <c r="AP36" s="119"/>
      <c r="AQ36" s="119"/>
      <c r="AR36" s="119"/>
      <c r="AS36" s="119"/>
      <c r="AT36" s="119"/>
      <c r="AU36" s="119"/>
      <c r="AV36" s="119"/>
      <c r="AW36" s="119"/>
      <c r="AX36" s="119"/>
      <c r="AY36" s="119"/>
      <c r="AZ36" s="119"/>
      <c r="BA36" s="119"/>
      <c r="BB36" s="119"/>
      <c r="BC36" s="119"/>
      <c r="BD36" s="119"/>
      <c r="BE36" s="119"/>
      <c r="BF36" s="119"/>
      <c r="BG36" s="119"/>
      <c r="BH36" s="119"/>
      <c r="BI36" s="119"/>
      <c r="BJ36" s="119"/>
      <c r="BK36" s="119"/>
      <c r="BL36" s="119"/>
      <c r="BM36" s="119"/>
      <c r="BN36" s="119"/>
      <c r="BO36" s="119"/>
      <c r="BP36" s="119"/>
      <c r="BQ36" s="119"/>
      <c r="BR36" s="119"/>
      <c r="BS36" s="119"/>
      <c r="BT36" s="119"/>
      <c r="BU36" s="119"/>
      <c r="BV36" s="119"/>
      <c r="BW36" s="119"/>
      <c r="BX36" s="119"/>
      <c r="BY36" s="119"/>
      <c r="BZ36" s="119"/>
      <c r="CA36" s="119"/>
      <c r="CB36" s="119"/>
      <c r="CC36" s="119"/>
      <c r="CD36" s="119"/>
      <c r="CE36" s="119"/>
      <c r="CF36" s="119"/>
      <c r="CG36" s="119"/>
      <c r="CH36" s="119"/>
      <c r="CI36" s="119"/>
      <c r="CJ36" s="119"/>
      <c r="CK36" s="119"/>
      <c r="CL36" s="119"/>
      <c r="CM36" s="119"/>
      <c r="CN36" s="119"/>
      <c r="CO36" s="119"/>
      <c r="CP36" s="119"/>
      <c r="CQ36" s="119"/>
      <c r="CR36" s="119"/>
      <c r="CS36" s="119"/>
      <c r="CT36" s="119"/>
      <c r="CU36" s="119"/>
      <c r="CV36" s="119"/>
      <c r="CW36" s="119"/>
      <c r="CX36" s="119"/>
      <c r="CY36" s="119"/>
      <c r="CZ36" s="119"/>
      <c r="DA36" s="119"/>
      <c r="DB36" s="119"/>
      <c r="DC36" s="119"/>
      <c r="DD36" s="119"/>
      <c r="DE36" s="119"/>
      <c r="DF36" s="119"/>
      <c r="DG36" s="119"/>
      <c r="DH36" s="119"/>
      <c r="DI36" s="119"/>
      <c r="DJ36" s="119"/>
      <c r="DK36" s="119"/>
      <c r="DL36" s="119"/>
      <c r="DM36" s="119"/>
      <c r="DN36" s="119"/>
      <c r="DO36" s="119"/>
      <c r="DP36" s="119"/>
      <c r="DQ36" s="119"/>
      <c r="DR36" s="119"/>
      <c r="DS36" s="119"/>
      <c r="DT36" s="119"/>
      <c r="DU36" s="119"/>
      <c r="DV36" s="119"/>
      <c r="DW36" s="119"/>
      <c r="DX36" s="119"/>
      <c r="DY36" s="119"/>
      <c r="DZ36" s="119"/>
      <c r="EA36" s="119"/>
      <c r="EB36" s="119"/>
      <c r="EC36" s="119"/>
      <c r="ED36" s="119"/>
      <c r="EE36" s="119"/>
      <c r="EF36" s="119"/>
      <c r="EG36" s="119"/>
      <c r="EH36" s="119"/>
      <c r="EI36" s="119"/>
      <c r="EJ36" s="119"/>
      <c r="EK36" s="119"/>
      <c r="EL36" s="119"/>
      <c r="EM36" s="119"/>
      <c r="EN36" s="119"/>
      <c r="EO36" s="119"/>
      <c r="EP36" s="119"/>
      <c r="EQ36" s="119"/>
      <c r="ER36" s="119"/>
      <c r="ES36" s="119"/>
      <c r="ET36" s="119"/>
      <c r="EU36" s="119"/>
      <c r="EV36" s="119"/>
      <c r="EW36" s="119"/>
      <c r="EX36" s="119"/>
      <c r="EY36" s="119"/>
      <c r="EZ36" s="119"/>
      <c r="FA36" s="119"/>
      <c r="FB36" s="119"/>
      <c r="FC36" s="119"/>
      <c r="FD36" s="119"/>
      <c r="FE36" s="119"/>
      <c r="FF36" s="119"/>
      <c r="FG36" s="119"/>
      <c r="FH36" s="119"/>
      <c r="FI36" s="119"/>
      <c r="FJ36" s="119"/>
      <c r="FK36" s="119"/>
      <c r="FL36" s="119"/>
      <c r="FM36" s="119"/>
      <c r="FN36" s="119"/>
      <c r="FO36" s="119"/>
      <c r="FP36" s="119"/>
      <c r="FQ36" s="119"/>
      <c r="FR36" s="119"/>
      <c r="FS36" s="119"/>
      <c r="FT36" s="119"/>
      <c r="FU36" s="119"/>
      <c r="FV36" s="119"/>
      <c r="FW36" s="119"/>
      <c r="FX36" s="119"/>
      <c r="FY36" s="119"/>
      <c r="FZ36" s="119"/>
      <c r="GA36" s="119"/>
      <c r="GB36" s="119"/>
      <c r="GC36" s="119"/>
      <c r="GD36" s="119"/>
      <c r="GE36" s="119"/>
      <c r="GF36" s="119"/>
      <c r="GG36" s="119"/>
      <c r="GH36" s="119"/>
      <c r="GI36" s="119"/>
      <c r="GJ36" s="119"/>
      <c r="GK36" s="119"/>
      <c r="GL36" s="119"/>
      <c r="GM36" s="119"/>
      <c r="GN36" s="119"/>
      <c r="GO36" s="119"/>
      <c r="GP36" s="119"/>
      <c r="GQ36" s="119"/>
      <c r="GR36" s="119"/>
      <c r="GS36" s="119"/>
      <c r="GT36" s="119"/>
      <c r="GU36" s="119"/>
      <c r="GV36" s="119"/>
      <c r="GW36" s="119"/>
      <c r="GX36" s="119"/>
      <c r="GY36" s="119"/>
      <c r="GZ36" s="119"/>
      <c r="HA36" s="119"/>
      <c r="HB36" s="119"/>
      <c r="HC36" s="119"/>
      <c r="HD36" s="119"/>
      <c r="HE36" s="119"/>
      <c r="HF36" s="119"/>
      <c r="HG36" s="119"/>
      <c r="HH36" s="119"/>
      <c r="HI36" s="119"/>
      <c r="HJ36" s="119"/>
      <c r="HK36" s="119"/>
      <c r="HL36" s="119"/>
      <c r="HM36" s="119"/>
      <c r="HN36" s="119"/>
      <c r="HO36" s="119"/>
      <c r="HP36" s="119"/>
      <c r="HQ36" s="119"/>
      <c r="HR36" s="119"/>
      <c r="HS36" s="119"/>
      <c r="HT36" s="119"/>
      <c r="HU36" s="119"/>
      <c r="HV36" s="119"/>
      <c r="HW36" s="119"/>
      <c r="HX36" s="119"/>
      <c r="HY36" s="119"/>
      <c r="HZ36" s="119"/>
      <c r="IA36" s="119"/>
      <c r="IB36" s="119"/>
      <c r="IC36" s="119"/>
      <c r="ID36" s="119"/>
      <c r="IE36" s="119"/>
      <c r="IF36" s="119"/>
      <c r="IG36" s="119"/>
      <c r="IH36" s="119"/>
      <c r="II36" s="119"/>
      <c r="IJ36" s="119"/>
      <c r="IK36" s="119"/>
      <c r="IL36" s="119"/>
      <c r="IM36" s="119"/>
      <c r="IN36" s="119"/>
      <c r="IO36" s="119"/>
      <c r="IP36" s="119"/>
      <c r="IQ36" s="119"/>
      <c r="IR36" s="119"/>
      <c r="IS36" s="119"/>
      <c r="IT36" s="119"/>
      <c r="IU36" s="119"/>
    </row>
    <row r="37" spans="1:255" x14ac:dyDescent="0.2">
      <c r="A37" s="114" t="s">
        <v>46</v>
      </c>
      <c r="D37" s="110">
        <v>22265</v>
      </c>
      <c r="E37" s="110">
        <v>15261</v>
      </c>
      <c r="F37" s="134">
        <v>9477</v>
      </c>
      <c r="G37" s="110">
        <v>31000</v>
      </c>
      <c r="H37" s="110">
        <v>5380</v>
      </c>
      <c r="I37" s="110">
        <v>10189</v>
      </c>
      <c r="J37" s="110">
        <v>16000</v>
      </c>
      <c r="K37" s="136">
        <f>SUM(B37:J37)</f>
        <v>109572</v>
      </c>
      <c r="L37" s="119"/>
      <c r="M37" s="119"/>
      <c r="N37" s="119"/>
      <c r="O37" s="119"/>
      <c r="P37" s="119"/>
      <c r="Q37" s="119"/>
      <c r="R37" s="119"/>
      <c r="S37" s="119"/>
      <c r="T37" s="119"/>
      <c r="U37" s="119"/>
      <c r="V37" s="119"/>
      <c r="W37" s="119"/>
      <c r="X37" s="119"/>
      <c r="Y37" s="119"/>
      <c r="Z37" s="119"/>
      <c r="AA37" s="119"/>
      <c r="AB37" s="119"/>
      <c r="AC37" s="119"/>
      <c r="AD37" s="119"/>
      <c r="AE37" s="119"/>
      <c r="AF37" s="119"/>
      <c r="AG37" s="119"/>
      <c r="AH37" s="119"/>
      <c r="AI37" s="119"/>
      <c r="AJ37" s="119"/>
      <c r="AK37" s="119"/>
      <c r="AL37" s="119"/>
      <c r="AM37" s="119"/>
      <c r="AN37" s="119"/>
      <c r="AO37" s="119"/>
      <c r="AP37" s="119"/>
      <c r="AQ37" s="119"/>
      <c r="AR37" s="119"/>
      <c r="AS37" s="119"/>
      <c r="AT37" s="119"/>
      <c r="AU37" s="119"/>
      <c r="AV37" s="119"/>
      <c r="AW37" s="119"/>
      <c r="AX37" s="119"/>
      <c r="AY37" s="119"/>
      <c r="AZ37" s="119"/>
      <c r="BA37" s="119"/>
      <c r="BB37" s="119"/>
      <c r="BC37" s="119"/>
      <c r="BD37" s="119"/>
      <c r="BE37" s="119"/>
      <c r="BF37" s="119"/>
      <c r="BG37" s="119"/>
      <c r="BH37" s="119"/>
      <c r="BI37" s="119"/>
      <c r="BJ37" s="119"/>
      <c r="BK37" s="119"/>
      <c r="BL37" s="119"/>
      <c r="BM37" s="119"/>
      <c r="BN37" s="119"/>
      <c r="BO37" s="119"/>
      <c r="BP37" s="119"/>
      <c r="BQ37" s="119"/>
      <c r="BR37" s="119"/>
      <c r="BS37" s="119"/>
      <c r="BT37" s="119"/>
      <c r="BU37" s="119"/>
      <c r="BV37" s="119"/>
      <c r="BW37" s="119"/>
      <c r="BX37" s="119"/>
      <c r="BY37" s="119"/>
      <c r="BZ37" s="119"/>
      <c r="CA37" s="119"/>
      <c r="CB37" s="119"/>
      <c r="CC37" s="119"/>
      <c r="CD37" s="119"/>
      <c r="CE37" s="119"/>
      <c r="CF37" s="119"/>
      <c r="CG37" s="119"/>
      <c r="CH37" s="119"/>
      <c r="CI37" s="119"/>
      <c r="CJ37" s="119"/>
      <c r="CK37" s="119"/>
      <c r="CL37" s="119"/>
      <c r="CM37" s="119"/>
      <c r="CN37" s="119"/>
      <c r="CO37" s="119"/>
      <c r="CP37" s="119"/>
      <c r="CQ37" s="119"/>
      <c r="CR37" s="119"/>
      <c r="CS37" s="119"/>
      <c r="CT37" s="119"/>
      <c r="CU37" s="119"/>
      <c r="CV37" s="119"/>
      <c r="CW37" s="119"/>
      <c r="CX37" s="119"/>
      <c r="CY37" s="119"/>
      <c r="CZ37" s="119"/>
      <c r="DA37" s="119"/>
      <c r="DB37" s="119"/>
      <c r="DC37" s="119"/>
      <c r="DD37" s="119"/>
      <c r="DE37" s="119"/>
      <c r="DF37" s="119"/>
      <c r="DG37" s="119"/>
      <c r="DH37" s="119"/>
      <c r="DI37" s="119"/>
      <c r="DJ37" s="119"/>
      <c r="DK37" s="119"/>
      <c r="DL37" s="119"/>
      <c r="DM37" s="119"/>
      <c r="DN37" s="119"/>
      <c r="DO37" s="119"/>
      <c r="DP37" s="119"/>
      <c r="DQ37" s="119"/>
      <c r="DR37" s="119"/>
      <c r="DS37" s="119"/>
      <c r="DT37" s="119"/>
      <c r="DU37" s="119"/>
      <c r="DV37" s="119"/>
      <c r="DW37" s="119"/>
      <c r="DX37" s="119"/>
      <c r="DY37" s="119"/>
      <c r="DZ37" s="119"/>
      <c r="EA37" s="119"/>
      <c r="EB37" s="119"/>
      <c r="EC37" s="119"/>
      <c r="ED37" s="119"/>
      <c r="EE37" s="119"/>
      <c r="EF37" s="119"/>
      <c r="EG37" s="119"/>
      <c r="EH37" s="119"/>
      <c r="EI37" s="119"/>
      <c r="EJ37" s="119"/>
      <c r="EK37" s="119"/>
      <c r="EL37" s="119"/>
      <c r="EM37" s="119"/>
      <c r="EN37" s="119"/>
      <c r="EO37" s="119"/>
      <c r="EP37" s="119"/>
      <c r="EQ37" s="119"/>
      <c r="ER37" s="119"/>
      <c r="ES37" s="119"/>
      <c r="ET37" s="119"/>
      <c r="EU37" s="119"/>
      <c r="EV37" s="119"/>
      <c r="EW37" s="119"/>
      <c r="EX37" s="119"/>
      <c r="EY37" s="119"/>
      <c r="EZ37" s="119"/>
      <c r="FA37" s="119"/>
      <c r="FB37" s="119"/>
      <c r="FC37" s="119"/>
      <c r="FD37" s="119"/>
      <c r="FE37" s="119"/>
      <c r="FF37" s="119"/>
      <c r="FG37" s="119"/>
      <c r="FH37" s="119"/>
      <c r="FI37" s="119"/>
      <c r="FJ37" s="119"/>
      <c r="FK37" s="119"/>
      <c r="FL37" s="119"/>
      <c r="FM37" s="119"/>
      <c r="FN37" s="119"/>
      <c r="FO37" s="119"/>
      <c r="FP37" s="119"/>
      <c r="FQ37" s="119"/>
      <c r="FR37" s="119"/>
      <c r="FS37" s="119"/>
      <c r="FT37" s="119"/>
      <c r="FU37" s="119"/>
      <c r="FV37" s="119"/>
      <c r="FW37" s="119"/>
      <c r="FX37" s="119"/>
      <c r="FY37" s="119"/>
      <c r="FZ37" s="119"/>
      <c r="GA37" s="119"/>
      <c r="GB37" s="119"/>
      <c r="GC37" s="119"/>
      <c r="GD37" s="119"/>
      <c r="GE37" s="119"/>
      <c r="GF37" s="119"/>
      <c r="GG37" s="119"/>
      <c r="GH37" s="119"/>
      <c r="GI37" s="119"/>
      <c r="GJ37" s="119"/>
      <c r="GK37" s="119"/>
      <c r="GL37" s="119"/>
      <c r="GM37" s="119"/>
      <c r="GN37" s="119"/>
      <c r="GO37" s="119"/>
      <c r="GP37" s="119"/>
      <c r="GQ37" s="119"/>
      <c r="GR37" s="119"/>
      <c r="GS37" s="119"/>
      <c r="GT37" s="119"/>
      <c r="GU37" s="119"/>
      <c r="GV37" s="119"/>
      <c r="GW37" s="119"/>
      <c r="GX37" s="119"/>
      <c r="GY37" s="119"/>
      <c r="GZ37" s="119"/>
      <c r="HA37" s="119"/>
      <c r="HB37" s="119"/>
      <c r="HC37" s="119"/>
      <c r="HD37" s="119"/>
      <c r="HE37" s="119"/>
      <c r="HF37" s="119"/>
      <c r="HG37" s="119"/>
      <c r="HH37" s="119"/>
      <c r="HI37" s="119"/>
      <c r="HJ37" s="119"/>
      <c r="HK37" s="119"/>
      <c r="HL37" s="119"/>
      <c r="HM37" s="119"/>
      <c r="HN37" s="119"/>
      <c r="HO37" s="119"/>
      <c r="HP37" s="119"/>
      <c r="HQ37" s="119"/>
      <c r="HR37" s="119"/>
      <c r="HS37" s="119"/>
      <c r="HT37" s="119"/>
      <c r="HU37" s="119"/>
      <c r="HV37" s="119"/>
      <c r="HW37" s="119"/>
      <c r="HX37" s="119"/>
      <c r="HY37" s="119"/>
      <c r="HZ37" s="119"/>
      <c r="IA37" s="119"/>
      <c r="IB37" s="119"/>
      <c r="IC37" s="119"/>
      <c r="ID37" s="119"/>
      <c r="IE37" s="119"/>
      <c r="IF37" s="119"/>
      <c r="IG37" s="119"/>
      <c r="IH37" s="119"/>
      <c r="II37" s="119"/>
      <c r="IJ37" s="119"/>
      <c r="IK37" s="119"/>
      <c r="IL37" s="119"/>
      <c r="IM37" s="119"/>
      <c r="IN37" s="119"/>
      <c r="IO37" s="119"/>
      <c r="IP37" s="119"/>
      <c r="IQ37" s="119"/>
      <c r="IR37" s="119"/>
      <c r="IS37" s="119"/>
      <c r="IT37" s="119"/>
      <c r="IU37" s="119"/>
    </row>
    <row r="38" spans="1:255" x14ac:dyDescent="0.2">
      <c r="A38" s="114" t="s">
        <v>201</v>
      </c>
      <c r="D38" s="110">
        <v>5724</v>
      </c>
      <c r="F38" s="110"/>
      <c r="G38" s="110"/>
      <c r="H38" s="110"/>
      <c r="I38" s="110"/>
      <c r="J38" s="110">
        <v>4019</v>
      </c>
      <c r="K38" s="136">
        <f>SUM(B38:J38)</f>
        <v>9743</v>
      </c>
      <c r="L38" s="119"/>
      <c r="M38" s="119"/>
      <c r="N38" s="119"/>
      <c r="O38" s="119"/>
      <c r="P38" s="119"/>
      <c r="Q38" s="119"/>
      <c r="R38" s="119"/>
      <c r="S38" s="119"/>
      <c r="T38" s="119"/>
      <c r="U38" s="119"/>
      <c r="V38" s="119"/>
      <c r="W38" s="119"/>
      <c r="X38" s="119"/>
      <c r="Y38" s="119"/>
      <c r="Z38" s="119"/>
      <c r="AA38" s="119"/>
      <c r="AB38" s="119"/>
      <c r="AC38" s="119"/>
      <c r="AD38" s="119"/>
      <c r="AE38" s="119"/>
      <c r="AF38" s="119"/>
      <c r="AG38" s="119"/>
      <c r="AH38" s="119"/>
      <c r="AI38" s="119"/>
      <c r="AJ38" s="119"/>
      <c r="AK38" s="119"/>
      <c r="AL38" s="119"/>
      <c r="AM38" s="119"/>
      <c r="AN38" s="119"/>
      <c r="AO38" s="119"/>
      <c r="AP38" s="119"/>
      <c r="AQ38" s="119"/>
      <c r="AR38" s="119"/>
      <c r="AS38" s="119"/>
      <c r="AT38" s="119"/>
      <c r="AU38" s="119"/>
      <c r="AV38" s="119"/>
      <c r="AW38" s="119"/>
      <c r="AX38" s="119"/>
      <c r="AY38" s="119"/>
      <c r="AZ38" s="119"/>
      <c r="BA38" s="119"/>
      <c r="BB38" s="119"/>
      <c r="BC38" s="119"/>
      <c r="BD38" s="119"/>
      <c r="BE38" s="119"/>
      <c r="BF38" s="119"/>
      <c r="BG38" s="119"/>
      <c r="BH38" s="119"/>
      <c r="BI38" s="119"/>
      <c r="BJ38" s="119"/>
      <c r="BK38" s="119"/>
      <c r="BL38" s="119"/>
      <c r="BM38" s="119"/>
      <c r="BN38" s="119"/>
      <c r="BO38" s="119"/>
      <c r="BP38" s="119"/>
      <c r="BQ38" s="119"/>
      <c r="BR38" s="119"/>
      <c r="BS38" s="119"/>
      <c r="BT38" s="119"/>
      <c r="BU38" s="119"/>
      <c r="BV38" s="119"/>
      <c r="BW38" s="119"/>
      <c r="BX38" s="119"/>
      <c r="BY38" s="119"/>
      <c r="BZ38" s="119"/>
      <c r="CA38" s="119"/>
      <c r="CB38" s="119"/>
      <c r="CC38" s="119"/>
      <c r="CD38" s="119"/>
      <c r="CE38" s="119"/>
      <c r="CF38" s="119"/>
      <c r="CG38" s="119"/>
      <c r="CH38" s="119"/>
      <c r="CI38" s="119"/>
      <c r="CJ38" s="119"/>
      <c r="CK38" s="119"/>
      <c r="CL38" s="119"/>
      <c r="CM38" s="119"/>
      <c r="CN38" s="119"/>
      <c r="CO38" s="119"/>
      <c r="CP38" s="119"/>
      <c r="CQ38" s="119"/>
      <c r="CR38" s="119"/>
      <c r="CS38" s="119"/>
      <c r="CT38" s="119"/>
      <c r="CU38" s="119"/>
      <c r="CV38" s="119"/>
      <c r="CW38" s="119"/>
      <c r="CX38" s="119"/>
      <c r="CY38" s="119"/>
      <c r="CZ38" s="119"/>
      <c r="DA38" s="119"/>
      <c r="DB38" s="119"/>
      <c r="DC38" s="119"/>
      <c r="DD38" s="119"/>
      <c r="DE38" s="119"/>
      <c r="DF38" s="119"/>
      <c r="DG38" s="119"/>
      <c r="DH38" s="119"/>
      <c r="DI38" s="119"/>
      <c r="DJ38" s="119"/>
      <c r="DK38" s="119"/>
      <c r="DL38" s="119"/>
      <c r="DM38" s="119"/>
      <c r="DN38" s="119"/>
      <c r="DO38" s="119"/>
      <c r="DP38" s="119"/>
      <c r="DQ38" s="119"/>
      <c r="DR38" s="119"/>
      <c r="DS38" s="119"/>
      <c r="DT38" s="119"/>
      <c r="DU38" s="119"/>
      <c r="DV38" s="119"/>
      <c r="DW38" s="119"/>
      <c r="DX38" s="119"/>
      <c r="DY38" s="119"/>
      <c r="DZ38" s="119"/>
      <c r="EA38" s="119"/>
      <c r="EB38" s="119"/>
      <c r="EC38" s="119"/>
      <c r="ED38" s="119"/>
      <c r="EE38" s="119"/>
      <c r="EF38" s="119"/>
      <c r="EG38" s="119"/>
      <c r="EH38" s="119"/>
      <c r="EI38" s="119"/>
      <c r="EJ38" s="119"/>
      <c r="EK38" s="119"/>
      <c r="EL38" s="119"/>
      <c r="EM38" s="119"/>
      <c r="EN38" s="119"/>
      <c r="EO38" s="119"/>
      <c r="EP38" s="119"/>
      <c r="EQ38" s="119"/>
      <c r="ER38" s="119"/>
      <c r="ES38" s="119"/>
      <c r="ET38" s="119"/>
      <c r="EU38" s="119"/>
      <c r="EV38" s="119"/>
      <c r="EW38" s="119"/>
      <c r="EX38" s="119"/>
      <c r="EY38" s="119"/>
      <c r="EZ38" s="119"/>
      <c r="FA38" s="119"/>
      <c r="FB38" s="119"/>
      <c r="FC38" s="119"/>
      <c r="FD38" s="119"/>
      <c r="FE38" s="119"/>
      <c r="FF38" s="119"/>
      <c r="FG38" s="119"/>
      <c r="FH38" s="119"/>
      <c r="FI38" s="119"/>
      <c r="FJ38" s="119"/>
      <c r="FK38" s="119"/>
      <c r="FL38" s="119"/>
      <c r="FM38" s="119"/>
      <c r="FN38" s="119"/>
      <c r="FO38" s="119"/>
      <c r="FP38" s="119"/>
      <c r="FQ38" s="119"/>
      <c r="FR38" s="119"/>
      <c r="FS38" s="119"/>
      <c r="FT38" s="119"/>
      <c r="FU38" s="119"/>
      <c r="FV38" s="119"/>
      <c r="FW38" s="119"/>
      <c r="FX38" s="119"/>
      <c r="FY38" s="119"/>
      <c r="FZ38" s="119"/>
      <c r="GA38" s="119"/>
      <c r="GB38" s="119"/>
      <c r="GC38" s="119"/>
      <c r="GD38" s="119"/>
      <c r="GE38" s="119"/>
      <c r="GF38" s="119"/>
      <c r="GG38" s="119"/>
      <c r="GH38" s="119"/>
      <c r="GI38" s="119"/>
      <c r="GJ38" s="119"/>
      <c r="GK38" s="119"/>
      <c r="GL38" s="119"/>
      <c r="GM38" s="119"/>
      <c r="GN38" s="119"/>
      <c r="GO38" s="119"/>
      <c r="GP38" s="119"/>
      <c r="GQ38" s="119"/>
      <c r="GR38" s="119"/>
      <c r="GS38" s="119"/>
      <c r="GT38" s="119"/>
      <c r="GU38" s="119"/>
      <c r="GV38" s="119"/>
      <c r="GW38" s="119"/>
      <c r="GX38" s="119"/>
      <c r="GY38" s="119"/>
      <c r="GZ38" s="119"/>
      <c r="HA38" s="119"/>
      <c r="HB38" s="119"/>
      <c r="HC38" s="119"/>
      <c r="HD38" s="119"/>
      <c r="HE38" s="119"/>
      <c r="HF38" s="119"/>
      <c r="HG38" s="119"/>
      <c r="HH38" s="119"/>
      <c r="HI38" s="119"/>
      <c r="HJ38" s="119"/>
      <c r="HK38" s="119"/>
      <c r="HL38" s="119"/>
      <c r="HM38" s="119"/>
      <c r="HN38" s="119"/>
      <c r="HO38" s="119"/>
      <c r="HP38" s="119"/>
      <c r="HQ38" s="119"/>
      <c r="HR38" s="119"/>
      <c r="HS38" s="119"/>
      <c r="HT38" s="119"/>
      <c r="HU38" s="119"/>
      <c r="HV38" s="119"/>
      <c r="HW38" s="119"/>
      <c r="HX38" s="119"/>
      <c r="HY38" s="119"/>
      <c r="HZ38" s="119"/>
      <c r="IA38" s="119"/>
      <c r="IB38" s="119"/>
      <c r="IC38" s="119"/>
      <c r="ID38" s="119"/>
      <c r="IE38" s="119"/>
      <c r="IF38" s="119"/>
      <c r="IG38" s="119"/>
      <c r="IH38" s="119"/>
      <c r="II38" s="119"/>
      <c r="IJ38" s="119"/>
      <c r="IK38" s="119"/>
      <c r="IL38" s="119"/>
      <c r="IM38" s="119"/>
      <c r="IN38" s="119"/>
      <c r="IO38" s="119"/>
      <c r="IP38" s="119"/>
      <c r="IQ38" s="119"/>
      <c r="IR38" s="119"/>
      <c r="IS38" s="119"/>
      <c r="IT38" s="119"/>
      <c r="IU38" s="119"/>
    </row>
    <row r="39" spans="1:255" ht="14.25" x14ac:dyDescent="0.2">
      <c r="A39" s="155" t="s">
        <v>202</v>
      </c>
      <c r="B39" s="110">
        <v>527</v>
      </c>
      <c r="C39" s="110">
        <v>15792</v>
      </c>
      <c r="E39" s="110">
        <v>17281</v>
      </c>
      <c r="F39" s="110">
        <v>1466</v>
      </c>
      <c r="G39" s="110"/>
      <c r="H39" s="110">
        <v>11747</v>
      </c>
      <c r="I39" s="110"/>
      <c r="J39" s="110"/>
      <c r="K39" s="136">
        <f>SUM(B39:J39)</f>
        <v>46813</v>
      </c>
      <c r="L39" s="119"/>
      <c r="M39" s="119"/>
      <c r="N39" s="119"/>
      <c r="O39" s="119"/>
      <c r="P39" s="119"/>
      <c r="Q39" s="119"/>
      <c r="R39" s="119"/>
      <c r="S39" s="119"/>
      <c r="T39" s="119"/>
      <c r="U39" s="119"/>
      <c r="V39" s="119"/>
      <c r="W39" s="119"/>
      <c r="X39" s="119"/>
      <c r="Y39" s="119"/>
      <c r="Z39" s="119"/>
      <c r="AA39" s="119"/>
      <c r="AB39" s="119"/>
      <c r="AC39" s="119"/>
      <c r="AD39" s="119"/>
      <c r="AE39" s="119"/>
      <c r="AF39" s="119"/>
      <c r="AG39" s="119"/>
      <c r="AH39" s="119"/>
      <c r="AI39" s="119"/>
      <c r="AJ39" s="119"/>
      <c r="AK39" s="119"/>
      <c r="AL39" s="119"/>
      <c r="AM39" s="119"/>
      <c r="AN39" s="119"/>
      <c r="AO39" s="119"/>
      <c r="AP39" s="119"/>
      <c r="AQ39" s="119"/>
      <c r="AR39" s="119"/>
      <c r="AS39" s="119"/>
      <c r="AT39" s="119"/>
      <c r="AU39" s="119"/>
      <c r="AV39" s="119"/>
      <c r="AW39" s="119"/>
      <c r="AX39" s="119"/>
      <c r="AY39" s="119"/>
      <c r="AZ39" s="119"/>
      <c r="BA39" s="119"/>
      <c r="BB39" s="119"/>
      <c r="BC39" s="119"/>
      <c r="BD39" s="119"/>
      <c r="BE39" s="119"/>
      <c r="BF39" s="119"/>
      <c r="BG39" s="119"/>
      <c r="BH39" s="119"/>
      <c r="BI39" s="119"/>
      <c r="BJ39" s="119"/>
      <c r="BK39" s="119"/>
      <c r="BL39" s="119"/>
      <c r="BM39" s="119"/>
      <c r="BN39" s="119"/>
      <c r="BO39" s="119"/>
      <c r="BP39" s="119"/>
      <c r="BQ39" s="119"/>
      <c r="BR39" s="119"/>
      <c r="BS39" s="119"/>
      <c r="BT39" s="119"/>
      <c r="BU39" s="119"/>
      <c r="BV39" s="119"/>
      <c r="BW39" s="119"/>
      <c r="BX39" s="119"/>
      <c r="BY39" s="119"/>
      <c r="BZ39" s="119"/>
      <c r="CA39" s="119"/>
      <c r="CB39" s="119"/>
      <c r="CC39" s="119"/>
      <c r="CD39" s="119"/>
      <c r="CE39" s="119"/>
      <c r="CF39" s="119"/>
      <c r="CG39" s="119"/>
      <c r="CH39" s="119"/>
      <c r="CI39" s="119"/>
      <c r="CJ39" s="119"/>
      <c r="CK39" s="119"/>
      <c r="CL39" s="119"/>
      <c r="CM39" s="119"/>
      <c r="CN39" s="119"/>
      <c r="CO39" s="119"/>
      <c r="CP39" s="119"/>
      <c r="CQ39" s="119"/>
      <c r="CR39" s="119"/>
      <c r="CS39" s="119"/>
      <c r="CT39" s="119"/>
      <c r="CU39" s="119"/>
      <c r="CV39" s="119"/>
      <c r="CW39" s="119"/>
      <c r="CX39" s="119"/>
      <c r="CY39" s="119"/>
      <c r="CZ39" s="119"/>
      <c r="DA39" s="119"/>
      <c r="DB39" s="119"/>
      <c r="DC39" s="119"/>
      <c r="DD39" s="119"/>
      <c r="DE39" s="119"/>
      <c r="DF39" s="119"/>
      <c r="DG39" s="119"/>
      <c r="DH39" s="119"/>
      <c r="DI39" s="119"/>
      <c r="DJ39" s="119"/>
      <c r="DK39" s="119"/>
      <c r="DL39" s="119"/>
      <c r="DM39" s="119"/>
      <c r="DN39" s="119"/>
      <c r="DO39" s="119"/>
      <c r="DP39" s="119"/>
      <c r="DQ39" s="119"/>
      <c r="DR39" s="119"/>
      <c r="DS39" s="119"/>
      <c r="DT39" s="119"/>
      <c r="DU39" s="119"/>
      <c r="DV39" s="119"/>
      <c r="DW39" s="119"/>
      <c r="DX39" s="119"/>
      <c r="DY39" s="119"/>
      <c r="DZ39" s="119"/>
      <c r="EA39" s="119"/>
      <c r="EB39" s="119"/>
      <c r="EC39" s="119"/>
      <c r="ED39" s="119"/>
      <c r="EE39" s="119"/>
      <c r="EF39" s="119"/>
      <c r="EG39" s="119"/>
      <c r="EH39" s="119"/>
      <c r="EI39" s="119"/>
      <c r="EJ39" s="119"/>
      <c r="EK39" s="119"/>
      <c r="EL39" s="119"/>
      <c r="EM39" s="119"/>
      <c r="EN39" s="119"/>
      <c r="EO39" s="119"/>
      <c r="EP39" s="119"/>
      <c r="EQ39" s="119"/>
      <c r="ER39" s="119"/>
      <c r="ES39" s="119"/>
      <c r="ET39" s="119"/>
      <c r="EU39" s="119"/>
      <c r="EV39" s="119"/>
      <c r="EW39" s="119"/>
      <c r="EX39" s="119"/>
      <c r="EY39" s="119"/>
      <c r="EZ39" s="119"/>
      <c r="FA39" s="119"/>
      <c r="FB39" s="119"/>
      <c r="FC39" s="119"/>
      <c r="FD39" s="119"/>
      <c r="FE39" s="119"/>
      <c r="FF39" s="119"/>
      <c r="FG39" s="119"/>
      <c r="FH39" s="119"/>
      <c r="FI39" s="119"/>
      <c r="FJ39" s="119"/>
      <c r="FK39" s="119"/>
      <c r="FL39" s="119"/>
      <c r="FM39" s="119"/>
      <c r="FN39" s="119"/>
      <c r="FO39" s="119"/>
      <c r="FP39" s="119"/>
      <c r="FQ39" s="119"/>
      <c r="FR39" s="119"/>
      <c r="FS39" s="119"/>
      <c r="FT39" s="119"/>
      <c r="FU39" s="119"/>
      <c r="FV39" s="119"/>
      <c r="FW39" s="119"/>
      <c r="FX39" s="119"/>
      <c r="FY39" s="119"/>
      <c r="FZ39" s="119"/>
      <c r="GA39" s="119"/>
      <c r="GB39" s="119"/>
      <c r="GC39" s="119"/>
      <c r="GD39" s="119"/>
      <c r="GE39" s="119"/>
      <c r="GF39" s="119"/>
      <c r="GG39" s="119"/>
      <c r="GH39" s="119"/>
      <c r="GI39" s="119"/>
      <c r="GJ39" s="119"/>
      <c r="GK39" s="119"/>
      <c r="GL39" s="119"/>
      <c r="GM39" s="119"/>
      <c r="GN39" s="119"/>
      <c r="GO39" s="119"/>
      <c r="GP39" s="119"/>
      <c r="GQ39" s="119"/>
      <c r="GR39" s="119"/>
      <c r="GS39" s="119"/>
      <c r="GT39" s="119"/>
      <c r="GU39" s="119"/>
      <c r="GV39" s="119"/>
      <c r="GW39" s="119"/>
      <c r="GX39" s="119"/>
      <c r="GY39" s="119"/>
      <c r="GZ39" s="119"/>
      <c r="HA39" s="119"/>
      <c r="HB39" s="119"/>
      <c r="HC39" s="119"/>
      <c r="HD39" s="119"/>
      <c r="HE39" s="119"/>
      <c r="HF39" s="119"/>
      <c r="HG39" s="119"/>
      <c r="HH39" s="119"/>
      <c r="HI39" s="119"/>
      <c r="HJ39" s="119"/>
      <c r="HK39" s="119"/>
      <c r="HL39" s="119"/>
      <c r="HM39" s="119"/>
      <c r="HN39" s="119"/>
      <c r="HO39" s="119"/>
      <c r="HP39" s="119"/>
      <c r="HQ39" s="119"/>
      <c r="HR39" s="119"/>
      <c r="HS39" s="119"/>
      <c r="HT39" s="119"/>
      <c r="HU39" s="119"/>
      <c r="HV39" s="119"/>
      <c r="HW39" s="119"/>
      <c r="HX39" s="119"/>
      <c r="HY39" s="119"/>
      <c r="HZ39" s="119"/>
      <c r="IA39" s="119"/>
      <c r="IB39" s="119"/>
      <c r="IC39" s="119"/>
      <c r="ID39" s="119"/>
      <c r="IE39" s="119"/>
      <c r="IF39" s="119"/>
      <c r="IG39" s="119"/>
      <c r="IH39" s="119"/>
      <c r="II39" s="119"/>
      <c r="IJ39" s="119"/>
      <c r="IK39" s="119"/>
      <c r="IL39" s="119"/>
      <c r="IM39" s="119"/>
      <c r="IN39" s="119"/>
      <c r="IO39" s="119"/>
      <c r="IP39" s="119"/>
      <c r="IQ39" s="119"/>
      <c r="IR39" s="119"/>
      <c r="IS39" s="119"/>
      <c r="IT39" s="119"/>
      <c r="IU39" s="119"/>
    </row>
    <row r="40" spans="1:255" x14ac:dyDescent="0.2">
      <c r="F40" s="110"/>
      <c r="G40" s="110"/>
      <c r="H40" s="110"/>
      <c r="I40" s="110"/>
      <c r="J40" s="110"/>
      <c r="K40" s="110"/>
      <c r="L40" s="119"/>
      <c r="M40" s="119"/>
      <c r="N40" s="119"/>
      <c r="O40" s="119"/>
      <c r="P40" s="119"/>
      <c r="Q40" s="119"/>
      <c r="R40" s="119"/>
      <c r="S40" s="119"/>
      <c r="T40" s="119"/>
      <c r="U40" s="119"/>
      <c r="V40" s="119"/>
      <c r="W40" s="119"/>
      <c r="X40" s="119"/>
      <c r="Y40" s="119"/>
      <c r="Z40" s="119"/>
      <c r="AA40" s="119"/>
      <c r="AB40" s="119"/>
      <c r="AC40" s="119"/>
      <c r="AD40" s="119"/>
      <c r="AE40" s="119"/>
      <c r="AF40" s="119"/>
      <c r="AG40" s="119"/>
      <c r="AH40" s="119"/>
      <c r="AI40" s="119"/>
      <c r="AJ40" s="119"/>
      <c r="AK40" s="119"/>
      <c r="AL40" s="119"/>
      <c r="AM40" s="119"/>
      <c r="AN40" s="119"/>
      <c r="AO40" s="119"/>
      <c r="AP40" s="119"/>
      <c r="AQ40" s="119"/>
      <c r="AR40" s="119"/>
      <c r="AS40" s="119"/>
      <c r="AT40" s="119"/>
      <c r="AU40" s="119"/>
      <c r="AV40" s="119"/>
      <c r="AW40" s="119"/>
      <c r="AX40" s="119"/>
      <c r="AY40" s="119"/>
      <c r="AZ40" s="119"/>
      <c r="BA40" s="119"/>
      <c r="BB40" s="119"/>
      <c r="BC40" s="119"/>
      <c r="BD40" s="119"/>
      <c r="BE40" s="119"/>
      <c r="BF40" s="119"/>
      <c r="BG40" s="119"/>
      <c r="BH40" s="119"/>
      <c r="BI40" s="119"/>
      <c r="BJ40" s="119"/>
      <c r="BK40" s="119"/>
      <c r="BL40" s="119"/>
      <c r="BM40" s="119"/>
      <c r="BN40" s="119"/>
      <c r="BO40" s="119"/>
      <c r="BP40" s="119"/>
      <c r="BQ40" s="119"/>
      <c r="BR40" s="119"/>
      <c r="BS40" s="119"/>
      <c r="BT40" s="119"/>
      <c r="BU40" s="119"/>
      <c r="BV40" s="119"/>
      <c r="BW40" s="119"/>
      <c r="BX40" s="119"/>
      <c r="BY40" s="119"/>
      <c r="BZ40" s="119"/>
      <c r="CA40" s="119"/>
      <c r="CB40" s="119"/>
      <c r="CC40" s="119"/>
      <c r="CD40" s="119"/>
      <c r="CE40" s="119"/>
      <c r="CF40" s="119"/>
      <c r="CG40" s="119"/>
      <c r="CH40" s="119"/>
      <c r="CI40" s="119"/>
      <c r="CJ40" s="119"/>
      <c r="CK40" s="119"/>
      <c r="CL40" s="119"/>
      <c r="CM40" s="119"/>
      <c r="CN40" s="119"/>
      <c r="CO40" s="119"/>
      <c r="CP40" s="119"/>
      <c r="CQ40" s="119"/>
      <c r="CR40" s="119"/>
      <c r="CS40" s="119"/>
      <c r="CT40" s="119"/>
      <c r="CU40" s="119"/>
      <c r="CV40" s="119"/>
      <c r="CW40" s="119"/>
      <c r="CX40" s="119"/>
      <c r="CY40" s="119"/>
      <c r="CZ40" s="119"/>
      <c r="DA40" s="119"/>
      <c r="DB40" s="119"/>
      <c r="DC40" s="119"/>
      <c r="DD40" s="119"/>
      <c r="DE40" s="119"/>
      <c r="DF40" s="119"/>
      <c r="DG40" s="119"/>
      <c r="DH40" s="119"/>
      <c r="DI40" s="119"/>
      <c r="DJ40" s="119"/>
      <c r="DK40" s="119"/>
      <c r="DL40" s="119"/>
      <c r="DM40" s="119"/>
      <c r="DN40" s="119"/>
      <c r="DO40" s="119"/>
      <c r="DP40" s="119"/>
      <c r="DQ40" s="119"/>
      <c r="DR40" s="119"/>
      <c r="DS40" s="119"/>
      <c r="DT40" s="119"/>
      <c r="DU40" s="119"/>
      <c r="DV40" s="119"/>
      <c r="DW40" s="119"/>
      <c r="DX40" s="119"/>
      <c r="DY40" s="119"/>
      <c r="DZ40" s="119"/>
      <c r="EA40" s="119"/>
      <c r="EB40" s="119"/>
      <c r="EC40" s="119"/>
      <c r="ED40" s="119"/>
      <c r="EE40" s="119"/>
      <c r="EF40" s="119"/>
      <c r="EG40" s="119"/>
      <c r="EH40" s="119"/>
      <c r="EI40" s="119"/>
      <c r="EJ40" s="119"/>
      <c r="EK40" s="119"/>
      <c r="EL40" s="119"/>
      <c r="EM40" s="119"/>
      <c r="EN40" s="119"/>
      <c r="EO40" s="119"/>
      <c r="EP40" s="119"/>
      <c r="EQ40" s="119"/>
      <c r="ER40" s="119"/>
      <c r="ES40" s="119"/>
      <c r="ET40" s="119"/>
      <c r="EU40" s="119"/>
      <c r="EV40" s="119"/>
      <c r="EW40" s="119"/>
      <c r="EX40" s="119"/>
      <c r="EY40" s="119"/>
      <c r="EZ40" s="119"/>
      <c r="FA40" s="119"/>
      <c r="FB40" s="119"/>
      <c r="FC40" s="119"/>
      <c r="FD40" s="119"/>
      <c r="FE40" s="119"/>
      <c r="FF40" s="119"/>
      <c r="FG40" s="119"/>
      <c r="FH40" s="119"/>
      <c r="FI40" s="119"/>
      <c r="FJ40" s="119"/>
      <c r="FK40" s="119"/>
      <c r="FL40" s="119"/>
      <c r="FM40" s="119"/>
      <c r="FN40" s="119"/>
      <c r="FO40" s="119"/>
      <c r="FP40" s="119"/>
      <c r="FQ40" s="119"/>
      <c r="FR40" s="119"/>
      <c r="FS40" s="119"/>
      <c r="FT40" s="119"/>
      <c r="FU40" s="119"/>
      <c r="FV40" s="119"/>
      <c r="FW40" s="119"/>
      <c r="FX40" s="119"/>
      <c r="FY40" s="119"/>
      <c r="FZ40" s="119"/>
      <c r="GA40" s="119"/>
      <c r="GB40" s="119"/>
      <c r="GC40" s="119"/>
      <c r="GD40" s="119"/>
      <c r="GE40" s="119"/>
      <c r="GF40" s="119"/>
      <c r="GG40" s="119"/>
      <c r="GH40" s="119"/>
      <c r="GI40" s="119"/>
      <c r="GJ40" s="119"/>
      <c r="GK40" s="119"/>
      <c r="GL40" s="119"/>
      <c r="GM40" s="119"/>
      <c r="GN40" s="119"/>
      <c r="GO40" s="119"/>
      <c r="GP40" s="119"/>
      <c r="GQ40" s="119"/>
      <c r="GR40" s="119"/>
      <c r="GS40" s="119"/>
      <c r="GT40" s="119"/>
      <c r="GU40" s="119"/>
      <c r="GV40" s="119"/>
      <c r="GW40" s="119"/>
      <c r="GX40" s="119"/>
      <c r="GY40" s="119"/>
      <c r="GZ40" s="119"/>
      <c r="HA40" s="119"/>
      <c r="HB40" s="119"/>
      <c r="HC40" s="119"/>
      <c r="HD40" s="119"/>
      <c r="HE40" s="119"/>
      <c r="HF40" s="119"/>
      <c r="HG40" s="119"/>
      <c r="HH40" s="119"/>
      <c r="HI40" s="119"/>
      <c r="HJ40" s="119"/>
      <c r="HK40" s="119"/>
      <c r="HL40" s="119"/>
      <c r="HM40" s="119"/>
      <c r="HN40" s="119"/>
      <c r="HO40" s="119"/>
      <c r="HP40" s="119"/>
      <c r="HQ40" s="119"/>
      <c r="HR40" s="119"/>
      <c r="HS40" s="119"/>
      <c r="HT40" s="119"/>
      <c r="HU40" s="119"/>
      <c r="HV40" s="119"/>
      <c r="HW40" s="119"/>
      <c r="HX40" s="119"/>
      <c r="HY40" s="119"/>
      <c r="HZ40" s="119"/>
      <c r="IA40" s="119"/>
      <c r="IB40" s="119"/>
      <c r="IC40" s="119"/>
      <c r="ID40" s="119"/>
      <c r="IE40" s="119"/>
      <c r="IF40" s="119"/>
      <c r="IG40" s="119"/>
      <c r="IH40" s="119"/>
      <c r="II40" s="119"/>
      <c r="IJ40" s="119"/>
      <c r="IK40" s="119"/>
      <c r="IL40" s="119"/>
      <c r="IM40" s="119"/>
      <c r="IN40" s="119"/>
      <c r="IO40" s="119"/>
      <c r="IP40" s="119"/>
      <c r="IQ40" s="119"/>
      <c r="IR40" s="119"/>
      <c r="IS40" s="119"/>
      <c r="IT40" s="119"/>
      <c r="IU40" s="119"/>
    </row>
    <row r="41" spans="1:255" ht="15" customHeight="1" x14ac:dyDescent="0.25">
      <c r="A41" s="153" t="s">
        <v>44</v>
      </c>
      <c r="B41" s="119"/>
      <c r="C41" s="119"/>
      <c r="D41" s="119"/>
      <c r="E41" s="119"/>
      <c r="F41" s="122"/>
      <c r="G41" s="122"/>
      <c r="H41" s="122"/>
      <c r="I41" s="122"/>
      <c r="J41" s="122"/>
      <c r="K41" s="131"/>
    </row>
    <row r="42" spans="1:255" ht="12" customHeight="1" x14ac:dyDescent="0.2">
      <c r="B42" s="119"/>
      <c r="C42" s="119"/>
      <c r="D42" s="119"/>
      <c r="E42" s="119"/>
      <c r="F42" s="122"/>
      <c r="G42" s="122"/>
      <c r="H42" s="122"/>
      <c r="I42" s="122"/>
      <c r="J42" s="122"/>
      <c r="K42" s="131"/>
    </row>
    <row r="43" spans="1:255" ht="12" customHeight="1" x14ac:dyDescent="0.2">
      <c r="A43" s="140" t="s">
        <v>73</v>
      </c>
      <c r="B43" s="119"/>
      <c r="C43" s="119"/>
      <c r="D43" s="119"/>
      <c r="E43" s="119"/>
      <c r="F43" s="122"/>
      <c r="G43" s="122"/>
      <c r="H43" s="122"/>
      <c r="I43" s="122"/>
      <c r="J43" s="122"/>
      <c r="K43" s="131"/>
    </row>
    <row r="44" spans="1:255" ht="12" customHeight="1" x14ac:dyDescent="0.2">
      <c r="B44" s="119"/>
      <c r="C44" s="119"/>
      <c r="D44" s="119"/>
      <c r="E44" s="119"/>
      <c r="F44" s="122"/>
      <c r="G44" s="122"/>
      <c r="H44" s="122"/>
      <c r="I44" s="122"/>
      <c r="J44" s="122"/>
      <c r="K44" s="131"/>
    </row>
    <row r="45" spans="1:255" ht="12" customHeight="1" x14ac:dyDescent="0.2">
      <c r="A45" s="114" t="s">
        <v>74</v>
      </c>
      <c r="B45" s="119">
        <v>45.220919889999998</v>
      </c>
      <c r="C45" s="119">
        <v>63.65</v>
      </c>
      <c r="D45" s="125">
        <v>360.77918879999999</v>
      </c>
      <c r="E45" s="119">
        <v>184.25</v>
      </c>
      <c r="F45" s="128">
        <v>75.473325000000003</v>
      </c>
      <c r="G45" s="128">
        <v>31.21</v>
      </c>
      <c r="H45" s="128">
        <v>112.593</v>
      </c>
      <c r="I45" s="128">
        <v>47.809232969999996</v>
      </c>
      <c r="J45" s="119">
        <v>228.4530201</v>
      </c>
      <c r="K45" s="131">
        <f t="shared" ref="K45:K52" si="5">SUM(B45:J45)</f>
        <v>1149.4386867600001</v>
      </c>
    </row>
    <row r="46" spans="1:255" ht="12" customHeight="1" x14ac:dyDescent="0.2">
      <c r="A46" s="114" t="s">
        <v>75</v>
      </c>
      <c r="B46" s="119">
        <v>13.36024888</v>
      </c>
      <c r="C46" s="119"/>
      <c r="D46" s="119"/>
      <c r="E46" s="119"/>
      <c r="F46" s="128">
        <v>38.092027999999999</v>
      </c>
      <c r="G46" s="128">
        <v>5.19</v>
      </c>
      <c r="H46" s="128"/>
      <c r="I46" s="128">
        <v>113.19497204000001</v>
      </c>
      <c r="J46" s="119">
        <v>198.00393896</v>
      </c>
      <c r="K46" s="131">
        <f t="shared" si="5"/>
        <v>367.84118788000001</v>
      </c>
    </row>
    <row r="47" spans="1:255" ht="12" customHeight="1" x14ac:dyDescent="0.2">
      <c r="A47" s="114" t="s">
        <v>105</v>
      </c>
      <c r="B47" s="119"/>
      <c r="C47" s="119">
        <v>354.54</v>
      </c>
      <c r="D47" s="119"/>
      <c r="E47" s="119">
        <v>369.47</v>
      </c>
      <c r="F47" s="128"/>
      <c r="G47" s="128">
        <v>1477.79</v>
      </c>
      <c r="H47" s="128"/>
      <c r="I47" s="128">
        <v>20.758192430000001</v>
      </c>
      <c r="J47" s="122"/>
      <c r="K47" s="131">
        <f t="shared" si="5"/>
        <v>2222.55819243</v>
      </c>
    </row>
    <row r="48" spans="1:255" ht="12" customHeight="1" x14ac:dyDescent="0.2">
      <c r="A48" s="114" t="s">
        <v>107</v>
      </c>
      <c r="B48" s="119">
        <v>15.599698180000001</v>
      </c>
      <c r="C48" s="119">
        <v>82.9</v>
      </c>
      <c r="D48" s="119">
        <v>1581.6299107300001</v>
      </c>
      <c r="E48" s="119">
        <v>7.68</v>
      </c>
      <c r="F48" s="128"/>
      <c r="G48" s="128">
        <v>56.79</v>
      </c>
      <c r="H48" s="128">
        <v>86.418000000000006</v>
      </c>
      <c r="I48" s="128"/>
      <c r="J48" s="122">
        <v>10.84465063</v>
      </c>
      <c r="K48" s="131">
        <f t="shared" si="5"/>
        <v>1841.86225954</v>
      </c>
    </row>
    <row r="49" spans="1:11" ht="12" customHeight="1" x14ac:dyDescent="0.2">
      <c r="A49" s="114" t="s">
        <v>106</v>
      </c>
      <c r="B49" s="119"/>
      <c r="C49" s="119"/>
      <c r="D49" s="125">
        <v>1686.47151218</v>
      </c>
      <c r="E49" s="119"/>
      <c r="F49" s="128"/>
      <c r="G49" s="128"/>
      <c r="H49" s="128"/>
      <c r="I49" s="128"/>
      <c r="J49" s="122"/>
      <c r="K49" s="131">
        <f t="shared" si="5"/>
        <v>1686.47151218</v>
      </c>
    </row>
    <row r="50" spans="1:11" ht="12" customHeight="1" x14ac:dyDescent="0.2">
      <c r="A50" s="114" t="s">
        <v>108</v>
      </c>
      <c r="B50" s="119"/>
      <c r="C50" s="119">
        <v>201.84</v>
      </c>
      <c r="D50" s="119">
        <v>1134.31238566</v>
      </c>
      <c r="E50" s="119">
        <v>635.62</v>
      </c>
      <c r="F50" s="128"/>
      <c r="G50" s="128">
        <v>463.04</v>
      </c>
      <c r="H50" s="128">
        <v>93.575000000000003</v>
      </c>
      <c r="I50" s="128">
        <v>11.387982309999998</v>
      </c>
      <c r="J50" s="119">
        <v>947.40776816000005</v>
      </c>
      <c r="K50" s="131">
        <f t="shared" si="5"/>
        <v>3487.1831361300001</v>
      </c>
    </row>
    <row r="51" spans="1:11" ht="12" customHeight="1" x14ac:dyDescent="0.2">
      <c r="A51" s="114" t="s">
        <v>78</v>
      </c>
      <c r="B51" s="119"/>
      <c r="C51" s="119"/>
      <c r="D51" s="119"/>
      <c r="E51" s="119"/>
      <c r="F51" s="128"/>
      <c r="G51" s="128">
        <v>8.17</v>
      </c>
      <c r="H51" s="128">
        <v>3.0190000000000001</v>
      </c>
      <c r="I51" s="128"/>
      <c r="J51" s="122">
        <v>4.31597879</v>
      </c>
      <c r="K51" s="131">
        <f t="shared" si="5"/>
        <v>15.504978789999999</v>
      </c>
    </row>
    <row r="52" spans="1:11" ht="12" customHeight="1" x14ac:dyDescent="0.2">
      <c r="A52" s="114" t="s">
        <v>79</v>
      </c>
      <c r="B52" s="119"/>
      <c r="C52" s="119"/>
      <c r="D52" s="119"/>
      <c r="E52" s="119"/>
      <c r="F52" s="128"/>
      <c r="G52" s="128">
        <v>4.9400000000000004</v>
      </c>
      <c r="H52" s="128"/>
      <c r="I52" s="128"/>
      <c r="J52" s="122">
        <v>9.3976540499999999</v>
      </c>
      <c r="K52" s="131">
        <f t="shared" si="5"/>
        <v>14.337654050000001</v>
      </c>
    </row>
    <row r="53" spans="1:11" ht="12" customHeight="1" x14ac:dyDescent="0.2">
      <c r="B53" s="119"/>
      <c r="C53" s="119"/>
      <c r="D53" s="119"/>
      <c r="E53" s="119"/>
      <c r="F53" s="122"/>
      <c r="G53" s="122"/>
      <c r="H53" s="122"/>
      <c r="I53" s="122"/>
      <c r="J53" s="122"/>
      <c r="K53" s="131"/>
    </row>
    <row r="54" spans="1:11" s="140" customFormat="1" ht="12" customHeight="1" x14ac:dyDescent="0.2">
      <c r="A54" s="155" t="s">
        <v>12</v>
      </c>
      <c r="B54" s="131">
        <f t="shared" ref="B54:J54" si="6">SUM(B45:B52)</f>
        <v>74.180866949999995</v>
      </c>
      <c r="C54" s="131">
        <f t="shared" si="6"/>
        <v>702.93000000000006</v>
      </c>
      <c r="D54" s="131">
        <f t="shared" si="6"/>
        <v>4763.1929973700007</v>
      </c>
      <c r="E54" s="131">
        <f t="shared" si="6"/>
        <v>1197.02</v>
      </c>
      <c r="F54" s="132">
        <f t="shared" si="6"/>
        <v>113.565353</v>
      </c>
      <c r="G54" s="132">
        <f>SUM(G45:G52)</f>
        <v>2047.13</v>
      </c>
      <c r="H54" s="132">
        <f t="shared" si="6"/>
        <v>295.60500000000002</v>
      </c>
      <c r="I54" s="132">
        <f t="shared" si="6"/>
        <v>193.15037975000001</v>
      </c>
      <c r="J54" s="132">
        <f t="shared" si="6"/>
        <v>1398.42301069</v>
      </c>
      <c r="K54" s="131">
        <f>SUM(B54:J54)</f>
        <v>10785.197607760001</v>
      </c>
    </row>
    <row r="55" spans="1:11" ht="12" customHeight="1" x14ac:dyDescent="0.2">
      <c r="B55" s="119"/>
      <c r="C55" s="119"/>
      <c r="D55" s="119"/>
      <c r="E55" s="119"/>
      <c r="F55" s="122"/>
      <c r="G55" s="122"/>
      <c r="H55" s="122"/>
      <c r="I55" s="122"/>
      <c r="J55" s="122"/>
      <c r="K55" s="131"/>
    </row>
    <row r="56" spans="1:11" ht="12" customHeight="1" x14ac:dyDescent="0.2">
      <c r="A56" s="140" t="s">
        <v>45</v>
      </c>
      <c r="B56" s="119"/>
      <c r="C56" s="119"/>
      <c r="D56" s="119"/>
      <c r="E56" s="119"/>
      <c r="F56" s="122"/>
      <c r="G56" s="122"/>
      <c r="H56" s="122"/>
      <c r="I56" s="122"/>
      <c r="J56" s="122"/>
      <c r="K56" s="131"/>
    </row>
    <row r="57" spans="1:11" ht="12" customHeight="1" x14ac:dyDescent="0.2">
      <c r="B57" s="119"/>
      <c r="C57" s="119"/>
      <c r="D57" s="119"/>
      <c r="E57" s="119"/>
      <c r="F57" s="122"/>
      <c r="G57" s="122"/>
      <c r="H57" s="122"/>
      <c r="I57" s="122"/>
      <c r="J57" s="122"/>
      <c r="K57" s="131"/>
    </row>
    <row r="58" spans="1:11" ht="12" customHeight="1" x14ac:dyDescent="0.2">
      <c r="A58" s="114" t="s">
        <v>46</v>
      </c>
      <c r="B58" s="119">
        <v>733.56017024000005</v>
      </c>
      <c r="C58" s="119">
        <v>1598.39</v>
      </c>
      <c r="D58" s="125">
        <v>714.01899274000004</v>
      </c>
      <c r="E58" s="119">
        <v>248.67</v>
      </c>
      <c r="F58" s="119">
        <f>1924.987194+465.892458</f>
        <v>2390.8796520000001</v>
      </c>
      <c r="G58" s="119">
        <v>2483.64</v>
      </c>
      <c r="H58" s="119">
        <v>3185.183</v>
      </c>
      <c r="I58" s="119">
        <v>1697.8608204100001</v>
      </c>
      <c r="J58" s="119">
        <v>3354.9140130000001</v>
      </c>
      <c r="K58" s="131">
        <f>SUM(B58:J58)</f>
        <v>16407.116648390002</v>
      </c>
    </row>
    <row r="59" spans="1:11" ht="12" customHeight="1" x14ac:dyDescent="0.2">
      <c r="A59" s="114" t="s">
        <v>47</v>
      </c>
      <c r="B59" s="119">
        <v>115.76808084</v>
      </c>
      <c r="C59" s="119"/>
      <c r="D59" s="119"/>
      <c r="E59" s="119"/>
      <c r="F59" s="119">
        <v>127.30340700000001</v>
      </c>
      <c r="G59" s="119">
        <v>205.61</v>
      </c>
      <c r="H59" s="119">
        <v>18.728999999999999</v>
      </c>
      <c r="I59" s="119">
        <v>157.15512649999999</v>
      </c>
      <c r="J59" s="119">
        <v>462.04926993999999</v>
      </c>
      <c r="K59" s="131">
        <f>SUM(B59:J59)</f>
        <v>1086.6148842800001</v>
      </c>
    </row>
    <row r="60" spans="1:11" ht="12" customHeight="1" x14ac:dyDescent="0.2">
      <c r="B60" s="119"/>
      <c r="C60" s="119"/>
      <c r="D60" s="119"/>
      <c r="E60" s="119"/>
      <c r="F60" s="122"/>
      <c r="G60" s="122"/>
      <c r="H60" s="122"/>
      <c r="I60" s="122"/>
      <c r="J60" s="122"/>
      <c r="K60" s="131"/>
    </row>
    <row r="61" spans="1:11" s="140" customFormat="1" ht="12" customHeight="1" x14ac:dyDescent="0.2">
      <c r="A61" s="140" t="s">
        <v>12</v>
      </c>
      <c r="B61" s="131">
        <f t="shared" ref="B61:J61" si="7">SUM(B58:B59)</f>
        <v>849.32825108000009</v>
      </c>
      <c r="C61" s="131">
        <f t="shared" si="7"/>
        <v>1598.39</v>
      </c>
      <c r="D61" s="131">
        <f t="shared" si="7"/>
        <v>714.01899274000004</v>
      </c>
      <c r="E61" s="131">
        <f t="shared" si="7"/>
        <v>248.67</v>
      </c>
      <c r="F61" s="132">
        <f t="shared" si="7"/>
        <v>2518.183059</v>
      </c>
      <c r="G61" s="132">
        <f t="shared" si="7"/>
        <v>2689.25</v>
      </c>
      <c r="H61" s="132">
        <f t="shared" si="7"/>
        <v>3203.9119999999998</v>
      </c>
      <c r="I61" s="132">
        <f t="shared" si="7"/>
        <v>1855.0159469100001</v>
      </c>
      <c r="J61" s="132">
        <f t="shared" si="7"/>
        <v>3816.9632829400002</v>
      </c>
      <c r="K61" s="131">
        <f>SUM(B61:J61)</f>
        <v>17493.731532670001</v>
      </c>
    </row>
    <row r="62" spans="1:11" ht="12" customHeight="1" x14ac:dyDescent="0.2">
      <c r="B62" s="119"/>
      <c r="C62" s="119"/>
      <c r="D62" s="119"/>
      <c r="E62" s="119"/>
      <c r="F62" s="122"/>
      <c r="G62" s="122"/>
      <c r="H62" s="122"/>
      <c r="I62" s="122"/>
      <c r="J62" s="122"/>
      <c r="K62" s="131"/>
    </row>
    <row r="63" spans="1:11" ht="12" customHeight="1" x14ac:dyDescent="0.2">
      <c r="A63" s="140" t="s">
        <v>53</v>
      </c>
      <c r="B63" s="119">
        <v>15.52613421</v>
      </c>
      <c r="C63" s="119">
        <v>47.64</v>
      </c>
      <c r="D63" s="119">
        <v>28.072951070000002</v>
      </c>
      <c r="E63" s="119">
        <v>44.16</v>
      </c>
      <c r="F63" s="119">
        <v>146.09548000000001</v>
      </c>
      <c r="G63" s="119">
        <v>241.86</v>
      </c>
      <c r="H63" s="119">
        <v>206.001</v>
      </c>
      <c r="I63" s="119">
        <v>150.02289051</v>
      </c>
      <c r="J63" s="119">
        <v>284.89338143999998</v>
      </c>
      <c r="K63" s="131">
        <f>SUM(B63:J63)</f>
        <v>1164.2718372300001</v>
      </c>
    </row>
    <row r="64" spans="1:11" s="140" customFormat="1" ht="12" customHeight="1" x14ac:dyDescent="0.2">
      <c r="A64" s="155" t="s">
        <v>123</v>
      </c>
      <c r="B64" s="119"/>
      <c r="C64" s="119"/>
      <c r="D64" s="119"/>
      <c r="F64" s="122"/>
      <c r="G64" s="122"/>
      <c r="H64" s="122"/>
      <c r="I64" s="122"/>
      <c r="J64" s="122"/>
      <c r="K64" s="131"/>
    </row>
    <row r="65" spans="1:11" s="140" customFormat="1" ht="12" customHeight="1" x14ac:dyDescent="0.2">
      <c r="A65" s="155" t="s">
        <v>210</v>
      </c>
      <c r="B65" s="119">
        <v>2.50214786</v>
      </c>
      <c r="C65" s="119">
        <v>11.2</v>
      </c>
      <c r="D65" s="119"/>
      <c r="E65" s="119"/>
      <c r="F65" s="122"/>
      <c r="G65" s="122">
        <v>20.399999999999999</v>
      </c>
      <c r="H65" s="122"/>
      <c r="I65" s="122"/>
      <c r="J65" s="122"/>
      <c r="K65" s="131">
        <f>SUM(B65:J65)</f>
        <v>34.102147860000002</v>
      </c>
    </row>
    <row r="66" spans="1:11" s="140" customFormat="1" ht="12" customHeight="1" x14ac:dyDescent="0.2">
      <c r="A66" s="155" t="s">
        <v>125</v>
      </c>
      <c r="B66" s="119"/>
      <c r="C66" s="119"/>
      <c r="D66" s="119"/>
      <c r="E66" s="119">
        <v>40.909999999999997</v>
      </c>
      <c r="F66" s="122"/>
      <c r="G66" s="122">
        <v>0</v>
      </c>
      <c r="H66" s="122"/>
      <c r="I66" s="122"/>
      <c r="J66" s="122"/>
      <c r="K66" s="131">
        <f>SUM(B66:J66)</f>
        <v>40.909999999999997</v>
      </c>
    </row>
    <row r="67" spans="1:11" ht="12" customHeight="1" x14ac:dyDescent="0.2">
      <c r="A67" s="155"/>
      <c r="C67" s="146"/>
    </row>
    <row r="68" spans="1:11" ht="12" customHeight="1" x14ac:dyDescent="0.2">
      <c r="A68" s="156"/>
      <c r="C68" s="147"/>
    </row>
    <row r="69" spans="1:11" ht="12" customHeight="1" x14ac:dyDescent="0.2">
      <c r="A69" s="156"/>
      <c r="C69" s="147"/>
    </row>
    <row r="70" spans="1:11" ht="12" customHeight="1" x14ac:dyDescent="0.2">
      <c r="A70" s="143" t="s">
        <v>221</v>
      </c>
      <c r="C70" s="147"/>
    </row>
    <row r="71" spans="1:11" ht="12" customHeight="1" x14ac:dyDescent="0.2">
      <c r="A71" s="143" t="s">
        <v>212</v>
      </c>
    </row>
    <row r="72" spans="1:11" ht="12" customHeight="1" x14ac:dyDescent="0.2">
      <c r="A72" s="143" t="s">
        <v>205</v>
      </c>
    </row>
    <row r="73" spans="1:11" ht="14.25" x14ac:dyDescent="0.2">
      <c r="A73" s="155" t="s">
        <v>207</v>
      </c>
    </row>
    <row r="74" spans="1:11" ht="14.25" x14ac:dyDescent="0.2">
      <c r="A74" s="143" t="s">
        <v>208</v>
      </c>
    </row>
    <row r="76" spans="1:11" x14ac:dyDescent="0.2">
      <c r="A76" s="157"/>
    </row>
  </sheetData>
  <printOptions horizontalCentered="1"/>
  <pageMargins left="0.28999999999999998" right="0.34" top="0.71" bottom="0.19685039370078741" header="0.45" footer="0.19"/>
  <pageSetup paperSize="9" scale="90" orientation="landscape" horizontalDpi="4294967292" verticalDpi="300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U76"/>
  <sheetViews>
    <sheetView zoomScaleNormal="100" workbookViewId="0">
      <pane xSplit="1" ySplit="4" topLeftCell="B5" activePane="bottomRight" state="frozen"/>
      <selection activeCell="B5" sqref="B5"/>
      <selection pane="topRight" activeCell="B5" sqref="B5"/>
      <selection pane="bottomLeft" activeCell="B5" sqref="B5"/>
      <selection pane="bottomRight" activeCell="B5" sqref="B5"/>
    </sheetView>
  </sheetViews>
  <sheetFormatPr baseColWidth="10" defaultRowHeight="12.75" x14ac:dyDescent="0.2"/>
  <cols>
    <col min="1" max="1" width="41.28515625" style="114" customWidth="1"/>
    <col min="2" max="5" width="11.5703125" style="110" customWidth="1"/>
    <col min="6" max="10" width="11.5703125" style="111" customWidth="1"/>
    <col min="11" max="11" width="11.5703125" style="136" customWidth="1"/>
    <col min="12" max="16384" width="11.42578125" style="114"/>
  </cols>
  <sheetData>
    <row r="1" spans="1:11" x14ac:dyDescent="0.2">
      <c r="A1" s="140" t="s">
        <v>222</v>
      </c>
    </row>
    <row r="2" spans="1:11" x14ac:dyDescent="0.2">
      <c r="A2" s="114" t="s">
        <v>220</v>
      </c>
    </row>
    <row r="4" spans="1:11" s="110" customFormat="1" x14ac:dyDescent="0.2">
      <c r="A4" s="152"/>
      <c r="B4" s="110" t="s">
        <v>3</v>
      </c>
      <c r="C4" s="110" t="s">
        <v>4</v>
      </c>
      <c r="D4" s="110" t="s">
        <v>5</v>
      </c>
      <c r="E4" s="110" t="s">
        <v>6</v>
      </c>
      <c r="F4" s="116" t="s">
        <v>7</v>
      </c>
      <c r="G4" s="116" t="s">
        <v>8</v>
      </c>
      <c r="H4" s="116" t="s">
        <v>9</v>
      </c>
      <c r="I4" s="116" t="s">
        <v>198</v>
      </c>
      <c r="J4" s="116" t="s">
        <v>11</v>
      </c>
      <c r="K4" s="136" t="s">
        <v>12</v>
      </c>
    </row>
    <row r="5" spans="1:11" x14ac:dyDescent="0.2">
      <c r="C5" s="118"/>
      <c r="D5" s="119"/>
      <c r="E5" s="118"/>
      <c r="F5" s="120"/>
      <c r="G5" s="118"/>
      <c r="H5" s="118"/>
      <c r="I5" s="118"/>
      <c r="J5" s="118"/>
    </row>
    <row r="6" spans="1:11" ht="15.75" x14ac:dyDescent="0.25">
      <c r="A6" s="153" t="s">
        <v>42</v>
      </c>
      <c r="D6" s="119"/>
    </row>
    <row r="7" spans="1:11" x14ac:dyDescent="0.2">
      <c r="B7" s="119"/>
      <c r="C7" s="119"/>
      <c r="D7" s="119"/>
      <c r="E7" s="119"/>
      <c r="G7" s="119"/>
      <c r="H7" s="119"/>
      <c r="I7" s="119"/>
      <c r="J7" s="119"/>
      <c r="K7" s="119"/>
    </row>
    <row r="8" spans="1:11" x14ac:dyDescent="0.2">
      <c r="A8" s="140" t="s">
        <v>13</v>
      </c>
      <c r="B8" s="119"/>
      <c r="C8" s="119"/>
      <c r="D8" s="119"/>
      <c r="E8" s="119"/>
      <c r="G8" s="119"/>
      <c r="H8" s="119"/>
      <c r="I8" s="119"/>
      <c r="J8" s="119"/>
      <c r="K8" s="119"/>
    </row>
    <row r="9" spans="1:11" x14ac:dyDescent="0.2">
      <c r="B9" s="119"/>
      <c r="C9" s="119"/>
      <c r="D9" s="119"/>
      <c r="E9" s="119"/>
      <c r="G9" s="119"/>
      <c r="H9" s="119"/>
      <c r="I9" s="119"/>
      <c r="J9" s="119"/>
      <c r="K9" s="119"/>
    </row>
    <row r="10" spans="1:11" x14ac:dyDescent="0.2">
      <c r="A10" s="114" t="s">
        <v>72</v>
      </c>
      <c r="B10" s="119">
        <v>66.206666999999996</v>
      </c>
      <c r="C10" s="119">
        <v>43.42</v>
      </c>
      <c r="D10" s="119">
        <v>275.86054751999995</v>
      </c>
      <c r="E10" s="119">
        <v>172.33</v>
      </c>
      <c r="F10" s="119">
        <v>203.06818999999999</v>
      </c>
      <c r="G10" s="119">
        <v>1.78</v>
      </c>
      <c r="H10" s="119">
        <v>146.297</v>
      </c>
      <c r="I10" s="119">
        <v>80.683223909999995</v>
      </c>
      <c r="J10" s="154">
        <v>303.79700000000003</v>
      </c>
      <c r="K10" s="131">
        <f t="shared" ref="K10:K16" si="0">SUM(B10:J10)</f>
        <v>1293.44262843</v>
      </c>
    </row>
    <row r="11" spans="1:11" x14ac:dyDescent="0.2">
      <c r="A11" s="114" t="s">
        <v>67</v>
      </c>
      <c r="B11" s="119">
        <v>0.17694399999999999</v>
      </c>
      <c r="C11" s="119">
        <v>0.01</v>
      </c>
      <c r="D11" s="119"/>
      <c r="E11" s="119"/>
      <c r="F11" s="119"/>
      <c r="G11" s="119"/>
      <c r="H11" s="119"/>
      <c r="I11" s="119"/>
      <c r="J11" s="119">
        <v>14.119</v>
      </c>
      <c r="K11" s="131">
        <f t="shared" si="0"/>
        <v>14.305944</v>
      </c>
    </row>
    <row r="12" spans="1:11" x14ac:dyDescent="0.2">
      <c r="A12" s="114" t="s">
        <v>104</v>
      </c>
      <c r="B12" s="119"/>
      <c r="C12" s="119">
        <v>21.26</v>
      </c>
      <c r="D12" s="119">
        <v>37.56868463</v>
      </c>
      <c r="E12" s="119">
        <v>17.97</v>
      </c>
      <c r="F12" s="119">
        <v>17.594743999999999</v>
      </c>
      <c r="G12" s="119">
        <v>159.27000000000001</v>
      </c>
      <c r="H12" s="119"/>
      <c r="I12" s="119">
        <v>1.6894046100000002</v>
      </c>
      <c r="J12" s="119"/>
      <c r="K12" s="131">
        <f t="shared" si="0"/>
        <v>255.35283324</v>
      </c>
    </row>
    <row r="13" spans="1:11" x14ac:dyDescent="0.2">
      <c r="A13" s="114" t="s">
        <v>109</v>
      </c>
      <c r="B13" s="119">
        <v>16.697371</v>
      </c>
      <c r="C13" s="119">
        <v>9.5500000000000007</v>
      </c>
      <c r="D13" s="119">
        <v>117.66901848000001</v>
      </c>
      <c r="E13" s="119">
        <v>0.9</v>
      </c>
      <c r="F13" s="119">
        <v>4.6989000000000003E-2</v>
      </c>
      <c r="G13" s="119">
        <v>2.63</v>
      </c>
      <c r="H13" s="119">
        <v>25.882000000000001</v>
      </c>
      <c r="I13" s="119"/>
      <c r="J13" s="119">
        <v>2.5659999999999998</v>
      </c>
      <c r="K13" s="131">
        <f t="shared" si="0"/>
        <v>175.94137848000003</v>
      </c>
    </row>
    <row r="14" spans="1:11" x14ac:dyDescent="0.2">
      <c r="A14" s="147" t="s">
        <v>69</v>
      </c>
      <c r="B14" s="119">
        <v>1.2367410000000001</v>
      </c>
      <c r="C14" s="119"/>
      <c r="D14" s="110">
        <v>0.43798846000000002</v>
      </c>
      <c r="E14" s="119">
        <v>6.86</v>
      </c>
      <c r="F14" s="119"/>
      <c r="G14" s="119">
        <v>8.68</v>
      </c>
      <c r="H14" s="119">
        <v>16.012</v>
      </c>
      <c r="I14" s="119">
        <v>3.2904551899999999</v>
      </c>
      <c r="J14" s="119">
        <v>7.13</v>
      </c>
      <c r="K14" s="131">
        <f t="shared" si="0"/>
        <v>43.647184650000007</v>
      </c>
    </row>
    <row r="15" spans="1:11" x14ac:dyDescent="0.2">
      <c r="A15" s="114" t="s">
        <v>70</v>
      </c>
      <c r="B15" s="119"/>
      <c r="C15" s="119"/>
      <c r="D15" s="119"/>
      <c r="E15" s="119"/>
      <c r="F15" s="119"/>
      <c r="G15" s="119"/>
      <c r="H15" s="119"/>
      <c r="I15" s="119"/>
      <c r="J15" s="119"/>
      <c r="K15" s="131">
        <f t="shared" si="0"/>
        <v>0</v>
      </c>
    </row>
    <row r="16" spans="1:11" x14ac:dyDescent="0.2">
      <c r="A16" s="114" t="s">
        <v>71</v>
      </c>
      <c r="B16" s="119">
        <v>0.74775199999999997</v>
      </c>
      <c r="C16" s="119"/>
      <c r="D16" s="119">
        <f>(4805908.8+39851503.65)/1000000</f>
        <v>44.657412449999995</v>
      </c>
      <c r="E16" s="119">
        <v>33.799999999999997</v>
      </c>
      <c r="F16" s="125">
        <v>12.877635</v>
      </c>
      <c r="G16" s="119"/>
      <c r="H16" s="119">
        <v>12.512</v>
      </c>
      <c r="I16" s="119">
        <v>28.440816160000001</v>
      </c>
      <c r="J16" s="119">
        <v>23.393999999999998</v>
      </c>
      <c r="K16" s="131">
        <f t="shared" si="0"/>
        <v>156.42961560999998</v>
      </c>
    </row>
    <row r="17" spans="1:11" x14ac:dyDescent="0.2">
      <c r="B17" s="119"/>
      <c r="C17" s="119"/>
      <c r="D17" s="119"/>
      <c r="E17" s="119"/>
      <c r="F17" s="122"/>
      <c r="G17" s="122"/>
      <c r="H17" s="122"/>
      <c r="I17" s="122"/>
      <c r="J17" s="122"/>
      <c r="K17" s="131"/>
    </row>
    <row r="18" spans="1:11" s="155" customFormat="1" x14ac:dyDescent="0.2">
      <c r="A18" s="155" t="s">
        <v>12</v>
      </c>
      <c r="B18" s="127">
        <f>SUM(B10:B16)</f>
        <v>85.065475000000006</v>
      </c>
      <c r="C18" s="127">
        <f>SUM(C10:C16)</f>
        <v>74.239999999999995</v>
      </c>
      <c r="D18" s="127">
        <f>SUM(D10:D17)</f>
        <v>476.19365153999991</v>
      </c>
      <c r="E18" s="127">
        <f>SUM(E10:E17)</f>
        <v>231.86</v>
      </c>
      <c r="F18" s="128">
        <f>SUM(F10:F16)</f>
        <v>233.58755799999997</v>
      </c>
      <c r="G18" s="127">
        <f>SUM(G10:G16)</f>
        <v>172.36</v>
      </c>
      <c r="H18" s="127">
        <f>SUM(H10:H17)</f>
        <v>200.703</v>
      </c>
      <c r="I18" s="127">
        <f>SUM(I10:I17)</f>
        <v>114.10389986999999</v>
      </c>
      <c r="J18" s="128">
        <f>SUM(J10:J17)</f>
        <v>351.00600000000003</v>
      </c>
      <c r="K18" s="131">
        <f>SUM(B18:J18)</f>
        <v>1939.11958441</v>
      </c>
    </row>
    <row r="19" spans="1:11" x14ac:dyDescent="0.2">
      <c r="B19" s="119"/>
      <c r="C19" s="119"/>
      <c r="D19" s="119"/>
      <c r="E19" s="119"/>
      <c r="F19" s="122"/>
      <c r="G19" s="122"/>
      <c r="H19" s="122"/>
      <c r="I19" s="122"/>
      <c r="J19" s="122"/>
      <c r="K19" s="131"/>
    </row>
    <row r="20" spans="1:11" x14ac:dyDescent="0.2">
      <c r="B20" s="119"/>
      <c r="C20" s="119"/>
      <c r="D20" s="119"/>
      <c r="E20" s="119"/>
      <c r="F20" s="122"/>
      <c r="G20" s="122"/>
      <c r="H20" s="122"/>
      <c r="I20" s="122"/>
      <c r="J20" s="122"/>
      <c r="K20" s="131"/>
    </row>
    <row r="21" spans="1:11" x14ac:dyDescent="0.2">
      <c r="A21" s="140" t="s">
        <v>14</v>
      </c>
      <c r="B21" s="119"/>
      <c r="C21" s="119"/>
      <c r="D21" s="119"/>
      <c r="E21" s="119"/>
      <c r="F21" s="122"/>
      <c r="G21" s="122"/>
      <c r="H21" s="122"/>
      <c r="I21" s="122"/>
      <c r="J21" s="122"/>
      <c r="K21" s="131"/>
    </row>
    <row r="22" spans="1:11" x14ac:dyDescent="0.2">
      <c r="B22" s="119"/>
      <c r="C22" s="119"/>
      <c r="D22" s="119"/>
      <c r="E22" s="119"/>
      <c r="F22" s="122"/>
      <c r="G22" s="122"/>
      <c r="H22" s="122"/>
      <c r="I22" s="122"/>
      <c r="J22" s="122"/>
      <c r="K22" s="131"/>
    </row>
    <row r="23" spans="1:11" x14ac:dyDescent="0.2">
      <c r="A23" s="114" t="s">
        <v>72</v>
      </c>
      <c r="B23" s="119">
        <v>7.9484009999999996</v>
      </c>
      <c r="C23" s="119"/>
      <c r="D23" s="119">
        <v>16.486470619999999</v>
      </c>
      <c r="E23" s="119"/>
      <c r="F23" s="119">
        <v>27.527349999999998</v>
      </c>
      <c r="G23" s="119">
        <v>17.11</v>
      </c>
      <c r="H23" s="119"/>
      <c r="I23" s="119">
        <v>19.718815160000002</v>
      </c>
      <c r="J23" s="119">
        <v>93.588999999999999</v>
      </c>
      <c r="K23" s="131">
        <f t="shared" ref="K23:K28" si="1">SUM(B23:J23)</f>
        <v>182.38003678000001</v>
      </c>
    </row>
    <row r="24" spans="1:11" x14ac:dyDescent="0.2">
      <c r="A24" s="114" t="s">
        <v>104</v>
      </c>
      <c r="B24" s="119"/>
      <c r="C24" s="119"/>
      <c r="D24" s="119">
        <v>4.3194147599999999</v>
      </c>
      <c r="E24" s="119"/>
      <c r="F24" s="122"/>
      <c r="G24" s="122">
        <v>3.29</v>
      </c>
      <c r="H24" s="122"/>
      <c r="I24" s="122"/>
      <c r="J24" s="122"/>
      <c r="K24" s="131">
        <f t="shared" si="1"/>
        <v>7.6094147599999999</v>
      </c>
    </row>
    <row r="25" spans="1:11" x14ac:dyDescent="0.2">
      <c r="A25" s="114" t="s">
        <v>109</v>
      </c>
      <c r="B25" s="119"/>
      <c r="C25" s="119"/>
      <c r="D25" s="119">
        <v>109.95098863</v>
      </c>
      <c r="E25" s="119">
        <v>68.099999999999994</v>
      </c>
      <c r="F25" s="119">
        <v>0.68123599999999995</v>
      </c>
      <c r="G25" s="119">
        <v>56</v>
      </c>
      <c r="H25" s="119">
        <v>15.741</v>
      </c>
      <c r="I25" s="119">
        <v>6.2868318800000003</v>
      </c>
      <c r="J25" s="119">
        <v>94.364000000000004</v>
      </c>
      <c r="K25" s="131">
        <f t="shared" si="1"/>
        <v>351.12405651000006</v>
      </c>
    </row>
    <row r="26" spans="1:11" x14ac:dyDescent="0.2">
      <c r="A26" s="147" t="s">
        <v>69</v>
      </c>
      <c r="B26" s="119">
        <v>1.2024410000000001</v>
      </c>
      <c r="C26" s="119">
        <v>32.450000000000003</v>
      </c>
      <c r="D26" s="119">
        <v>6.3129737800000001</v>
      </c>
      <c r="E26" s="119">
        <v>5.72</v>
      </c>
      <c r="F26" s="119"/>
      <c r="G26" s="119">
        <v>3.63</v>
      </c>
      <c r="H26" s="119">
        <v>30.065000000000001</v>
      </c>
      <c r="I26" s="119">
        <v>5.5937607699999994</v>
      </c>
      <c r="J26" s="119">
        <v>59.923999999999999</v>
      </c>
      <c r="K26" s="131">
        <f t="shared" si="1"/>
        <v>144.89817555000002</v>
      </c>
    </row>
    <row r="27" spans="1:11" x14ac:dyDescent="0.2">
      <c r="A27" s="114" t="s">
        <v>70</v>
      </c>
      <c r="B27" s="119"/>
      <c r="C27" s="119"/>
      <c r="D27" s="119"/>
      <c r="E27" s="119"/>
      <c r="F27" s="122"/>
      <c r="G27" s="122"/>
      <c r="H27" s="122"/>
      <c r="I27" s="122"/>
      <c r="J27" s="122"/>
      <c r="K27" s="131">
        <f t="shared" si="1"/>
        <v>0</v>
      </c>
    </row>
    <row r="28" spans="1:11" x14ac:dyDescent="0.2">
      <c r="A28" s="114" t="s">
        <v>71</v>
      </c>
      <c r="B28" s="119"/>
      <c r="C28" s="119"/>
      <c r="D28" s="119">
        <f>(3051010.05+5934398.2)/1000000</f>
        <v>8.9854082500000008</v>
      </c>
      <c r="E28" s="119"/>
      <c r="F28" s="122"/>
      <c r="G28" s="122"/>
      <c r="H28" s="122"/>
      <c r="I28" s="122"/>
      <c r="J28" s="122">
        <v>3.593</v>
      </c>
      <c r="K28" s="131">
        <f t="shared" si="1"/>
        <v>12.578408250000001</v>
      </c>
    </row>
    <row r="29" spans="1:11" x14ac:dyDescent="0.2">
      <c r="B29" s="119"/>
      <c r="C29" s="119"/>
      <c r="D29" s="119"/>
      <c r="E29" s="119"/>
      <c r="F29" s="122"/>
      <c r="G29" s="122"/>
      <c r="H29" s="122"/>
      <c r="I29" s="122"/>
      <c r="J29" s="122"/>
      <c r="K29" s="131"/>
    </row>
    <row r="30" spans="1:11" s="155" customFormat="1" x14ac:dyDescent="0.2">
      <c r="A30" s="155" t="s">
        <v>12</v>
      </c>
      <c r="B30" s="119">
        <f>SUM(B23:B28)</f>
        <v>9.150841999999999</v>
      </c>
      <c r="C30" s="127">
        <f>SUM(C23:C28)</f>
        <v>32.450000000000003</v>
      </c>
      <c r="D30" s="127">
        <f>SUM(D23:D28)</f>
        <v>146.05525603999999</v>
      </c>
      <c r="E30" s="127">
        <f>SUM(E23:E28)</f>
        <v>73.819999999999993</v>
      </c>
      <c r="F30" s="128">
        <f>SUM(F23:F28)</f>
        <v>28.208585999999997</v>
      </c>
      <c r="G30" s="128">
        <f>SUM(G23:G29)</f>
        <v>80.03</v>
      </c>
      <c r="H30" s="128">
        <f>SUM(H23:H29)</f>
        <v>45.805999999999997</v>
      </c>
      <c r="I30" s="128">
        <f>SUM(I23:I29)</f>
        <v>31.599407810000002</v>
      </c>
      <c r="J30" s="128">
        <f>SUM(J23:J29)</f>
        <v>251.47</v>
      </c>
      <c r="K30" s="131">
        <f>SUM(B30:J30)</f>
        <v>698.59009184999991</v>
      </c>
    </row>
    <row r="31" spans="1:11" s="155" customFormat="1" x14ac:dyDescent="0.2">
      <c r="B31" s="119"/>
      <c r="C31" s="127"/>
      <c r="D31" s="127"/>
      <c r="E31" s="127"/>
      <c r="F31" s="128"/>
      <c r="G31" s="128"/>
      <c r="H31" s="128"/>
      <c r="I31" s="128"/>
      <c r="J31" s="128"/>
      <c r="K31" s="127"/>
    </row>
    <row r="32" spans="1:11" s="140" customFormat="1" x14ac:dyDescent="0.2">
      <c r="A32" s="140" t="s">
        <v>43</v>
      </c>
      <c r="B32" s="131">
        <f t="shared" ref="B32:G32" si="2">B18+B30</f>
        <v>94.216317000000004</v>
      </c>
      <c r="C32" s="131">
        <f t="shared" si="2"/>
        <v>106.69</v>
      </c>
      <c r="D32" s="131">
        <f t="shared" si="2"/>
        <v>622.24890757999992</v>
      </c>
      <c r="E32" s="131">
        <f t="shared" si="2"/>
        <v>305.68</v>
      </c>
      <c r="F32" s="132">
        <f t="shared" si="2"/>
        <v>261.79614399999997</v>
      </c>
      <c r="G32" s="132">
        <f t="shared" si="2"/>
        <v>252.39000000000001</v>
      </c>
      <c r="H32" s="132">
        <f>H30+H18</f>
        <v>246.50900000000001</v>
      </c>
      <c r="I32" s="132">
        <f>I18+I30</f>
        <v>145.70330767999999</v>
      </c>
      <c r="J32" s="132">
        <f>J18+J30</f>
        <v>602.476</v>
      </c>
      <c r="K32" s="131">
        <f>SUM(B32:J32)</f>
        <v>2637.7096762599999</v>
      </c>
    </row>
    <row r="33" spans="1:255" s="140" customFormat="1" x14ac:dyDescent="0.2">
      <c r="B33" s="131"/>
      <c r="C33" s="131"/>
      <c r="D33" s="131"/>
      <c r="E33" s="131"/>
      <c r="F33" s="132"/>
      <c r="G33" s="132"/>
      <c r="H33" s="132"/>
      <c r="I33" s="132"/>
      <c r="J33" s="132"/>
      <c r="K33" s="131"/>
    </row>
    <row r="34" spans="1:255" s="155" customFormat="1" ht="14.25" x14ac:dyDescent="0.2">
      <c r="A34" s="140" t="s">
        <v>199</v>
      </c>
      <c r="B34" s="119"/>
      <c r="C34" s="127">
        <v>28.44</v>
      </c>
      <c r="D34" s="127"/>
      <c r="E34" s="127">
        <v>33.6</v>
      </c>
      <c r="F34" s="128"/>
      <c r="G34" s="128">
        <v>48.28</v>
      </c>
      <c r="H34" s="128">
        <v>21.895</v>
      </c>
      <c r="I34" s="128"/>
      <c r="J34" s="128">
        <v>40.212000000000003</v>
      </c>
      <c r="K34" s="131">
        <f>SUM(B34:J34)</f>
        <v>172.42700000000002</v>
      </c>
    </row>
    <row r="35" spans="1:255" x14ac:dyDescent="0.2">
      <c r="B35" s="119"/>
      <c r="C35" s="119"/>
      <c r="D35" s="119"/>
      <c r="E35" s="119"/>
      <c r="F35" s="122"/>
      <c r="G35" s="122"/>
      <c r="H35" s="122"/>
      <c r="I35" s="122"/>
      <c r="J35" s="122"/>
      <c r="K35" s="119"/>
      <c r="L35" s="119"/>
      <c r="M35" s="119"/>
      <c r="N35" s="119"/>
      <c r="O35" s="119"/>
      <c r="P35" s="119"/>
      <c r="Q35" s="119"/>
      <c r="R35" s="119"/>
      <c r="S35" s="119"/>
      <c r="T35" s="119"/>
      <c r="U35" s="119"/>
      <c r="V35" s="119"/>
      <c r="W35" s="119"/>
      <c r="X35" s="119"/>
      <c r="Y35" s="119"/>
      <c r="Z35" s="119"/>
      <c r="AA35" s="119"/>
      <c r="AB35" s="119"/>
      <c r="AC35" s="119"/>
      <c r="AD35" s="119"/>
      <c r="AE35" s="119"/>
      <c r="AF35" s="119"/>
      <c r="AG35" s="119"/>
      <c r="AH35" s="119"/>
      <c r="AI35" s="119"/>
      <c r="AJ35" s="119"/>
      <c r="AK35" s="119"/>
      <c r="AL35" s="119"/>
      <c r="AM35" s="119"/>
      <c r="AN35" s="119"/>
      <c r="AO35" s="119"/>
      <c r="AP35" s="119"/>
      <c r="AQ35" s="119"/>
      <c r="AR35" s="119"/>
      <c r="AS35" s="119"/>
      <c r="AT35" s="119"/>
      <c r="AU35" s="119"/>
      <c r="AV35" s="119"/>
      <c r="AW35" s="119"/>
      <c r="AX35" s="119"/>
      <c r="AY35" s="119"/>
      <c r="AZ35" s="119"/>
      <c r="BA35" s="119"/>
      <c r="BB35" s="119"/>
      <c r="BC35" s="119"/>
      <c r="BD35" s="119"/>
      <c r="BE35" s="119"/>
      <c r="BF35" s="119"/>
      <c r="BG35" s="119"/>
      <c r="BH35" s="119"/>
      <c r="BI35" s="119"/>
      <c r="BJ35" s="119"/>
      <c r="BK35" s="119"/>
      <c r="BL35" s="119"/>
      <c r="BM35" s="119"/>
      <c r="BN35" s="119"/>
      <c r="BO35" s="119"/>
      <c r="BP35" s="119"/>
      <c r="BQ35" s="119"/>
      <c r="BR35" s="119"/>
      <c r="BS35" s="119"/>
      <c r="BT35" s="119"/>
      <c r="BU35" s="119"/>
      <c r="BV35" s="119"/>
      <c r="BW35" s="119"/>
      <c r="BX35" s="119"/>
      <c r="BY35" s="119"/>
      <c r="BZ35" s="119"/>
      <c r="CA35" s="119"/>
      <c r="CB35" s="119"/>
      <c r="CC35" s="119"/>
      <c r="CD35" s="119"/>
      <c r="CE35" s="119"/>
      <c r="CF35" s="119"/>
      <c r="CG35" s="119"/>
      <c r="CH35" s="119"/>
      <c r="CI35" s="119"/>
      <c r="CJ35" s="119"/>
      <c r="CK35" s="119"/>
      <c r="CL35" s="119"/>
      <c r="CM35" s="119"/>
      <c r="CN35" s="119"/>
      <c r="CO35" s="119"/>
      <c r="CP35" s="119"/>
      <c r="CQ35" s="119"/>
      <c r="CR35" s="119"/>
      <c r="CS35" s="119"/>
      <c r="CT35" s="119"/>
      <c r="CU35" s="119"/>
      <c r="CV35" s="119"/>
      <c r="CW35" s="119"/>
      <c r="CX35" s="119"/>
      <c r="CY35" s="119"/>
      <c r="CZ35" s="119"/>
      <c r="DA35" s="119"/>
      <c r="DB35" s="119"/>
      <c r="DC35" s="119"/>
      <c r="DD35" s="119"/>
      <c r="DE35" s="119"/>
      <c r="DF35" s="119"/>
      <c r="DG35" s="119"/>
      <c r="DH35" s="119"/>
      <c r="DI35" s="119"/>
      <c r="DJ35" s="119"/>
      <c r="DK35" s="119"/>
      <c r="DL35" s="119"/>
      <c r="DM35" s="119"/>
      <c r="DN35" s="119"/>
      <c r="DO35" s="119"/>
      <c r="DP35" s="119"/>
      <c r="DQ35" s="119"/>
      <c r="DR35" s="119"/>
      <c r="DS35" s="119"/>
      <c r="DT35" s="119"/>
      <c r="DU35" s="119"/>
      <c r="DV35" s="119"/>
      <c r="DW35" s="119"/>
      <c r="DX35" s="119"/>
      <c r="DY35" s="119"/>
      <c r="DZ35" s="119"/>
      <c r="EA35" s="119"/>
      <c r="EB35" s="119"/>
      <c r="EC35" s="119"/>
      <c r="ED35" s="119"/>
      <c r="EE35" s="119"/>
      <c r="EF35" s="119"/>
      <c r="EG35" s="119"/>
      <c r="EH35" s="119"/>
      <c r="EI35" s="119"/>
      <c r="EJ35" s="119"/>
      <c r="EK35" s="119"/>
      <c r="EL35" s="119"/>
      <c r="EM35" s="119"/>
      <c r="EN35" s="119"/>
      <c r="EO35" s="119"/>
      <c r="EP35" s="119"/>
      <c r="EQ35" s="119"/>
      <c r="ER35" s="119"/>
      <c r="ES35" s="119"/>
      <c r="ET35" s="119"/>
      <c r="EU35" s="119"/>
      <c r="EV35" s="119"/>
      <c r="EW35" s="119"/>
      <c r="EX35" s="119"/>
      <c r="EY35" s="119"/>
      <c r="EZ35" s="119"/>
      <c r="FA35" s="119"/>
      <c r="FB35" s="119"/>
      <c r="FC35" s="119"/>
      <c r="FD35" s="119"/>
      <c r="FE35" s="119"/>
      <c r="FF35" s="119"/>
      <c r="FG35" s="119"/>
      <c r="FH35" s="119"/>
      <c r="FI35" s="119"/>
      <c r="FJ35" s="119"/>
      <c r="FK35" s="119"/>
      <c r="FL35" s="119"/>
      <c r="FM35" s="119"/>
      <c r="FN35" s="119"/>
      <c r="FO35" s="119"/>
      <c r="FP35" s="119"/>
      <c r="FQ35" s="119"/>
      <c r="FR35" s="119"/>
      <c r="FS35" s="119"/>
      <c r="FT35" s="119"/>
      <c r="FU35" s="119"/>
      <c r="FV35" s="119"/>
      <c r="FW35" s="119"/>
      <c r="FX35" s="119"/>
      <c r="FY35" s="119"/>
      <c r="FZ35" s="119"/>
      <c r="GA35" s="119"/>
      <c r="GB35" s="119"/>
      <c r="GC35" s="119"/>
      <c r="GD35" s="119"/>
      <c r="GE35" s="119"/>
      <c r="GF35" s="119"/>
      <c r="GG35" s="119"/>
      <c r="GH35" s="119"/>
      <c r="GI35" s="119"/>
      <c r="GJ35" s="119"/>
      <c r="GK35" s="119"/>
      <c r="GL35" s="119"/>
      <c r="GM35" s="119"/>
      <c r="GN35" s="119"/>
      <c r="GO35" s="119"/>
      <c r="GP35" s="119"/>
      <c r="GQ35" s="119"/>
      <c r="GR35" s="119"/>
      <c r="GS35" s="119"/>
      <c r="GT35" s="119"/>
      <c r="GU35" s="119"/>
      <c r="GV35" s="119"/>
      <c r="GW35" s="119"/>
      <c r="GX35" s="119"/>
      <c r="GY35" s="119"/>
      <c r="GZ35" s="119"/>
      <c r="HA35" s="119"/>
      <c r="HB35" s="119"/>
      <c r="HC35" s="119"/>
      <c r="HD35" s="119"/>
      <c r="HE35" s="119"/>
      <c r="HF35" s="119"/>
      <c r="HG35" s="119"/>
      <c r="HH35" s="119"/>
      <c r="HI35" s="119"/>
      <c r="HJ35" s="119"/>
      <c r="HK35" s="119"/>
      <c r="HL35" s="119"/>
      <c r="HM35" s="119"/>
      <c r="HN35" s="119"/>
      <c r="HO35" s="119"/>
      <c r="HP35" s="119"/>
      <c r="HQ35" s="119"/>
      <c r="HR35" s="119"/>
      <c r="HS35" s="119"/>
      <c r="HT35" s="119"/>
      <c r="HU35" s="119"/>
      <c r="HV35" s="119"/>
      <c r="HW35" s="119"/>
      <c r="HX35" s="119"/>
      <c r="HY35" s="119"/>
      <c r="HZ35" s="119"/>
      <c r="IA35" s="119"/>
      <c r="IB35" s="119"/>
      <c r="IC35" s="119"/>
      <c r="ID35" s="119"/>
      <c r="IE35" s="119"/>
      <c r="IF35" s="119"/>
      <c r="IG35" s="119"/>
      <c r="IH35" s="119"/>
      <c r="II35" s="119"/>
      <c r="IJ35" s="119"/>
      <c r="IK35" s="119"/>
      <c r="IL35" s="119"/>
      <c r="IM35" s="119"/>
      <c r="IN35" s="119"/>
      <c r="IO35" s="119"/>
      <c r="IP35" s="119"/>
      <c r="IQ35" s="119"/>
      <c r="IR35" s="119"/>
      <c r="IS35" s="119"/>
      <c r="IT35" s="119"/>
      <c r="IU35" s="119"/>
    </row>
    <row r="36" spans="1:255" ht="14.25" x14ac:dyDescent="0.2">
      <c r="A36" s="140" t="s">
        <v>200</v>
      </c>
      <c r="F36" s="110"/>
      <c r="G36" s="110"/>
      <c r="H36" s="110"/>
      <c r="I36" s="110"/>
      <c r="J36" s="110"/>
      <c r="K36" s="110"/>
      <c r="L36" s="119"/>
      <c r="M36" s="119"/>
      <c r="N36" s="119"/>
      <c r="O36" s="119"/>
      <c r="P36" s="119"/>
      <c r="Q36" s="119"/>
      <c r="R36" s="119"/>
      <c r="S36" s="119"/>
      <c r="T36" s="119"/>
      <c r="U36" s="119"/>
      <c r="V36" s="119"/>
      <c r="W36" s="119"/>
      <c r="X36" s="119"/>
      <c r="Y36" s="119"/>
      <c r="Z36" s="119"/>
      <c r="AA36" s="119"/>
      <c r="AB36" s="119"/>
      <c r="AC36" s="119"/>
      <c r="AD36" s="119"/>
      <c r="AE36" s="119"/>
      <c r="AF36" s="119"/>
      <c r="AG36" s="119"/>
      <c r="AH36" s="119"/>
      <c r="AI36" s="119"/>
      <c r="AJ36" s="119"/>
      <c r="AK36" s="119"/>
      <c r="AL36" s="119"/>
      <c r="AM36" s="119"/>
      <c r="AN36" s="119"/>
      <c r="AO36" s="119"/>
      <c r="AP36" s="119"/>
      <c r="AQ36" s="119"/>
      <c r="AR36" s="119"/>
      <c r="AS36" s="119"/>
      <c r="AT36" s="119"/>
      <c r="AU36" s="119"/>
      <c r="AV36" s="119"/>
      <c r="AW36" s="119"/>
      <c r="AX36" s="119"/>
      <c r="AY36" s="119"/>
      <c r="AZ36" s="119"/>
      <c r="BA36" s="119"/>
      <c r="BB36" s="119"/>
      <c r="BC36" s="119"/>
      <c r="BD36" s="119"/>
      <c r="BE36" s="119"/>
      <c r="BF36" s="119"/>
      <c r="BG36" s="119"/>
      <c r="BH36" s="119"/>
      <c r="BI36" s="119"/>
      <c r="BJ36" s="119"/>
      <c r="BK36" s="119"/>
      <c r="BL36" s="119"/>
      <c r="BM36" s="119"/>
      <c r="BN36" s="119"/>
      <c r="BO36" s="119"/>
      <c r="BP36" s="119"/>
      <c r="BQ36" s="119"/>
      <c r="BR36" s="119"/>
      <c r="BS36" s="119"/>
      <c r="BT36" s="119"/>
      <c r="BU36" s="119"/>
      <c r="BV36" s="119"/>
      <c r="BW36" s="119"/>
      <c r="BX36" s="119"/>
      <c r="BY36" s="119"/>
      <c r="BZ36" s="119"/>
      <c r="CA36" s="119"/>
      <c r="CB36" s="119"/>
      <c r="CC36" s="119"/>
      <c r="CD36" s="119"/>
      <c r="CE36" s="119"/>
      <c r="CF36" s="119"/>
      <c r="CG36" s="119"/>
      <c r="CH36" s="119"/>
      <c r="CI36" s="119"/>
      <c r="CJ36" s="119"/>
      <c r="CK36" s="119"/>
      <c r="CL36" s="119"/>
      <c r="CM36" s="119"/>
      <c r="CN36" s="119"/>
      <c r="CO36" s="119"/>
      <c r="CP36" s="119"/>
      <c r="CQ36" s="119"/>
      <c r="CR36" s="119"/>
      <c r="CS36" s="119"/>
      <c r="CT36" s="119"/>
      <c r="CU36" s="119"/>
      <c r="CV36" s="119"/>
      <c r="CW36" s="119"/>
      <c r="CX36" s="119"/>
      <c r="CY36" s="119"/>
      <c r="CZ36" s="119"/>
      <c r="DA36" s="119"/>
      <c r="DB36" s="119"/>
      <c r="DC36" s="119"/>
      <c r="DD36" s="119"/>
      <c r="DE36" s="119"/>
      <c r="DF36" s="119"/>
      <c r="DG36" s="119"/>
      <c r="DH36" s="119"/>
      <c r="DI36" s="119"/>
      <c r="DJ36" s="119"/>
      <c r="DK36" s="119"/>
      <c r="DL36" s="119"/>
      <c r="DM36" s="119"/>
      <c r="DN36" s="119"/>
      <c r="DO36" s="119"/>
      <c r="DP36" s="119"/>
      <c r="DQ36" s="119"/>
      <c r="DR36" s="119"/>
      <c r="DS36" s="119"/>
      <c r="DT36" s="119"/>
      <c r="DU36" s="119"/>
      <c r="DV36" s="119"/>
      <c r="DW36" s="119"/>
      <c r="DX36" s="119"/>
      <c r="DY36" s="119"/>
      <c r="DZ36" s="119"/>
      <c r="EA36" s="119"/>
      <c r="EB36" s="119"/>
      <c r="EC36" s="119"/>
      <c r="ED36" s="119"/>
      <c r="EE36" s="119"/>
      <c r="EF36" s="119"/>
      <c r="EG36" s="119"/>
      <c r="EH36" s="119"/>
      <c r="EI36" s="119"/>
      <c r="EJ36" s="119"/>
      <c r="EK36" s="119"/>
      <c r="EL36" s="119"/>
      <c r="EM36" s="119"/>
      <c r="EN36" s="119"/>
      <c r="EO36" s="119"/>
      <c r="EP36" s="119"/>
      <c r="EQ36" s="119"/>
      <c r="ER36" s="119"/>
      <c r="ES36" s="119"/>
      <c r="ET36" s="119"/>
      <c r="EU36" s="119"/>
      <c r="EV36" s="119"/>
      <c r="EW36" s="119"/>
      <c r="EX36" s="119"/>
      <c r="EY36" s="119"/>
      <c r="EZ36" s="119"/>
      <c r="FA36" s="119"/>
      <c r="FB36" s="119"/>
      <c r="FC36" s="119"/>
      <c r="FD36" s="119"/>
      <c r="FE36" s="119"/>
      <c r="FF36" s="119"/>
      <c r="FG36" s="119"/>
      <c r="FH36" s="119"/>
      <c r="FI36" s="119"/>
      <c r="FJ36" s="119"/>
      <c r="FK36" s="119"/>
      <c r="FL36" s="119"/>
      <c r="FM36" s="119"/>
      <c r="FN36" s="119"/>
      <c r="FO36" s="119"/>
      <c r="FP36" s="119"/>
      <c r="FQ36" s="119"/>
      <c r="FR36" s="119"/>
      <c r="FS36" s="119"/>
      <c r="FT36" s="119"/>
      <c r="FU36" s="119"/>
      <c r="FV36" s="119"/>
      <c r="FW36" s="119"/>
      <c r="FX36" s="119"/>
      <c r="FY36" s="119"/>
      <c r="FZ36" s="119"/>
      <c r="GA36" s="119"/>
      <c r="GB36" s="119"/>
      <c r="GC36" s="119"/>
      <c r="GD36" s="119"/>
      <c r="GE36" s="119"/>
      <c r="GF36" s="119"/>
      <c r="GG36" s="119"/>
      <c r="GH36" s="119"/>
      <c r="GI36" s="119"/>
      <c r="GJ36" s="119"/>
      <c r="GK36" s="119"/>
      <c r="GL36" s="119"/>
      <c r="GM36" s="119"/>
      <c r="GN36" s="119"/>
      <c r="GO36" s="119"/>
      <c r="GP36" s="119"/>
      <c r="GQ36" s="119"/>
      <c r="GR36" s="119"/>
      <c r="GS36" s="119"/>
      <c r="GT36" s="119"/>
      <c r="GU36" s="119"/>
      <c r="GV36" s="119"/>
      <c r="GW36" s="119"/>
      <c r="GX36" s="119"/>
      <c r="GY36" s="119"/>
      <c r="GZ36" s="119"/>
      <c r="HA36" s="119"/>
      <c r="HB36" s="119"/>
      <c r="HC36" s="119"/>
      <c r="HD36" s="119"/>
      <c r="HE36" s="119"/>
      <c r="HF36" s="119"/>
      <c r="HG36" s="119"/>
      <c r="HH36" s="119"/>
      <c r="HI36" s="119"/>
      <c r="HJ36" s="119"/>
      <c r="HK36" s="119"/>
      <c r="HL36" s="119"/>
      <c r="HM36" s="119"/>
      <c r="HN36" s="119"/>
      <c r="HO36" s="119"/>
      <c r="HP36" s="119"/>
      <c r="HQ36" s="119"/>
      <c r="HR36" s="119"/>
      <c r="HS36" s="119"/>
      <c r="HT36" s="119"/>
      <c r="HU36" s="119"/>
      <c r="HV36" s="119"/>
      <c r="HW36" s="119"/>
      <c r="HX36" s="119"/>
      <c r="HY36" s="119"/>
      <c r="HZ36" s="119"/>
      <c r="IA36" s="119"/>
      <c r="IB36" s="119"/>
      <c r="IC36" s="119"/>
      <c r="ID36" s="119"/>
      <c r="IE36" s="119"/>
      <c r="IF36" s="119"/>
      <c r="IG36" s="119"/>
      <c r="IH36" s="119"/>
      <c r="II36" s="119"/>
      <c r="IJ36" s="119"/>
      <c r="IK36" s="119"/>
      <c r="IL36" s="119"/>
      <c r="IM36" s="119"/>
      <c r="IN36" s="119"/>
      <c r="IO36" s="119"/>
      <c r="IP36" s="119"/>
      <c r="IQ36" s="119"/>
      <c r="IR36" s="119"/>
      <c r="IS36" s="119"/>
      <c r="IT36" s="119"/>
      <c r="IU36" s="119"/>
    </row>
    <row r="37" spans="1:255" x14ac:dyDescent="0.2">
      <c r="A37" s="114" t="s">
        <v>46</v>
      </c>
      <c r="B37" s="110">
        <v>590</v>
      </c>
      <c r="D37" s="110">
        <v>21604</v>
      </c>
      <c r="E37" s="110">
        <v>14926</v>
      </c>
      <c r="F37" s="134"/>
      <c r="G37" s="110"/>
      <c r="H37" s="110">
        <v>5502</v>
      </c>
      <c r="I37" s="110">
        <v>10513</v>
      </c>
      <c r="J37" s="110">
        <v>13217</v>
      </c>
      <c r="K37" s="136">
        <f>SUM(B37:J37)</f>
        <v>66352</v>
      </c>
      <c r="L37" s="119"/>
      <c r="M37" s="119"/>
      <c r="N37" s="119"/>
      <c r="O37" s="119"/>
      <c r="P37" s="119"/>
      <c r="Q37" s="119"/>
      <c r="R37" s="119"/>
      <c r="S37" s="119"/>
      <c r="T37" s="119"/>
      <c r="U37" s="119"/>
      <c r="V37" s="119"/>
      <c r="W37" s="119"/>
      <c r="X37" s="119"/>
      <c r="Y37" s="119"/>
      <c r="Z37" s="119"/>
      <c r="AA37" s="119"/>
      <c r="AB37" s="119"/>
      <c r="AC37" s="119"/>
      <c r="AD37" s="119"/>
      <c r="AE37" s="119"/>
      <c r="AF37" s="119"/>
      <c r="AG37" s="119"/>
      <c r="AH37" s="119"/>
      <c r="AI37" s="119"/>
      <c r="AJ37" s="119"/>
      <c r="AK37" s="119"/>
      <c r="AL37" s="119"/>
      <c r="AM37" s="119"/>
      <c r="AN37" s="119"/>
      <c r="AO37" s="119"/>
      <c r="AP37" s="119"/>
      <c r="AQ37" s="119"/>
      <c r="AR37" s="119"/>
      <c r="AS37" s="119"/>
      <c r="AT37" s="119"/>
      <c r="AU37" s="119"/>
      <c r="AV37" s="119"/>
      <c r="AW37" s="119"/>
      <c r="AX37" s="119"/>
      <c r="AY37" s="119"/>
      <c r="AZ37" s="119"/>
      <c r="BA37" s="119"/>
      <c r="BB37" s="119"/>
      <c r="BC37" s="119"/>
      <c r="BD37" s="119"/>
      <c r="BE37" s="119"/>
      <c r="BF37" s="119"/>
      <c r="BG37" s="119"/>
      <c r="BH37" s="119"/>
      <c r="BI37" s="119"/>
      <c r="BJ37" s="119"/>
      <c r="BK37" s="119"/>
      <c r="BL37" s="119"/>
      <c r="BM37" s="119"/>
      <c r="BN37" s="119"/>
      <c r="BO37" s="119"/>
      <c r="BP37" s="119"/>
      <c r="BQ37" s="119"/>
      <c r="BR37" s="119"/>
      <c r="BS37" s="119"/>
      <c r="BT37" s="119"/>
      <c r="BU37" s="119"/>
      <c r="BV37" s="119"/>
      <c r="BW37" s="119"/>
      <c r="BX37" s="119"/>
      <c r="BY37" s="119"/>
      <c r="BZ37" s="119"/>
      <c r="CA37" s="119"/>
      <c r="CB37" s="119"/>
      <c r="CC37" s="119"/>
      <c r="CD37" s="119"/>
      <c r="CE37" s="119"/>
      <c r="CF37" s="119"/>
      <c r="CG37" s="119"/>
      <c r="CH37" s="119"/>
      <c r="CI37" s="119"/>
      <c r="CJ37" s="119"/>
      <c r="CK37" s="119"/>
      <c r="CL37" s="119"/>
      <c r="CM37" s="119"/>
      <c r="CN37" s="119"/>
      <c r="CO37" s="119"/>
      <c r="CP37" s="119"/>
      <c r="CQ37" s="119"/>
      <c r="CR37" s="119"/>
      <c r="CS37" s="119"/>
      <c r="CT37" s="119"/>
      <c r="CU37" s="119"/>
      <c r="CV37" s="119"/>
      <c r="CW37" s="119"/>
      <c r="CX37" s="119"/>
      <c r="CY37" s="119"/>
      <c r="CZ37" s="119"/>
      <c r="DA37" s="119"/>
      <c r="DB37" s="119"/>
      <c r="DC37" s="119"/>
      <c r="DD37" s="119"/>
      <c r="DE37" s="119"/>
      <c r="DF37" s="119"/>
      <c r="DG37" s="119"/>
      <c r="DH37" s="119"/>
      <c r="DI37" s="119"/>
      <c r="DJ37" s="119"/>
      <c r="DK37" s="119"/>
      <c r="DL37" s="119"/>
      <c r="DM37" s="119"/>
      <c r="DN37" s="119"/>
      <c r="DO37" s="119"/>
      <c r="DP37" s="119"/>
      <c r="DQ37" s="119"/>
      <c r="DR37" s="119"/>
      <c r="DS37" s="119"/>
      <c r="DT37" s="119"/>
      <c r="DU37" s="119"/>
      <c r="DV37" s="119"/>
      <c r="DW37" s="119"/>
      <c r="DX37" s="119"/>
      <c r="DY37" s="119"/>
      <c r="DZ37" s="119"/>
      <c r="EA37" s="119"/>
      <c r="EB37" s="119"/>
      <c r="EC37" s="119"/>
      <c r="ED37" s="119"/>
      <c r="EE37" s="119"/>
      <c r="EF37" s="119"/>
      <c r="EG37" s="119"/>
      <c r="EH37" s="119"/>
      <c r="EI37" s="119"/>
      <c r="EJ37" s="119"/>
      <c r="EK37" s="119"/>
      <c r="EL37" s="119"/>
      <c r="EM37" s="119"/>
      <c r="EN37" s="119"/>
      <c r="EO37" s="119"/>
      <c r="EP37" s="119"/>
      <c r="EQ37" s="119"/>
      <c r="ER37" s="119"/>
      <c r="ES37" s="119"/>
      <c r="ET37" s="119"/>
      <c r="EU37" s="119"/>
      <c r="EV37" s="119"/>
      <c r="EW37" s="119"/>
      <c r="EX37" s="119"/>
      <c r="EY37" s="119"/>
      <c r="EZ37" s="119"/>
      <c r="FA37" s="119"/>
      <c r="FB37" s="119"/>
      <c r="FC37" s="119"/>
      <c r="FD37" s="119"/>
      <c r="FE37" s="119"/>
      <c r="FF37" s="119"/>
      <c r="FG37" s="119"/>
      <c r="FH37" s="119"/>
      <c r="FI37" s="119"/>
      <c r="FJ37" s="119"/>
      <c r="FK37" s="119"/>
      <c r="FL37" s="119"/>
      <c r="FM37" s="119"/>
      <c r="FN37" s="119"/>
      <c r="FO37" s="119"/>
      <c r="FP37" s="119"/>
      <c r="FQ37" s="119"/>
      <c r="FR37" s="119"/>
      <c r="FS37" s="119"/>
      <c r="FT37" s="119"/>
      <c r="FU37" s="119"/>
      <c r="FV37" s="119"/>
      <c r="FW37" s="119"/>
      <c r="FX37" s="119"/>
      <c r="FY37" s="119"/>
      <c r="FZ37" s="119"/>
      <c r="GA37" s="119"/>
      <c r="GB37" s="119"/>
      <c r="GC37" s="119"/>
      <c r="GD37" s="119"/>
      <c r="GE37" s="119"/>
      <c r="GF37" s="119"/>
      <c r="GG37" s="119"/>
      <c r="GH37" s="119"/>
      <c r="GI37" s="119"/>
      <c r="GJ37" s="119"/>
      <c r="GK37" s="119"/>
      <c r="GL37" s="119"/>
      <c r="GM37" s="119"/>
      <c r="GN37" s="119"/>
      <c r="GO37" s="119"/>
      <c r="GP37" s="119"/>
      <c r="GQ37" s="119"/>
      <c r="GR37" s="119"/>
      <c r="GS37" s="119"/>
      <c r="GT37" s="119"/>
      <c r="GU37" s="119"/>
      <c r="GV37" s="119"/>
      <c r="GW37" s="119"/>
      <c r="GX37" s="119"/>
      <c r="GY37" s="119"/>
      <c r="GZ37" s="119"/>
      <c r="HA37" s="119"/>
      <c r="HB37" s="119"/>
      <c r="HC37" s="119"/>
      <c r="HD37" s="119"/>
      <c r="HE37" s="119"/>
      <c r="HF37" s="119"/>
      <c r="HG37" s="119"/>
      <c r="HH37" s="119"/>
      <c r="HI37" s="119"/>
      <c r="HJ37" s="119"/>
      <c r="HK37" s="119"/>
      <c r="HL37" s="119"/>
      <c r="HM37" s="119"/>
      <c r="HN37" s="119"/>
      <c r="HO37" s="119"/>
      <c r="HP37" s="119"/>
      <c r="HQ37" s="119"/>
      <c r="HR37" s="119"/>
      <c r="HS37" s="119"/>
      <c r="HT37" s="119"/>
      <c r="HU37" s="119"/>
      <c r="HV37" s="119"/>
      <c r="HW37" s="119"/>
      <c r="HX37" s="119"/>
      <c r="HY37" s="119"/>
      <c r="HZ37" s="119"/>
      <c r="IA37" s="119"/>
      <c r="IB37" s="119"/>
      <c r="IC37" s="119"/>
      <c r="ID37" s="119"/>
      <c r="IE37" s="119"/>
      <c r="IF37" s="119"/>
      <c r="IG37" s="119"/>
      <c r="IH37" s="119"/>
      <c r="II37" s="119"/>
      <c r="IJ37" s="119"/>
      <c r="IK37" s="119"/>
      <c r="IL37" s="119"/>
      <c r="IM37" s="119"/>
      <c r="IN37" s="119"/>
      <c r="IO37" s="119"/>
      <c r="IP37" s="119"/>
      <c r="IQ37" s="119"/>
      <c r="IR37" s="119"/>
      <c r="IS37" s="119"/>
      <c r="IT37" s="119"/>
      <c r="IU37" s="119"/>
    </row>
    <row r="38" spans="1:255" x14ac:dyDescent="0.2">
      <c r="A38" s="114" t="s">
        <v>201</v>
      </c>
      <c r="D38" s="110">
        <v>5657</v>
      </c>
      <c r="F38" s="110"/>
      <c r="G38" s="110"/>
      <c r="H38" s="110"/>
      <c r="I38" s="110"/>
      <c r="J38" s="110">
        <v>3253</v>
      </c>
      <c r="K38" s="136">
        <f>SUM(B38:J38)</f>
        <v>8910</v>
      </c>
      <c r="L38" s="119"/>
      <c r="M38" s="119"/>
      <c r="N38" s="119"/>
      <c r="O38" s="119"/>
      <c r="P38" s="119"/>
      <c r="Q38" s="119"/>
      <c r="R38" s="119"/>
      <c r="S38" s="119"/>
      <c r="T38" s="119"/>
      <c r="U38" s="119"/>
      <c r="V38" s="119"/>
      <c r="W38" s="119"/>
      <c r="X38" s="119"/>
      <c r="Y38" s="119"/>
      <c r="Z38" s="119"/>
      <c r="AA38" s="119"/>
      <c r="AB38" s="119"/>
      <c r="AC38" s="119"/>
      <c r="AD38" s="119"/>
      <c r="AE38" s="119"/>
      <c r="AF38" s="119"/>
      <c r="AG38" s="119"/>
      <c r="AH38" s="119"/>
      <c r="AI38" s="119"/>
      <c r="AJ38" s="119"/>
      <c r="AK38" s="119"/>
      <c r="AL38" s="119"/>
      <c r="AM38" s="119"/>
      <c r="AN38" s="119"/>
      <c r="AO38" s="119"/>
      <c r="AP38" s="119"/>
      <c r="AQ38" s="119"/>
      <c r="AR38" s="119"/>
      <c r="AS38" s="119"/>
      <c r="AT38" s="119"/>
      <c r="AU38" s="119"/>
      <c r="AV38" s="119"/>
      <c r="AW38" s="119"/>
      <c r="AX38" s="119"/>
      <c r="AY38" s="119"/>
      <c r="AZ38" s="119"/>
      <c r="BA38" s="119"/>
      <c r="BB38" s="119"/>
      <c r="BC38" s="119"/>
      <c r="BD38" s="119"/>
      <c r="BE38" s="119"/>
      <c r="BF38" s="119"/>
      <c r="BG38" s="119"/>
      <c r="BH38" s="119"/>
      <c r="BI38" s="119"/>
      <c r="BJ38" s="119"/>
      <c r="BK38" s="119"/>
      <c r="BL38" s="119"/>
      <c r="BM38" s="119"/>
      <c r="BN38" s="119"/>
      <c r="BO38" s="119"/>
      <c r="BP38" s="119"/>
      <c r="BQ38" s="119"/>
      <c r="BR38" s="119"/>
      <c r="BS38" s="119"/>
      <c r="BT38" s="119"/>
      <c r="BU38" s="119"/>
      <c r="BV38" s="119"/>
      <c r="BW38" s="119"/>
      <c r="BX38" s="119"/>
      <c r="BY38" s="119"/>
      <c r="BZ38" s="119"/>
      <c r="CA38" s="119"/>
      <c r="CB38" s="119"/>
      <c r="CC38" s="119"/>
      <c r="CD38" s="119"/>
      <c r="CE38" s="119"/>
      <c r="CF38" s="119"/>
      <c r="CG38" s="119"/>
      <c r="CH38" s="119"/>
      <c r="CI38" s="119"/>
      <c r="CJ38" s="119"/>
      <c r="CK38" s="119"/>
      <c r="CL38" s="119"/>
      <c r="CM38" s="119"/>
      <c r="CN38" s="119"/>
      <c r="CO38" s="119"/>
      <c r="CP38" s="119"/>
      <c r="CQ38" s="119"/>
      <c r="CR38" s="119"/>
      <c r="CS38" s="119"/>
      <c r="CT38" s="119"/>
      <c r="CU38" s="119"/>
      <c r="CV38" s="119"/>
      <c r="CW38" s="119"/>
      <c r="CX38" s="119"/>
      <c r="CY38" s="119"/>
      <c r="CZ38" s="119"/>
      <c r="DA38" s="119"/>
      <c r="DB38" s="119"/>
      <c r="DC38" s="119"/>
      <c r="DD38" s="119"/>
      <c r="DE38" s="119"/>
      <c r="DF38" s="119"/>
      <c r="DG38" s="119"/>
      <c r="DH38" s="119"/>
      <c r="DI38" s="119"/>
      <c r="DJ38" s="119"/>
      <c r="DK38" s="119"/>
      <c r="DL38" s="119"/>
      <c r="DM38" s="119"/>
      <c r="DN38" s="119"/>
      <c r="DO38" s="119"/>
      <c r="DP38" s="119"/>
      <c r="DQ38" s="119"/>
      <c r="DR38" s="119"/>
      <c r="DS38" s="119"/>
      <c r="DT38" s="119"/>
      <c r="DU38" s="119"/>
      <c r="DV38" s="119"/>
      <c r="DW38" s="119"/>
      <c r="DX38" s="119"/>
      <c r="DY38" s="119"/>
      <c r="DZ38" s="119"/>
      <c r="EA38" s="119"/>
      <c r="EB38" s="119"/>
      <c r="EC38" s="119"/>
      <c r="ED38" s="119"/>
      <c r="EE38" s="119"/>
      <c r="EF38" s="119"/>
      <c r="EG38" s="119"/>
      <c r="EH38" s="119"/>
      <c r="EI38" s="119"/>
      <c r="EJ38" s="119"/>
      <c r="EK38" s="119"/>
      <c r="EL38" s="119"/>
      <c r="EM38" s="119"/>
      <c r="EN38" s="119"/>
      <c r="EO38" s="119"/>
      <c r="EP38" s="119"/>
      <c r="EQ38" s="119"/>
      <c r="ER38" s="119"/>
      <c r="ES38" s="119"/>
      <c r="ET38" s="119"/>
      <c r="EU38" s="119"/>
      <c r="EV38" s="119"/>
      <c r="EW38" s="119"/>
      <c r="EX38" s="119"/>
      <c r="EY38" s="119"/>
      <c r="EZ38" s="119"/>
      <c r="FA38" s="119"/>
      <c r="FB38" s="119"/>
      <c r="FC38" s="119"/>
      <c r="FD38" s="119"/>
      <c r="FE38" s="119"/>
      <c r="FF38" s="119"/>
      <c r="FG38" s="119"/>
      <c r="FH38" s="119"/>
      <c r="FI38" s="119"/>
      <c r="FJ38" s="119"/>
      <c r="FK38" s="119"/>
      <c r="FL38" s="119"/>
      <c r="FM38" s="119"/>
      <c r="FN38" s="119"/>
      <c r="FO38" s="119"/>
      <c r="FP38" s="119"/>
      <c r="FQ38" s="119"/>
      <c r="FR38" s="119"/>
      <c r="FS38" s="119"/>
      <c r="FT38" s="119"/>
      <c r="FU38" s="119"/>
      <c r="FV38" s="119"/>
      <c r="FW38" s="119"/>
      <c r="FX38" s="119"/>
      <c r="FY38" s="119"/>
      <c r="FZ38" s="119"/>
      <c r="GA38" s="119"/>
      <c r="GB38" s="119"/>
      <c r="GC38" s="119"/>
      <c r="GD38" s="119"/>
      <c r="GE38" s="119"/>
      <c r="GF38" s="119"/>
      <c r="GG38" s="119"/>
      <c r="GH38" s="119"/>
      <c r="GI38" s="119"/>
      <c r="GJ38" s="119"/>
      <c r="GK38" s="119"/>
      <c r="GL38" s="119"/>
      <c r="GM38" s="119"/>
      <c r="GN38" s="119"/>
      <c r="GO38" s="119"/>
      <c r="GP38" s="119"/>
      <c r="GQ38" s="119"/>
      <c r="GR38" s="119"/>
      <c r="GS38" s="119"/>
      <c r="GT38" s="119"/>
      <c r="GU38" s="119"/>
      <c r="GV38" s="119"/>
      <c r="GW38" s="119"/>
      <c r="GX38" s="119"/>
      <c r="GY38" s="119"/>
      <c r="GZ38" s="119"/>
      <c r="HA38" s="119"/>
      <c r="HB38" s="119"/>
      <c r="HC38" s="119"/>
      <c r="HD38" s="119"/>
      <c r="HE38" s="119"/>
      <c r="HF38" s="119"/>
      <c r="HG38" s="119"/>
      <c r="HH38" s="119"/>
      <c r="HI38" s="119"/>
      <c r="HJ38" s="119"/>
      <c r="HK38" s="119"/>
      <c r="HL38" s="119"/>
      <c r="HM38" s="119"/>
      <c r="HN38" s="119"/>
      <c r="HO38" s="119"/>
      <c r="HP38" s="119"/>
      <c r="HQ38" s="119"/>
      <c r="HR38" s="119"/>
      <c r="HS38" s="119"/>
      <c r="HT38" s="119"/>
      <c r="HU38" s="119"/>
      <c r="HV38" s="119"/>
      <c r="HW38" s="119"/>
      <c r="HX38" s="119"/>
      <c r="HY38" s="119"/>
      <c r="HZ38" s="119"/>
      <c r="IA38" s="119"/>
      <c r="IB38" s="119"/>
      <c r="IC38" s="119"/>
      <c r="ID38" s="119"/>
      <c r="IE38" s="119"/>
      <c r="IF38" s="119"/>
      <c r="IG38" s="119"/>
      <c r="IH38" s="119"/>
      <c r="II38" s="119"/>
      <c r="IJ38" s="119"/>
      <c r="IK38" s="119"/>
      <c r="IL38" s="119"/>
      <c r="IM38" s="119"/>
      <c r="IN38" s="119"/>
      <c r="IO38" s="119"/>
      <c r="IP38" s="119"/>
      <c r="IQ38" s="119"/>
      <c r="IR38" s="119"/>
      <c r="IS38" s="119"/>
      <c r="IT38" s="119"/>
      <c r="IU38" s="119"/>
    </row>
    <row r="39" spans="1:255" ht="14.25" x14ac:dyDescent="0.2">
      <c r="A39" s="155" t="s">
        <v>202</v>
      </c>
      <c r="C39" s="110">
        <v>16429</v>
      </c>
      <c r="E39" s="110">
        <v>17114</v>
      </c>
      <c r="F39" s="110"/>
      <c r="G39" s="110">
        <v>27084</v>
      </c>
      <c r="H39" s="110">
        <v>12275</v>
      </c>
      <c r="I39" s="110"/>
      <c r="J39" s="110">
        <v>29132</v>
      </c>
      <c r="K39" s="136">
        <f>SUM(B39:J39)</f>
        <v>102034</v>
      </c>
      <c r="L39" s="119"/>
      <c r="M39" s="119"/>
      <c r="N39" s="119"/>
      <c r="O39" s="119"/>
      <c r="P39" s="119"/>
      <c r="Q39" s="119"/>
      <c r="R39" s="119"/>
      <c r="S39" s="119"/>
      <c r="T39" s="119"/>
      <c r="U39" s="119"/>
      <c r="V39" s="119"/>
      <c r="W39" s="119"/>
      <c r="X39" s="119"/>
      <c r="Y39" s="119"/>
      <c r="Z39" s="119"/>
      <c r="AA39" s="119"/>
      <c r="AB39" s="119"/>
      <c r="AC39" s="119"/>
      <c r="AD39" s="119"/>
      <c r="AE39" s="119"/>
      <c r="AF39" s="119"/>
      <c r="AG39" s="119"/>
      <c r="AH39" s="119"/>
      <c r="AI39" s="119"/>
      <c r="AJ39" s="119"/>
      <c r="AK39" s="119"/>
      <c r="AL39" s="119"/>
      <c r="AM39" s="119"/>
      <c r="AN39" s="119"/>
      <c r="AO39" s="119"/>
      <c r="AP39" s="119"/>
      <c r="AQ39" s="119"/>
      <c r="AR39" s="119"/>
      <c r="AS39" s="119"/>
      <c r="AT39" s="119"/>
      <c r="AU39" s="119"/>
      <c r="AV39" s="119"/>
      <c r="AW39" s="119"/>
      <c r="AX39" s="119"/>
      <c r="AY39" s="119"/>
      <c r="AZ39" s="119"/>
      <c r="BA39" s="119"/>
      <c r="BB39" s="119"/>
      <c r="BC39" s="119"/>
      <c r="BD39" s="119"/>
      <c r="BE39" s="119"/>
      <c r="BF39" s="119"/>
      <c r="BG39" s="119"/>
      <c r="BH39" s="119"/>
      <c r="BI39" s="119"/>
      <c r="BJ39" s="119"/>
      <c r="BK39" s="119"/>
      <c r="BL39" s="119"/>
      <c r="BM39" s="119"/>
      <c r="BN39" s="119"/>
      <c r="BO39" s="119"/>
      <c r="BP39" s="119"/>
      <c r="BQ39" s="119"/>
      <c r="BR39" s="119"/>
      <c r="BS39" s="119"/>
      <c r="BT39" s="119"/>
      <c r="BU39" s="119"/>
      <c r="BV39" s="119"/>
      <c r="BW39" s="119"/>
      <c r="BX39" s="119"/>
      <c r="BY39" s="119"/>
      <c r="BZ39" s="119"/>
      <c r="CA39" s="119"/>
      <c r="CB39" s="119"/>
      <c r="CC39" s="119"/>
      <c r="CD39" s="119"/>
      <c r="CE39" s="119"/>
      <c r="CF39" s="119"/>
      <c r="CG39" s="119"/>
      <c r="CH39" s="119"/>
      <c r="CI39" s="119"/>
      <c r="CJ39" s="119"/>
      <c r="CK39" s="119"/>
      <c r="CL39" s="119"/>
      <c r="CM39" s="119"/>
      <c r="CN39" s="119"/>
      <c r="CO39" s="119"/>
      <c r="CP39" s="119"/>
      <c r="CQ39" s="119"/>
      <c r="CR39" s="119"/>
      <c r="CS39" s="119"/>
      <c r="CT39" s="119"/>
      <c r="CU39" s="119"/>
      <c r="CV39" s="119"/>
      <c r="CW39" s="119"/>
      <c r="CX39" s="119"/>
      <c r="CY39" s="119"/>
      <c r="CZ39" s="119"/>
      <c r="DA39" s="119"/>
      <c r="DB39" s="119"/>
      <c r="DC39" s="119"/>
      <c r="DD39" s="119"/>
      <c r="DE39" s="119"/>
      <c r="DF39" s="119"/>
      <c r="DG39" s="119"/>
      <c r="DH39" s="119"/>
      <c r="DI39" s="119"/>
      <c r="DJ39" s="119"/>
      <c r="DK39" s="119"/>
      <c r="DL39" s="119"/>
      <c r="DM39" s="119"/>
      <c r="DN39" s="119"/>
      <c r="DO39" s="119"/>
      <c r="DP39" s="119"/>
      <c r="DQ39" s="119"/>
      <c r="DR39" s="119"/>
      <c r="DS39" s="119"/>
      <c r="DT39" s="119"/>
      <c r="DU39" s="119"/>
      <c r="DV39" s="119"/>
      <c r="DW39" s="119"/>
      <c r="DX39" s="119"/>
      <c r="DY39" s="119"/>
      <c r="DZ39" s="119"/>
      <c r="EA39" s="119"/>
      <c r="EB39" s="119"/>
      <c r="EC39" s="119"/>
      <c r="ED39" s="119"/>
      <c r="EE39" s="119"/>
      <c r="EF39" s="119"/>
      <c r="EG39" s="119"/>
      <c r="EH39" s="119"/>
      <c r="EI39" s="119"/>
      <c r="EJ39" s="119"/>
      <c r="EK39" s="119"/>
      <c r="EL39" s="119"/>
      <c r="EM39" s="119"/>
      <c r="EN39" s="119"/>
      <c r="EO39" s="119"/>
      <c r="EP39" s="119"/>
      <c r="EQ39" s="119"/>
      <c r="ER39" s="119"/>
      <c r="ES39" s="119"/>
      <c r="ET39" s="119"/>
      <c r="EU39" s="119"/>
      <c r="EV39" s="119"/>
      <c r="EW39" s="119"/>
      <c r="EX39" s="119"/>
      <c r="EY39" s="119"/>
      <c r="EZ39" s="119"/>
      <c r="FA39" s="119"/>
      <c r="FB39" s="119"/>
      <c r="FC39" s="119"/>
      <c r="FD39" s="119"/>
      <c r="FE39" s="119"/>
      <c r="FF39" s="119"/>
      <c r="FG39" s="119"/>
      <c r="FH39" s="119"/>
      <c r="FI39" s="119"/>
      <c r="FJ39" s="119"/>
      <c r="FK39" s="119"/>
      <c r="FL39" s="119"/>
      <c r="FM39" s="119"/>
      <c r="FN39" s="119"/>
      <c r="FO39" s="119"/>
      <c r="FP39" s="119"/>
      <c r="FQ39" s="119"/>
      <c r="FR39" s="119"/>
      <c r="FS39" s="119"/>
      <c r="FT39" s="119"/>
      <c r="FU39" s="119"/>
      <c r="FV39" s="119"/>
      <c r="FW39" s="119"/>
      <c r="FX39" s="119"/>
      <c r="FY39" s="119"/>
      <c r="FZ39" s="119"/>
      <c r="GA39" s="119"/>
      <c r="GB39" s="119"/>
      <c r="GC39" s="119"/>
      <c r="GD39" s="119"/>
      <c r="GE39" s="119"/>
      <c r="GF39" s="119"/>
      <c r="GG39" s="119"/>
      <c r="GH39" s="119"/>
      <c r="GI39" s="119"/>
      <c r="GJ39" s="119"/>
      <c r="GK39" s="119"/>
      <c r="GL39" s="119"/>
      <c r="GM39" s="119"/>
      <c r="GN39" s="119"/>
      <c r="GO39" s="119"/>
      <c r="GP39" s="119"/>
      <c r="GQ39" s="119"/>
      <c r="GR39" s="119"/>
      <c r="GS39" s="119"/>
      <c r="GT39" s="119"/>
      <c r="GU39" s="119"/>
      <c r="GV39" s="119"/>
      <c r="GW39" s="119"/>
      <c r="GX39" s="119"/>
      <c r="GY39" s="119"/>
      <c r="GZ39" s="119"/>
      <c r="HA39" s="119"/>
      <c r="HB39" s="119"/>
      <c r="HC39" s="119"/>
      <c r="HD39" s="119"/>
      <c r="HE39" s="119"/>
      <c r="HF39" s="119"/>
      <c r="HG39" s="119"/>
      <c r="HH39" s="119"/>
      <c r="HI39" s="119"/>
      <c r="HJ39" s="119"/>
      <c r="HK39" s="119"/>
      <c r="HL39" s="119"/>
      <c r="HM39" s="119"/>
      <c r="HN39" s="119"/>
      <c r="HO39" s="119"/>
      <c r="HP39" s="119"/>
      <c r="HQ39" s="119"/>
      <c r="HR39" s="119"/>
      <c r="HS39" s="119"/>
      <c r="HT39" s="119"/>
      <c r="HU39" s="119"/>
      <c r="HV39" s="119"/>
      <c r="HW39" s="119"/>
      <c r="HX39" s="119"/>
      <c r="HY39" s="119"/>
      <c r="HZ39" s="119"/>
      <c r="IA39" s="119"/>
      <c r="IB39" s="119"/>
      <c r="IC39" s="119"/>
      <c r="ID39" s="119"/>
      <c r="IE39" s="119"/>
      <c r="IF39" s="119"/>
      <c r="IG39" s="119"/>
      <c r="IH39" s="119"/>
      <c r="II39" s="119"/>
      <c r="IJ39" s="119"/>
      <c r="IK39" s="119"/>
      <c r="IL39" s="119"/>
      <c r="IM39" s="119"/>
      <c r="IN39" s="119"/>
      <c r="IO39" s="119"/>
      <c r="IP39" s="119"/>
      <c r="IQ39" s="119"/>
      <c r="IR39" s="119"/>
      <c r="IS39" s="119"/>
      <c r="IT39" s="119"/>
      <c r="IU39" s="119"/>
    </row>
    <row r="40" spans="1:255" x14ac:dyDescent="0.2">
      <c r="F40" s="110"/>
      <c r="G40" s="110"/>
      <c r="H40" s="110"/>
      <c r="I40" s="110"/>
      <c r="J40" s="110"/>
      <c r="K40" s="110"/>
      <c r="L40" s="119"/>
      <c r="M40" s="119"/>
      <c r="N40" s="119"/>
      <c r="O40" s="119"/>
      <c r="P40" s="119"/>
      <c r="Q40" s="119"/>
      <c r="R40" s="119"/>
      <c r="S40" s="119"/>
      <c r="T40" s="119"/>
      <c r="U40" s="119"/>
      <c r="V40" s="119"/>
      <c r="W40" s="119"/>
      <c r="X40" s="119"/>
      <c r="Y40" s="119"/>
      <c r="Z40" s="119"/>
      <c r="AA40" s="119"/>
      <c r="AB40" s="119"/>
      <c r="AC40" s="119"/>
      <c r="AD40" s="119"/>
      <c r="AE40" s="119"/>
      <c r="AF40" s="119"/>
      <c r="AG40" s="119"/>
      <c r="AH40" s="119"/>
      <c r="AI40" s="119"/>
      <c r="AJ40" s="119"/>
      <c r="AK40" s="119"/>
      <c r="AL40" s="119"/>
      <c r="AM40" s="119"/>
      <c r="AN40" s="119"/>
      <c r="AO40" s="119"/>
      <c r="AP40" s="119"/>
      <c r="AQ40" s="119"/>
      <c r="AR40" s="119"/>
      <c r="AS40" s="119"/>
      <c r="AT40" s="119"/>
      <c r="AU40" s="119"/>
      <c r="AV40" s="119"/>
      <c r="AW40" s="119"/>
      <c r="AX40" s="119"/>
      <c r="AY40" s="119"/>
      <c r="AZ40" s="119"/>
      <c r="BA40" s="119"/>
      <c r="BB40" s="119"/>
      <c r="BC40" s="119"/>
      <c r="BD40" s="119"/>
      <c r="BE40" s="119"/>
      <c r="BF40" s="119"/>
      <c r="BG40" s="119"/>
      <c r="BH40" s="119"/>
      <c r="BI40" s="119"/>
      <c r="BJ40" s="119"/>
      <c r="BK40" s="119"/>
      <c r="BL40" s="119"/>
      <c r="BM40" s="119"/>
      <c r="BN40" s="119"/>
      <c r="BO40" s="119"/>
      <c r="BP40" s="119"/>
      <c r="BQ40" s="119"/>
      <c r="BR40" s="119"/>
      <c r="BS40" s="119"/>
      <c r="BT40" s="119"/>
      <c r="BU40" s="119"/>
      <c r="BV40" s="119"/>
      <c r="BW40" s="119"/>
      <c r="BX40" s="119"/>
      <c r="BY40" s="119"/>
      <c r="BZ40" s="119"/>
      <c r="CA40" s="119"/>
      <c r="CB40" s="119"/>
      <c r="CC40" s="119"/>
      <c r="CD40" s="119"/>
      <c r="CE40" s="119"/>
      <c r="CF40" s="119"/>
      <c r="CG40" s="119"/>
      <c r="CH40" s="119"/>
      <c r="CI40" s="119"/>
      <c r="CJ40" s="119"/>
      <c r="CK40" s="119"/>
      <c r="CL40" s="119"/>
      <c r="CM40" s="119"/>
      <c r="CN40" s="119"/>
      <c r="CO40" s="119"/>
      <c r="CP40" s="119"/>
      <c r="CQ40" s="119"/>
      <c r="CR40" s="119"/>
      <c r="CS40" s="119"/>
      <c r="CT40" s="119"/>
      <c r="CU40" s="119"/>
      <c r="CV40" s="119"/>
      <c r="CW40" s="119"/>
      <c r="CX40" s="119"/>
      <c r="CY40" s="119"/>
      <c r="CZ40" s="119"/>
      <c r="DA40" s="119"/>
      <c r="DB40" s="119"/>
      <c r="DC40" s="119"/>
      <c r="DD40" s="119"/>
      <c r="DE40" s="119"/>
      <c r="DF40" s="119"/>
      <c r="DG40" s="119"/>
      <c r="DH40" s="119"/>
      <c r="DI40" s="119"/>
      <c r="DJ40" s="119"/>
      <c r="DK40" s="119"/>
      <c r="DL40" s="119"/>
      <c r="DM40" s="119"/>
      <c r="DN40" s="119"/>
      <c r="DO40" s="119"/>
      <c r="DP40" s="119"/>
      <c r="DQ40" s="119"/>
      <c r="DR40" s="119"/>
      <c r="DS40" s="119"/>
      <c r="DT40" s="119"/>
      <c r="DU40" s="119"/>
      <c r="DV40" s="119"/>
      <c r="DW40" s="119"/>
      <c r="DX40" s="119"/>
      <c r="DY40" s="119"/>
      <c r="DZ40" s="119"/>
      <c r="EA40" s="119"/>
      <c r="EB40" s="119"/>
      <c r="EC40" s="119"/>
      <c r="ED40" s="119"/>
      <c r="EE40" s="119"/>
      <c r="EF40" s="119"/>
      <c r="EG40" s="119"/>
      <c r="EH40" s="119"/>
      <c r="EI40" s="119"/>
      <c r="EJ40" s="119"/>
      <c r="EK40" s="119"/>
      <c r="EL40" s="119"/>
      <c r="EM40" s="119"/>
      <c r="EN40" s="119"/>
      <c r="EO40" s="119"/>
      <c r="EP40" s="119"/>
      <c r="EQ40" s="119"/>
      <c r="ER40" s="119"/>
      <c r="ES40" s="119"/>
      <c r="ET40" s="119"/>
      <c r="EU40" s="119"/>
      <c r="EV40" s="119"/>
      <c r="EW40" s="119"/>
      <c r="EX40" s="119"/>
      <c r="EY40" s="119"/>
      <c r="EZ40" s="119"/>
      <c r="FA40" s="119"/>
      <c r="FB40" s="119"/>
      <c r="FC40" s="119"/>
      <c r="FD40" s="119"/>
      <c r="FE40" s="119"/>
      <c r="FF40" s="119"/>
      <c r="FG40" s="119"/>
      <c r="FH40" s="119"/>
      <c r="FI40" s="119"/>
      <c r="FJ40" s="119"/>
      <c r="FK40" s="119"/>
      <c r="FL40" s="119"/>
      <c r="FM40" s="119"/>
      <c r="FN40" s="119"/>
      <c r="FO40" s="119"/>
      <c r="FP40" s="119"/>
      <c r="FQ40" s="119"/>
      <c r="FR40" s="119"/>
      <c r="FS40" s="119"/>
      <c r="FT40" s="119"/>
      <c r="FU40" s="119"/>
      <c r="FV40" s="119"/>
      <c r="FW40" s="119"/>
      <c r="FX40" s="119"/>
      <c r="FY40" s="119"/>
      <c r="FZ40" s="119"/>
      <c r="GA40" s="119"/>
      <c r="GB40" s="119"/>
      <c r="GC40" s="119"/>
      <c r="GD40" s="119"/>
      <c r="GE40" s="119"/>
      <c r="GF40" s="119"/>
      <c r="GG40" s="119"/>
      <c r="GH40" s="119"/>
      <c r="GI40" s="119"/>
      <c r="GJ40" s="119"/>
      <c r="GK40" s="119"/>
      <c r="GL40" s="119"/>
      <c r="GM40" s="119"/>
      <c r="GN40" s="119"/>
      <c r="GO40" s="119"/>
      <c r="GP40" s="119"/>
      <c r="GQ40" s="119"/>
      <c r="GR40" s="119"/>
      <c r="GS40" s="119"/>
      <c r="GT40" s="119"/>
      <c r="GU40" s="119"/>
      <c r="GV40" s="119"/>
      <c r="GW40" s="119"/>
      <c r="GX40" s="119"/>
      <c r="GY40" s="119"/>
      <c r="GZ40" s="119"/>
      <c r="HA40" s="119"/>
      <c r="HB40" s="119"/>
      <c r="HC40" s="119"/>
      <c r="HD40" s="119"/>
      <c r="HE40" s="119"/>
      <c r="HF40" s="119"/>
      <c r="HG40" s="119"/>
      <c r="HH40" s="119"/>
      <c r="HI40" s="119"/>
      <c r="HJ40" s="119"/>
      <c r="HK40" s="119"/>
      <c r="HL40" s="119"/>
      <c r="HM40" s="119"/>
      <c r="HN40" s="119"/>
      <c r="HO40" s="119"/>
      <c r="HP40" s="119"/>
      <c r="HQ40" s="119"/>
      <c r="HR40" s="119"/>
      <c r="HS40" s="119"/>
      <c r="HT40" s="119"/>
      <c r="HU40" s="119"/>
      <c r="HV40" s="119"/>
      <c r="HW40" s="119"/>
      <c r="HX40" s="119"/>
      <c r="HY40" s="119"/>
      <c r="HZ40" s="119"/>
      <c r="IA40" s="119"/>
      <c r="IB40" s="119"/>
      <c r="IC40" s="119"/>
      <c r="ID40" s="119"/>
      <c r="IE40" s="119"/>
      <c r="IF40" s="119"/>
      <c r="IG40" s="119"/>
      <c r="IH40" s="119"/>
      <c r="II40" s="119"/>
      <c r="IJ40" s="119"/>
      <c r="IK40" s="119"/>
      <c r="IL40" s="119"/>
      <c r="IM40" s="119"/>
      <c r="IN40" s="119"/>
      <c r="IO40" s="119"/>
      <c r="IP40" s="119"/>
      <c r="IQ40" s="119"/>
      <c r="IR40" s="119"/>
      <c r="IS40" s="119"/>
      <c r="IT40" s="119"/>
      <c r="IU40" s="119"/>
    </row>
    <row r="41" spans="1:255" ht="15" customHeight="1" x14ac:dyDescent="0.25">
      <c r="A41" s="153" t="s">
        <v>44</v>
      </c>
      <c r="B41" s="119"/>
      <c r="C41" s="119"/>
      <c r="D41" s="119"/>
      <c r="E41" s="119"/>
      <c r="F41" s="122"/>
      <c r="G41" s="122"/>
      <c r="H41" s="122"/>
      <c r="I41" s="122"/>
      <c r="J41" s="122"/>
      <c r="K41" s="131"/>
    </row>
    <row r="42" spans="1:255" ht="12" customHeight="1" x14ac:dyDescent="0.2">
      <c r="B42" s="119"/>
      <c r="C42" s="119"/>
      <c r="D42" s="119"/>
      <c r="E42" s="119"/>
      <c r="F42" s="122"/>
      <c r="G42" s="122"/>
      <c r="H42" s="122"/>
      <c r="I42" s="122"/>
      <c r="J42" s="122"/>
      <c r="K42" s="131"/>
    </row>
    <row r="43" spans="1:255" ht="12" customHeight="1" x14ac:dyDescent="0.2">
      <c r="A43" s="140" t="s">
        <v>73</v>
      </c>
      <c r="B43" s="119"/>
      <c r="C43" s="119"/>
      <c r="D43" s="119"/>
      <c r="E43" s="119"/>
      <c r="F43" s="122"/>
      <c r="G43" s="122"/>
      <c r="H43" s="122"/>
      <c r="I43" s="122"/>
      <c r="J43" s="122"/>
      <c r="K43" s="131"/>
    </row>
    <row r="44" spans="1:255" ht="12" customHeight="1" x14ac:dyDescent="0.2">
      <c r="B44" s="119"/>
      <c r="C44" s="119"/>
      <c r="D44" s="119"/>
      <c r="E44" s="119"/>
      <c r="F44" s="122"/>
      <c r="G44" s="122"/>
      <c r="H44" s="122"/>
      <c r="I44" s="122"/>
      <c r="J44" s="122"/>
      <c r="K44" s="131"/>
    </row>
    <row r="45" spans="1:255" ht="12" customHeight="1" x14ac:dyDescent="0.2">
      <c r="A45" s="114" t="s">
        <v>74</v>
      </c>
      <c r="B45" s="119">
        <v>55.839359229999999</v>
      </c>
      <c r="C45" s="119">
        <v>62.42</v>
      </c>
      <c r="D45" s="125">
        <v>146.81329880000001</v>
      </c>
      <c r="E45" s="119">
        <v>155.77000000000001</v>
      </c>
      <c r="F45" s="128">
        <v>83.917451</v>
      </c>
      <c r="G45" s="128">
        <v>31.03</v>
      </c>
      <c r="H45" s="128">
        <v>97.6</v>
      </c>
      <c r="I45" s="128">
        <v>69.59307527</v>
      </c>
      <c r="J45" s="119">
        <v>318.80281136000002</v>
      </c>
      <c r="K45" s="131">
        <f t="shared" ref="K45:K54" si="3">SUM(B45:J45)</f>
        <v>1021.78599566</v>
      </c>
    </row>
    <row r="46" spans="1:255" ht="12" customHeight="1" x14ac:dyDescent="0.2">
      <c r="A46" s="114" t="s">
        <v>75</v>
      </c>
      <c r="B46" s="119">
        <v>15.235808130000001</v>
      </c>
      <c r="C46" s="119"/>
      <c r="D46" s="119"/>
      <c r="E46" s="119"/>
      <c r="F46" s="128">
        <v>23.971983000000002</v>
      </c>
      <c r="G46" s="128">
        <v>5.56</v>
      </c>
      <c r="H46" s="128"/>
      <c r="I46" s="128">
        <v>112.25955687999999</v>
      </c>
      <c r="J46" s="119">
        <v>133.82915879999999</v>
      </c>
      <c r="K46" s="131">
        <f t="shared" si="3"/>
        <v>290.85650680999998</v>
      </c>
    </row>
    <row r="47" spans="1:255" ht="12" customHeight="1" x14ac:dyDescent="0.2">
      <c r="A47" s="114" t="s">
        <v>105</v>
      </c>
      <c r="B47" s="119"/>
      <c r="C47" s="119">
        <v>366.03</v>
      </c>
      <c r="D47" s="119"/>
      <c r="E47" s="119">
        <v>367.05</v>
      </c>
      <c r="F47" s="128"/>
      <c r="G47" s="128">
        <v>1414.35</v>
      </c>
      <c r="H47" s="128"/>
      <c r="I47" s="128">
        <v>21.554146120000002</v>
      </c>
      <c r="J47" s="122"/>
      <c r="K47" s="131">
        <f t="shared" si="3"/>
        <v>2168.9841461199999</v>
      </c>
    </row>
    <row r="48" spans="1:255" ht="12" customHeight="1" x14ac:dyDescent="0.2">
      <c r="A48" s="114" t="s">
        <v>107</v>
      </c>
      <c r="B48" s="119">
        <v>12.34568462</v>
      </c>
      <c r="C48" s="119">
        <v>75.319999999999993</v>
      </c>
      <c r="D48" s="119">
        <v>1464.1836321800001</v>
      </c>
      <c r="E48" s="119">
        <v>3.21</v>
      </c>
      <c r="F48" s="128"/>
      <c r="G48" s="128">
        <v>56.54</v>
      </c>
      <c r="H48" s="128">
        <v>81.183000000000007</v>
      </c>
      <c r="I48" s="128"/>
      <c r="J48" s="122">
        <v>8.480272900000001</v>
      </c>
      <c r="K48" s="131">
        <f t="shared" si="3"/>
        <v>1701.2625897000003</v>
      </c>
    </row>
    <row r="49" spans="1:11" ht="12" customHeight="1" x14ac:dyDescent="0.2">
      <c r="A49" s="114" t="s">
        <v>106</v>
      </c>
      <c r="B49" s="119"/>
      <c r="C49" s="119"/>
      <c r="D49" s="125">
        <v>1627.5839676400001</v>
      </c>
      <c r="E49" s="119"/>
      <c r="F49" s="128"/>
      <c r="G49" s="128"/>
      <c r="H49" s="128"/>
      <c r="I49" s="128"/>
      <c r="J49" s="122"/>
      <c r="K49" s="131">
        <f t="shared" si="3"/>
        <v>1627.5839676400001</v>
      </c>
    </row>
    <row r="50" spans="1:11" ht="12" customHeight="1" x14ac:dyDescent="0.2">
      <c r="A50" s="114" t="s">
        <v>108</v>
      </c>
      <c r="B50" s="119"/>
      <c r="C50" s="119">
        <v>183.27</v>
      </c>
      <c r="D50" s="119">
        <v>1087.8394812899999</v>
      </c>
      <c r="E50" s="119">
        <v>608.87</v>
      </c>
      <c r="F50" s="128"/>
      <c r="G50" s="128">
        <v>474.12</v>
      </c>
      <c r="H50" s="128">
        <v>91.677999999999997</v>
      </c>
      <c r="I50" s="128">
        <v>6.1965447899999999</v>
      </c>
      <c r="J50" s="119">
        <v>867.96390238999993</v>
      </c>
      <c r="K50" s="131">
        <f t="shared" si="3"/>
        <v>3319.9379284699999</v>
      </c>
    </row>
    <row r="51" spans="1:11" ht="12" customHeight="1" x14ac:dyDescent="0.2">
      <c r="A51" s="114" t="s">
        <v>78</v>
      </c>
      <c r="B51" s="119"/>
      <c r="C51" s="119"/>
      <c r="D51" s="119"/>
      <c r="E51" s="119"/>
      <c r="F51" s="128"/>
      <c r="G51" s="128">
        <v>7.16</v>
      </c>
      <c r="H51" s="128">
        <v>2.8650000000000002</v>
      </c>
      <c r="I51" s="128"/>
      <c r="J51" s="122">
        <v>1.9934152700000001</v>
      </c>
      <c r="K51" s="131">
        <f t="shared" si="3"/>
        <v>12.01841527</v>
      </c>
    </row>
    <row r="52" spans="1:11" ht="12" customHeight="1" x14ac:dyDescent="0.2">
      <c r="A52" s="114" t="s">
        <v>79</v>
      </c>
      <c r="B52" s="119"/>
      <c r="C52" s="119"/>
      <c r="D52" s="119"/>
      <c r="E52" s="119"/>
      <c r="F52" s="128"/>
      <c r="G52" s="128">
        <v>6.53</v>
      </c>
      <c r="H52" s="128"/>
      <c r="I52" s="128"/>
      <c r="J52" s="122">
        <v>2.6830556400000001</v>
      </c>
      <c r="K52" s="131">
        <f t="shared" si="3"/>
        <v>9.2130556400000003</v>
      </c>
    </row>
    <row r="53" spans="1:11" ht="12" customHeight="1" x14ac:dyDescent="0.2">
      <c r="B53" s="119"/>
      <c r="C53" s="119"/>
      <c r="D53" s="119"/>
      <c r="E53" s="119"/>
      <c r="F53" s="122"/>
      <c r="G53" s="122"/>
      <c r="H53" s="122"/>
      <c r="I53" s="122"/>
      <c r="J53" s="122"/>
      <c r="K53" s="131"/>
    </row>
    <row r="54" spans="1:11" s="140" customFormat="1" ht="12" customHeight="1" x14ac:dyDescent="0.2">
      <c r="A54" s="155" t="s">
        <v>12</v>
      </c>
      <c r="B54" s="131">
        <f>SUM(B45:B52)</f>
        <v>83.420851979999995</v>
      </c>
      <c r="C54" s="131">
        <f>SUM(C45:C52)</f>
        <v>687.04</v>
      </c>
      <c r="D54" s="131">
        <f>SUM(D45:D52)</f>
        <v>4326.4203799099996</v>
      </c>
      <c r="E54" s="131">
        <f>SUM(E45:E52)</f>
        <v>1134.9000000000001</v>
      </c>
      <c r="F54" s="132">
        <f>SUM(F44:F52)</f>
        <v>107.88943399999999</v>
      </c>
      <c r="G54" s="132">
        <f>SUM(G45:G52)</f>
        <v>1995.29</v>
      </c>
      <c r="H54" s="132">
        <f>SUM(H45:H52)</f>
        <v>273.32600000000002</v>
      </c>
      <c r="I54" s="132">
        <f>SUM(I45:I52)</f>
        <v>209.60332305999998</v>
      </c>
      <c r="J54" s="132">
        <f>SUM(J45:J52)</f>
        <v>1333.75261636</v>
      </c>
      <c r="K54" s="131">
        <f t="shared" si="3"/>
        <v>10151.642605309999</v>
      </c>
    </row>
    <row r="55" spans="1:11" ht="12" customHeight="1" x14ac:dyDescent="0.2">
      <c r="B55" s="119"/>
      <c r="C55" s="119"/>
      <c r="D55" s="119"/>
      <c r="E55" s="119"/>
      <c r="F55" s="122"/>
      <c r="G55" s="122"/>
      <c r="H55" s="122"/>
      <c r="I55" s="122"/>
      <c r="J55" s="122"/>
      <c r="K55" s="131"/>
    </row>
    <row r="56" spans="1:11" ht="12" customHeight="1" x14ac:dyDescent="0.2">
      <c r="A56" s="140" t="s">
        <v>45</v>
      </c>
      <c r="B56" s="119"/>
      <c r="C56" s="119"/>
      <c r="D56" s="119"/>
      <c r="E56" s="119"/>
      <c r="F56" s="122"/>
      <c r="G56" s="122"/>
      <c r="H56" s="122"/>
      <c r="I56" s="122"/>
      <c r="J56" s="122"/>
      <c r="K56" s="131"/>
    </row>
    <row r="57" spans="1:11" ht="12" customHeight="1" x14ac:dyDescent="0.2">
      <c r="B57" s="119"/>
      <c r="C57" s="119"/>
      <c r="D57" s="119"/>
      <c r="E57" s="119"/>
      <c r="F57" s="122"/>
      <c r="G57" s="122"/>
      <c r="H57" s="122"/>
      <c r="I57" s="122"/>
      <c r="J57" s="122"/>
      <c r="K57" s="131"/>
    </row>
    <row r="58" spans="1:11" ht="12" customHeight="1" x14ac:dyDescent="0.2">
      <c r="A58" s="114" t="s">
        <v>46</v>
      </c>
      <c r="B58" s="119">
        <v>789.51954116000002</v>
      </c>
      <c r="C58" s="119">
        <v>1629.9</v>
      </c>
      <c r="D58" s="125">
        <v>951.60615734999999</v>
      </c>
      <c r="E58" s="119">
        <v>418.58</v>
      </c>
      <c r="F58" s="119">
        <f>2070.418658+466.180535</f>
        <v>2536.599193</v>
      </c>
      <c r="G58" s="119">
        <v>2578.34</v>
      </c>
      <c r="H58" s="119">
        <v>3144.183</v>
      </c>
      <c r="I58" s="119">
        <v>1647.7148504700001</v>
      </c>
      <c r="J58" s="119">
        <v>3118.6480335000001</v>
      </c>
      <c r="K58" s="131">
        <f>SUM(B58:J58)</f>
        <v>16815.090775479999</v>
      </c>
    </row>
    <row r="59" spans="1:11" ht="12" customHeight="1" x14ac:dyDescent="0.2">
      <c r="A59" s="114" t="s">
        <v>47</v>
      </c>
      <c r="B59" s="119">
        <v>121.55384493999999</v>
      </c>
      <c r="C59" s="119"/>
      <c r="D59" s="119"/>
      <c r="E59" s="119"/>
      <c r="F59" s="119">
        <v>137.78068500000001</v>
      </c>
      <c r="G59" s="119">
        <v>211.75</v>
      </c>
      <c r="H59" s="119">
        <v>15.164999999999999</v>
      </c>
      <c r="I59" s="119">
        <v>167.19323703000001</v>
      </c>
      <c r="J59" s="119">
        <v>488.63922137999998</v>
      </c>
      <c r="K59" s="131">
        <f>SUM(B59:J59)</f>
        <v>1142.0819883499998</v>
      </c>
    </row>
    <row r="60" spans="1:11" ht="12" customHeight="1" x14ac:dyDescent="0.2">
      <c r="B60" s="119"/>
      <c r="C60" s="119"/>
      <c r="D60" s="119"/>
      <c r="E60" s="119"/>
      <c r="F60" s="122"/>
      <c r="G60" s="122"/>
      <c r="H60" s="122"/>
      <c r="I60" s="122"/>
      <c r="J60" s="122"/>
      <c r="K60" s="131"/>
    </row>
    <row r="61" spans="1:11" s="140" customFormat="1" ht="12" customHeight="1" x14ac:dyDescent="0.2">
      <c r="A61" s="140" t="s">
        <v>12</v>
      </c>
      <c r="B61" s="131">
        <f>SUM(B58:B59)</f>
        <v>911.07338609999999</v>
      </c>
      <c r="C61" s="131">
        <f>SUM(C58:C59)</f>
        <v>1629.9</v>
      </c>
      <c r="D61" s="131">
        <f>SUM(D58:D59)</f>
        <v>951.60615734999999</v>
      </c>
      <c r="E61" s="131">
        <f t="shared" ref="E61:J61" si="4">SUM(E58:E59)</f>
        <v>418.58</v>
      </c>
      <c r="F61" s="132">
        <f t="shared" si="4"/>
        <v>2674.3798780000002</v>
      </c>
      <c r="G61" s="132">
        <f t="shared" si="4"/>
        <v>2790.09</v>
      </c>
      <c r="H61" s="132">
        <f t="shared" si="4"/>
        <v>3159.348</v>
      </c>
      <c r="I61" s="132">
        <f t="shared" si="4"/>
        <v>1814.9080875000002</v>
      </c>
      <c r="J61" s="132">
        <f t="shared" si="4"/>
        <v>3607.2872548800001</v>
      </c>
      <c r="K61" s="131">
        <f>SUM(B61:J61)</f>
        <v>17957.17276383</v>
      </c>
    </row>
    <row r="62" spans="1:11" ht="12" customHeight="1" x14ac:dyDescent="0.2">
      <c r="B62" s="119"/>
      <c r="C62" s="119"/>
      <c r="D62" s="119"/>
      <c r="E62" s="119"/>
      <c r="F62" s="122"/>
      <c r="G62" s="122"/>
      <c r="H62" s="122"/>
      <c r="I62" s="122"/>
      <c r="J62" s="122"/>
      <c r="K62" s="131"/>
    </row>
    <row r="63" spans="1:11" ht="12" customHeight="1" x14ac:dyDescent="0.2">
      <c r="A63" s="140" t="s">
        <v>53</v>
      </c>
      <c r="B63" s="119">
        <v>19.376116249999999</v>
      </c>
      <c r="C63" s="119">
        <v>57.22</v>
      </c>
      <c r="D63" s="119">
        <v>14.959750939999999</v>
      </c>
      <c r="E63" s="119">
        <v>7.36</v>
      </c>
      <c r="F63" s="119">
        <v>120.72691399999999</v>
      </c>
      <c r="G63" s="119">
        <v>247.19</v>
      </c>
      <c r="H63" s="119">
        <v>234.226</v>
      </c>
      <c r="I63" s="119">
        <v>162.66482365000002</v>
      </c>
      <c r="J63" s="119">
        <v>290.07625094999997</v>
      </c>
      <c r="K63" s="131">
        <f>SUM(B63:J63)</f>
        <v>1153.79985579</v>
      </c>
    </row>
    <row r="64" spans="1:11" s="140" customFormat="1" ht="12" customHeight="1" x14ac:dyDescent="0.2">
      <c r="A64" s="155" t="s">
        <v>123</v>
      </c>
      <c r="B64" s="119"/>
      <c r="C64" s="119"/>
      <c r="D64" s="119"/>
      <c r="F64" s="122"/>
      <c r="G64" s="122"/>
      <c r="H64" s="122"/>
      <c r="I64" s="122"/>
      <c r="J64" s="122"/>
      <c r="K64" s="131"/>
    </row>
    <row r="65" spans="1:11" s="140" customFormat="1" ht="12" customHeight="1" x14ac:dyDescent="0.2">
      <c r="A65" s="155" t="s">
        <v>210</v>
      </c>
      <c r="B65" s="119">
        <v>4.3663228299999997</v>
      </c>
      <c r="C65" s="119">
        <v>19.88</v>
      </c>
      <c r="D65" s="119"/>
      <c r="E65" s="119"/>
      <c r="F65" s="122"/>
      <c r="G65" s="122">
        <v>25.61</v>
      </c>
      <c r="H65" s="122"/>
      <c r="I65" s="122"/>
      <c r="J65" s="122"/>
      <c r="K65" s="131">
        <f>SUM(B65:J65)</f>
        <v>49.856322829999996</v>
      </c>
    </row>
    <row r="66" spans="1:11" s="140" customFormat="1" ht="12" customHeight="1" x14ac:dyDescent="0.2">
      <c r="A66" s="155" t="s">
        <v>125</v>
      </c>
      <c r="B66" s="119"/>
      <c r="C66" s="119"/>
      <c r="D66" s="119"/>
      <c r="E66" s="119"/>
      <c r="F66" s="122"/>
      <c r="G66" s="122">
        <v>0</v>
      </c>
      <c r="H66" s="122"/>
      <c r="I66" s="122"/>
      <c r="J66" s="122"/>
      <c r="K66" s="131">
        <f>SUM(B66:J66)</f>
        <v>0</v>
      </c>
    </row>
    <row r="67" spans="1:11" ht="12" customHeight="1" x14ac:dyDescent="0.2">
      <c r="A67" s="155"/>
      <c r="C67" s="146"/>
    </row>
    <row r="68" spans="1:11" ht="12" customHeight="1" x14ac:dyDescent="0.2">
      <c r="A68" s="156" t="s">
        <v>223</v>
      </c>
      <c r="C68" s="147"/>
    </row>
    <row r="69" spans="1:11" ht="12" customHeight="1" x14ac:dyDescent="0.2">
      <c r="A69" s="156" t="s">
        <v>212</v>
      </c>
      <c r="C69" s="147"/>
    </row>
    <row r="70" spans="1:11" ht="12" customHeight="1" x14ac:dyDescent="0.2">
      <c r="A70" s="143"/>
      <c r="C70" s="147"/>
    </row>
    <row r="71" spans="1:11" ht="12" customHeight="1" x14ac:dyDescent="0.2">
      <c r="A71" s="143" t="s">
        <v>207</v>
      </c>
    </row>
    <row r="72" spans="1:11" ht="12" customHeight="1" x14ac:dyDescent="0.2">
      <c r="A72" s="143" t="s">
        <v>208</v>
      </c>
    </row>
    <row r="73" spans="1:11" x14ac:dyDescent="0.2">
      <c r="A73" s="155"/>
    </row>
    <row r="74" spans="1:11" x14ac:dyDescent="0.2">
      <c r="A74" s="143"/>
    </row>
    <row r="76" spans="1:11" x14ac:dyDescent="0.2">
      <c r="A76" s="157"/>
    </row>
  </sheetData>
  <pageMargins left="0.19685039370078741" right="0.35433070866141736" top="0.59055118110236227" bottom="0.27559055118110237" header="0.31496062992125984" footer="0.31496062992125984"/>
  <pageSetup paperSize="9" scale="90" orientation="landscape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U77"/>
  <sheetViews>
    <sheetView zoomScaleNormal="100" workbookViewId="0">
      <pane xSplit="1" ySplit="4" topLeftCell="B5" activePane="bottomRight" state="frozen"/>
      <selection activeCell="B5" sqref="B5"/>
      <selection pane="topRight" activeCell="B5" sqref="B5"/>
      <selection pane="bottomLeft" activeCell="B5" sqref="B5"/>
      <selection pane="bottomRight" activeCell="B5" sqref="B5"/>
    </sheetView>
  </sheetViews>
  <sheetFormatPr baseColWidth="10" defaultRowHeight="12.75" x14ac:dyDescent="0.2"/>
  <cols>
    <col min="1" max="1" width="41.28515625" style="114" customWidth="1"/>
    <col min="2" max="5" width="11.5703125" style="110" customWidth="1"/>
    <col min="6" max="10" width="11.5703125" style="111" customWidth="1"/>
    <col min="11" max="11" width="11.5703125" style="136" customWidth="1"/>
    <col min="12" max="16384" width="11.42578125" style="114"/>
  </cols>
  <sheetData>
    <row r="1" spans="1:11" x14ac:dyDescent="0.2">
      <c r="A1" s="140" t="s">
        <v>224</v>
      </c>
    </row>
    <row r="2" spans="1:11" x14ac:dyDescent="0.2">
      <c r="A2" s="114" t="s">
        <v>220</v>
      </c>
    </row>
    <row r="4" spans="1:11" s="110" customFormat="1" x14ac:dyDescent="0.2">
      <c r="A4" s="152"/>
      <c r="B4" s="110" t="s">
        <v>3</v>
      </c>
      <c r="C4" s="110" t="s">
        <v>4</v>
      </c>
      <c r="D4" s="110" t="s">
        <v>5</v>
      </c>
      <c r="E4" s="110" t="s">
        <v>6</v>
      </c>
      <c r="F4" s="116" t="s">
        <v>7</v>
      </c>
      <c r="G4" s="116" t="s">
        <v>8</v>
      </c>
      <c r="H4" s="116" t="s">
        <v>9</v>
      </c>
      <c r="I4" s="116" t="s">
        <v>198</v>
      </c>
      <c r="J4" s="116" t="s">
        <v>11</v>
      </c>
      <c r="K4" s="136" t="s">
        <v>12</v>
      </c>
    </row>
    <row r="5" spans="1:11" x14ac:dyDescent="0.2">
      <c r="C5" s="119"/>
      <c r="D5" s="119"/>
      <c r="E5" s="119"/>
      <c r="F5" s="119"/>
      <c r="G5" s="119"/>
      <c r="H5" s="119"/>
      <c r="I5" s="122"/>
      <c r="J5" s="122"/>
      <c r="K5" s="122"/>
    </row>
    <row r="6" spans="1:11" ht="15.75" x14ac:dyDescent="0.25">
      <c r="A6" s="153" t="s">
        <v>42</v>
      </c>
      <c r="B6" s="119"/>
      <c r="C6" s="119"/>
      <c r="D6" s="119"/>
      <c r="E6" s="119"/>
      <c r="F6" s="119"/>
      <c r="G6" s="119"/>
      <c r="H6" s="119"/>
      <c r="I6" s="119"/>
      <c r="J6" s="119"/>
      <c r="K6" s="119"/>
    </row>
    <row r="7" spans="1:11" x14ac:dyDescent="0.2">
      <c r="B7" s="119"/>
      <c r="C7" s="119"/>
      <c r="D7" s="119"/>
      <c r="E7" s="119"/>
      <c r="F7" s="119"/>
      <c r="G7" s="119"/>
      <c r="H7" s="119"/>
      <c r="I7" s="119"/>
      <c r="J7" s="119"/>
      <c r="K7" s="119"/>
    </row>
    <row r="8" spans="1:11" x14ac:dyDescent="0.2">
      <c r="A8" s="140" t="s">
        <v>13</v>
      </c>
      <c r="B8" s="119"/>
      <c r="C8" s="127"/>
      <c r="D8" s="127"/>
      <c r="E8" s="127"/>
      <c r="F8" s="127"/>
      <c r="G8" s="127"/>
      <c r="H8" s="127"/>
      <c r="I8" s="128"/>
      <c r="J8" s="128"/>
      <c r="K8" s="128"/>
    </row>
    <row r="9" spans="1:11" x14ac:dyDescent="0.2">
      <c r="B9" s="119"/>
      <c r="C9" s="119"/>
      <c r="D9" s="119"/>
      <c r="E9" s="119"/>
      <c r="G9" s="119"/>
      <c r="H9" s="119"/>
      <c r="I9" s="119"/>
      <c r="J9" s="119"/>
      <c r="K9" s="119"/>
    </row>
    <row r="10" spans="1:11" x14ac:dyDescent="0.2">
      <c r="A10" s="114" t="s">
        <v>72</v>
      </c>
      <c r="B10" s="119">
        <v>54.670628999999998</v>
      </c>
      <c r="C10" s="119">
        <v>42.7</v>
      </c>
      <c r="D10" s="119">
        <v>133.71034014</v>
      </c>
      <c r="E10" s="119">
        <v>121.3</v>
      </c>
      <c r="F10" s="119">
        <v>136.96705499999999</v>
      </c>
      <c r="G10" s="119">
        <v>0.56000000000000005</v>
      </c>
      <c r="H10" s="119">
        <v>131.37299999999999</v>
      </c>
      <c r="I10" s="119">
        <v>88.773161810000005</v>
      </c>
      <c r="J10" s="154">
        <v>219.578</v>
      </c>
      <c r="K10" s="131">
        <f t="shared" ref="K10:K16" si="0">SUM(B10:J10)</f>
        <v>929.63218595000001</v>
      </c>
    </row>
    <row r="11" spans="1:11" x14ac:dyDescent="0.2">
      <c r="A11" s="114" t="s">
        <v>67</v>
      </c>
      <c r="B11" s="119">
        <v>0.21582699999999999</v>
      </c>
      <c r="C11" s="119">
        <v>0.01</v>
      </c>
      <c r="D11" s="119"/>
      <c r="E11" s="119"/>
      <c r="F11" s="119"/>
      <c r="G11" s="119"/>
      <c r="H11" s="119"/>
      <c r="I11" s="119"/>
      <c r="J11" s="119">
        <v>11.25</v>
      </c>
      <c r="K11" s="131">
        <f t="shared" si="0"/>
        <v>11.475827000000001</v>
      </c>
    </row>
    <row r="12" spans="1:11" x14ac:dyDescent="0.2">
      <c r="A12" s="114" t="s">
        <v>104</v>
      </c>
      <c r="B12" s="119">
        <v>11.453951999999999</v>
      </c>
      <c r="C12" s="119">
        <v>11.59</v>
      </c>
      <c r="D12" s="119">
        <v>42.447449909999996</v>
      </c>
      <c r="E12" s="119">
        <v>17.3</v>
      </c>
      <c r="F12" s="119">
        <v>15.214611</v>
      </c>
      <c r="G12" s="119">
        <v>156.09</v>
      </c>
      <c r="H12" s="119"/>
      <c r="I12" s="119">
        <v>1.79187265</v>
      </c>
      <c r="J12" s="119"/>
      <c r="K12" s="131">
        <f t="shared" si="0"/>
        <v>255.88788556</v>
      </c>
    </row>
    <row r="13" spans="1:11" x14ac:dyDescent="0.2">
      <c r="A13" s="114" t="s">
        <v>109</v>
      </c>
      <c r="B13" s="119">
        <v>0.170126</v>
      </c>
      <c r="C13" s="119">
        <v>8.9</v>
      </c>
      <c r="D13" s="119">
        <v>119.84324754000001</v>
      </c>
      <c r="E13" s="119">
        <v>0.7</v>
      </c>
      <c r="F13" s="119">
        <v>1.9661000000000001E-2</v>
      </c>
      <c r="G13" s="119">
        <v>2.5299999999999998</v>
      </c>
      <c r="H13" s="119">
        <v>25.364000000000001</v>
      </c>
      <c r="I13" s="119"/>
      <c r="J13" s="119">
        <v>1.84</v>
      </c>
      <c r="K13" s="131">
        <f t="shared" si="0"/>
        <v>159.36703454000002</v>
      </c>
    </row>
    <row r="14" spans="1:11" x14ac:dyDescent="0.2">
      <c r="A14" s="147" t="s">
        <v>69</v>
      </c>
      <c r="B14" s="119">
        <v>1.1631389999999999</v>
      </c>
      <c r="C14" s="119"/>
      <c r="D14" s="110">
        <v>0.03</v>
      </c>
      <c r="E14" s="119">
        <v>5.7</v>
      </c>
      <c r="F14" s="119">
        <v>4.6719999999999997</v>
      </c>
      <c r="G14" s="119">
        <v>13.34</v>
      </c>
      <c r="H14" s="119">
        <v>25.08</v>
      </c>
      <c r="I14" s="119">
        <v>3.053461</v>
      </c>
      <c r="J14" s="119">
        <v>12.907999999999999</v>
      </c>
      <c r="K14" s="131">
        <f t="shared" si="0"/>
        <v>65.946599999999989</v>
      </c>
    </row>
    <row r="15" spans="1:11" x14ac:dyDescent="0.2">
      <c r="A15" s="114" t="s">
        <v>70</v>
      </c>
      <c r="B15" s="119"/>
      <c r="C15" s="119"/>
      <c r="D15" s="119"/>
      <c r="E15" s="119"/>
      <c r="F15" s="119"/>
      <c r="G15" s="119"/>
      <c r="H15" s="119"/>
      <c r="I15" s="119"/>
      <c r="J15" s="119"/>
      <c r="K15" s="131">
        <f t="shared" si="0"/>
        <v>0</v>
      </c>
    </row>
    <row r="16" spans="1:11" x14ac:dyDescent="0.2">
      <c r="A16" s="114" t="s">
        <v>71</v>
      </c>
      <c r="B16" s="119">
        <v>0.74293200000000004</v>
      </c>
      <c r="C16" s="119"/>
      <c r="D16" s="119">
        <v>38.884078229999993</v>
      </c>
      <c r="E16" s="119">
        <v>32.799999999999997</v>
      </c>
      <c r="F16" s="125">
        <v>16.034365000000001</v>
      </c>
      <c r="G16" s="119"/>
      <c r="H16" s="119">
        <v>13.737</v>
      </c>
      <c r="I16" s="119">
        <v>30.175676690000003</v>
      </c>
      <c r="J16" s="119">
        <v>23.388000000000002</v>
      </c>
      <c r="K16" s="131">
        <f t="shared" si="0"/>
        <v>155.76205192</v>
      </c>
    </row>
    <row r="17" spans="1:11" x14ac:dyDescent="0.2">
      <c r="B17" s="119"/>
      <c r="C17" s="119"/>
      <c r="D17" s="119"/>
      <c r="E17" s="119"/>
      <c r="F17" s="122"/>
      <c r="G17" s="122"/>
      <c r="H17" s="122"/>
      <c r="I17" s="122"/>
      <c r="J17" s="122"/>
      <c r="K17" s="131"/>
    </row>
    <row r="18" spans="1:11" s="155" customFormat="1" x14ac:dyDescent="0.2">
      <c r="A18" s="155" t="s">
        <v>12</v>
      </c>
      <c r="B18" s="127">
        <f>SUM(B10:B16)</f>
        <v>68.41660499999999</v>
      </c>
      <c r="C18" s="127">
        <f>SUM(C10:C16)</f>
        <v>63.199999999999996</v>
      </c>
      <c r="D18" s="127">
        <f>SUM(D10:D17)</f>
        <v>334.91511581999998</v>
      </c>
      <c r="E18" s="127">
        <f>SUM(E10:E17)</f>
        <v>177.79999999999995</v>
      </c>
      <c r="F18" s="128">
        <f>SUM(F10:F16)</f>
        <v>172.907692</v>
      </c>
      <c r="G18" s="127">
        <f>SUM(G10:G16)</f>
        <v>172.52</v>
      </c>
      <c r="H18" s="127">
        <f>SUM(H10:H17)</f>
        <v>195.554</v>
      </c>
      <c r="I18" s="127">
        <f>SUM(I10:I17)</f>
        <v>123.79417215000001</v>
      </c>
      <c r="J18" s="128">
        <f>SUM(J10:J17)</f>
        <v>268.964</v>
      </c>
      <c r="K18" s="131">
        <f>SUM(B18:J18)</f>
        <v>1578.07158497</v>
      </c>
    </row>
    <row r="19" spans="1:11" x14ac:dyDescent="0.2">
      <c r="B19" s="119"/>
    </row>
    <row r="21" spans="1:11" x14ac:dyDescent="0.2">
      <c r="A21" s="140" t="s">
        <v>14</v>
      </c>
      <c r="B21" s="119"/>
      <c r="C21" s="119"/>
      <c r="D21" s="119"/>
      <c r="E21" s="119"/>
      <c r="F21" s="122"/>
      <c r="G21" s="122"/>
      <c r="H21" s="122"/>
      <c r="I21" s="122"/>
      <c r="J21" s="122"/>
      <c r="K21" s="131"/>
    </row>
    <row r="22" spans="1:11" x14ac:dyDescent="0.2">
      <c r="B22" s="119"/>
      <c r="C22" s="119"/>
      <c r="D22" s="119"/>
      <c r="E22" s="119"/>
      <c r="F22" s="122"/>
      <c r="G22" s="122"/>
      <c r="H22" s="122"/>
      <c r="I22" s="122"/>
      <c r="J22" s="122"/>
      <c r="K22" s="131"/>
    </row>
    <row r="23" spans="1:11" x14ac:dyDescent="0.2">
      <c r="A23" s="114" t="s">
        <v>72</v>
      </c>
      <c r="B23" s="119">
        <v>9.2805260000000001</v>
      </c>
      <c r="C23" s="119"/>
      <c r="D23" s="119">
        <v>8.3950354000000011</v>
      </c>
      <c r="E23" s="119"/>
      <c r="F23" s="119">
        <v>18.945409000000001</v>
      </c>
      <c r="G23" s="119">
        <v>16.690000000000001</v>
      </c>
      <c r="H23" s="119"/>
      <c r="I23" s="119">
        <v>14.2568918</v>
      </c>
      <c r="J23" s="154">
        <v>79</v>
      </c>
      <c r="K23" s="131">
        <f t="shared" ref="K23:K28" si="1">SUM(B23:J23)</f>
        <v>146.56786220000001</v>
      </c>
    </row>
    <row r="24" spans="1:11" x14ac:dyDescent="0.2">
      <c r="A24" s="114" t="s">
        <v>104</v>
      </c>
      <c r="B24" s="119"/>
      <c r="C24" s="119"/>
      <c r="D24" s="119">
        <v>4.9499104999999997</v>
      </c>
      <c r="E24" s="119"/>
      <c r="F24" s="122"/>
      <c r="G24" s="122">
        <v>1.85</v>
      </c>
      <c r="H24" s="122"/>
      <c r="I24" s="122"/>
      <c r="J24" s="122"/>
      <c r="K24" s="131">
        <f t="shared" si="1"/>
        <v>6.7999104999999993</v>
      </c>
    </row>
    <row r="25" spans="1:11" x14ac:dyDescent="0.2">
      <c r="A25" s="114" t="s">
        <v>109</v>
      </c>
      <c r="B25" s="119"/>
      <c r="C25" s="119"/>
      <c r="D25" s="119">
        <v>109.79840195</v>
      </c>
      <c r="E25" s="119">
        <v>67.8</v>
      </c>
      <c r="F25" s="119">
        <v>0.362622</v>
      </c>
      <c r="G25" s="119">
        <v>61.02</v>
      </c>
      <c r="H25" s="119">
        <v>15.699</v>
      </c>
      <c r="I25" s="119">
        <v>4.5004102000000001</v>
      </c>
      <c r="J25" s="119">
        <v>90.725999999999999</v>
      </c>
      <c r="K25" s="131">
        <f t="shared" si="1"/>
        <v>349.90643415</v>
      </c>
    </row>
    <row r="26" spans="1:11" x14ac:dyDescent="0.2">
      <c r="A26" s="147" t="s">
        <v>69</v>
      </c>
      <c r="B26" s="119">
        <v>0.87398699999999996</v>
      </c>
      <c r="C26" s="119">
        <v>32.549999999999997</v>
      </c>
      <c r="D26" s="119">
        <v>5.5707311299999995</v>
      </c>
      <c r="E26" s="119">
        <v>5.5</v>
      </c>
      <c r="F26" s="119">
        <v>0.88969500000000001</v>
      </c>
      <c r="G26" s="119">
        <v>6.16</v>
      </c>
      <c r="H26" s="119">
        <v>33.167999999999999</v>
      </c>
      <c r="I26" s="119">
        <v>4.4013698400000001</v>
      </c>
      <c r="J26" s="119">
        <v>32.506999999999998</v>
      </c>
      <c r="K26" s="131">
        <f t="shared" si="1"/>
        <v>121.62078296999999</v>
      </c>
    </row>
    <row r="27" spans="1:11" x14ac:dyDescent="0.2">
      <c r="A27" s="114" t="s">
        <v>70</v>
      </c>
      <c r="B27" s="119"/>
      <c r="C27" s="119"/>
      <c r="D27" s="119"/>
      <c r="E27" s="119"/>
      <c r="F27" s="122"/>
      <c r="G27" s="122"/>
      <c r="H27" s="122"/>
      <c r="I27" s="122"/>
      <c r="J27" s="122"/>
      <c r="K27" s="131">
        <f t="shared" si="1"/>
        <v>0</v>
      </c>
    </row>
    <row r="28" spans="1:11" x14ac:dyDescent="0.2">
      <c r="A28" s="114" t="s">
        <v>71</v>
      </c>
      <c r="B28" s="119"/>
      <c r="C28" s="119"/>
      <c r="D28" s="119">
        <v>7.8918312699999991</v>
      </c>
      <c r="E28" s="119"/>
      <c r="F28" s="122"/>
      <c r="G28" s="122"/>
      <c r="H28" s="122"/>
      <c r="I28" s="122"/>
      <c r="J28" s="122">
        <v>3.1379999999999999</v>
      </c>
      <c r="K28" s="131">
        <f t="shared" si="1"/>
        <v>11.029831269999999</v>
      </c>
    </row>
    <row r="29" spans="1:11" x14ac:dyDescent="0.2">
      <c r="B29" s="119"/>
      <c r="C29" s="119"/>
      <c r="D29" s="119"/>
      <c r="E29" s="119"/>
      <c r="F29" s="122"/>
      <c r="G29" s="122"/>
      <c r="H29" s="122"/>
      <c r="I29" s="122"/>
      <c r="J29" s="122"/>
      <c r="K29" s="131"/>
    </row>
    <row r="30" spans="1:11" s="155" customFormat="1" x14ac:dyDescent="0.2">
      <c r="A30" s="155" t="s">
        <v>12</v>
      </c>
      <c r="B30" s="119">
        <f>SUM(B23:B28)</f>
        <v>10.154513</v>
      </c>
      <c r="C30" s="127">
        <f>SUM(C23:C28)</f>
        <v>32.549999999999997</v>
      </c>
      <c r="D30" s="127">
        <f>SUM(D23:D28)</f>
        <v>136.60591025000002</v>
      </c>
      <c r="E30" s="127">
        <f>SUM(E23:E28)</f>
        <v>73.3</v>
      </c>
      <c r="F30" s="128">
        <f>SUM(F23:F28)</f>
        <v>20.197725999999999</v>
      </c>
      <c r="G30" s="128">
        <f>SUM(G23:G29)</f>
        <v>85.72</v>
      </c>
      <c r="H30" s="128">
        <f>SUM(H23:H29)</f>
        <v>48.866999999999997</v>
      </c>
      <c r="I30" s="128">
        <f>SUM(I23:I29)</f>
        <v>23.15867184</v>
      </c>
      <c r="J30" s="128">
        <f>SUM(J23:J29)</f>
        <v>205.37100000000001</v>
      </c>
      <c r="K30" s="131">
        <f>SUM(B30:J30)</f>
        <v>635.92482109000002</v>
      </c>
    </row>
    <row r="31" spans="1:11" s="155" customFormat="1" x14ac:dyDescent="0.2">
      <c r="B31" s="119"/>
    </row>
    <row r="32" spans="1:11" s="140" customFormat="1" x14ac:dyDescent="0.2">
      <c r="A32" s="140" t="s">
        <v>43</v>
      </c>
      <c r="B32" s="131">
        <f t="shared" ref="B32:G32" si="2">B18+B30</f>
        <v>78.571117999999984</v>
      </c>
      <c r="C32" s="131">
        <f t="shared" si="2"/>
        <v>95.75</v>
      </c>
      <c r="D32" s="131">
        <f t="shared" si="2"/>
        <v>471.52102607</v>
      </c>
      <c r="E32" s="131">
        <f t="shared" si="2"/>
        <v>251.09999999999997</v>
      </c>
      <c r="F32" s="132">
        <f t="shared" si="2"/>
        <v>193.10541799999999</v>
      </c>
      <c r="G32" s="132">
        <f t="shared" si="2"/>
        <v>258.24</v>
      </c>
      <c r="H32" s="132">
        <f>H30+H18</f>
        <v>244.42099999999999</v>
      </c>
      <c r="I32" s="132">
        <f>I18+I30</f>
        <v>146.95284399000002</v>
      </c>
      <c r="J32" s="132">
        <f>J18+J30</f>
        <v>474.33500000000004</v>
      </c>
      <c r="K32" s="131">
        <f>SUM(B32:J32)</f>
        <v>2213.99640606</v>
      </c>
    </row>
    <row r="33" spans="1:255" s="140" customFormat="1" x14ac:dyDescent="0.2">
      <c r="B33" s="131"/>
      <c r="C33" s="131"/>
      <c r="D33" s="131"/>
      <c r="E33" s="131"/>
      <c r="F33" s="131"/>
      <c r="G33" s="131"/>
      <c r="H33" s="131"/>
      <c r="I33" s="131"/>
      <c r="J33" s="131"/>
      <c r="K33" s="131"/>
    </row>
    <row r="34" spans="1:255" s="155" customFormat="1" ht="14.25" x14ac:dyDescent="0.2">
      <c r="A34" s="140" t="s">
        <v>199</v>
      </c>
      <c r="B34" s="119"/>
      <c r="C34" s="127">
        <v>28.07</v>
      </c>
      <c r="D34" s="127"/>
      <c r="E34" s="127">
        <v>33.299999999999997</v>
      </c>
      <c r="F34" s="128"/>
      <c r="G34" s="128">
        <v>49.75</v>
      </c>
      <c r="H34" s="128">
        <v>25.154</v>
      </c>
      <c r="I34" s="128"/>
      <c r="J34" s="128">
        <v>40.058</v>
      </c>
      <c r="K34" s="131">
        <f>SUM(B34:J34)</f>
        <v>176.33199999999999</v>
      </c>
    </row>
    <row r="35" spans="1:255" x14ac:dyDescent="0.2">
      <c r="B35" s="119"/>
      <c r="C35" s="119"/>
      <c r="D35" s="119"/>
      <c r="E35" s="119"/>
      <c r="F35" s="122"/>
      <c r="G35" s="122"/>
      <c r="H35" s="122"/>
      <c r="I35" s="122"/>
      <c r="J35" s="122"/>
      <c r="K35" s="119"/>
      <c r="L35" s="119"/>
      <c r="M35" s="119"/>
      <c r="N35" s="119"/>
      <c r="O35" s="119"/>
      <c r="P35" s="119"/>
      <c r="Q35" s="119"/>
      <c r="R35" s="119"/>
      <c r="S35" s="119"/>
      <c r="T35" s="119"/>
      <c r="U35" s="119"/>
      <c r="V35" s="119"/>
      <c r="W35" s="119"/>
      <c r="X35" s="119"/>
      <c r="Y35" s="119"/>
      <c r="Z35" s="119"/>
      <c r="AA35" s="119"/>
      <c r="AB35" s="119"/>
      <c r="AC35" s="119"/>
      <c r="AD35" s="119"/>
      <c r="AE35" s="119"/>
      <c r="AF35" s="119"/>
      <c r="AG35" s="119"/>
      <c r="AH35" s="119"/>
      <c r="AI35" s="119"/>
      <c r="AJ35" s="119"/>
      <c r="AK35" s="119"/>
      <c r="AL35" s="119"/>
      <c r="AM35" s="119"/>
      <c r="AN35" s="119"/>
      <c r="AO35" s="119"/>
      <c r="AP35" s="119"/>
      <c r="AQ35" s="119"/>
      <c r="AR35" s="119"/>
      <c r="AS35" s="119"/>
      <c r="AT35" s="119"/>
      <c r="AU35" s="119"/>
      <c r="AV35" s="119"/>
      <c r="AW35" s="119"/>
      <c r="AX35" s="119"/>
      <c r="AY35" s="119"/>
      <c r="AZ35" s="119"/>
      <c r="BA35" s="119"/>
      <c r="BB35" s="119"/>
      <c r="BC35" s="119"/>
      <c r="BD35" s="119"/>
      <c r="BE35" s="119"/>
      <c r="BF35" s="119"/>
      <c r="BG35" s="119"/>
      <c r="BH35" s="119"/>
      <c r="BI35" s="119"/>
      <c r="BJ35" s="119"/>
      <c r="BK35" s="119"/>
      <c r="BL35" s="119"/>
      <c r="BM35" s="119"/>
      <c r="BN35" s="119"/>
      <c r="BO35" s="119"/>
      <c r="BP35" s="119"/>
      <c r="BQ35" s="119"/>
      <c r="BR35" s="119"/>
      <c r="BS35" s="119"/>
      <c r="BT35" s="119"/>
      <c r="BU35" s="119"/>
      <c r="BV35" s="119"/>
      <c r="BW35" s="119"/>
      <c r="BX35" s="119"/>
      <c r="BY35" s="119"/>
      <c r="BZ35" s="119"/>
      <c r="CA35" s="119"/>
      <c r="CB35" s="119"/>
      <c r="CC35" s="119"/>
      <c r="CD35" s="119"/>
      <c r="CE35" s="119"/>
      <c r="CF35" s="119"/>
      <c r="CG35" s="119"/>
      <c r="CH35" s="119"/>
      <c r="CI35" s="119"/>
      <c r="CJ35" s="119"/>
      <c r="CK35" s="119"/>
      <c r="CL35" s="119"/>
      <c r="CM35" s="119"/>
      <c r="CN35" s="119"/>
      <c r="CO35" s="119"/>
      <c r="CP35" s="119"/>
      <c r="CQ35" s="119"/>
      <c r="CR35" s="119"/>
      <c r="CS35" s="119"/>
      <c r="CT35" s="119"/>
      <c r="CU35" s="119"/>
      <c r="CV35" s="119"/>
      <c r="CW35" s="119"/>
      <c r="CX35" s="119"/>
      <c r="CY35" s="119"/>
      <c r="CZ35" s="119"/>
      <c r="DA35" s="119"/>
      <c r="DB35" s="119"/>
      <c r="DC35" s="119"/>
      <c r="DD35" s="119"/>
      <c r="DE35" s="119"/>
      <c r="DF35" s="119"/>
      <c r="DG35" s="119"/>
      <c r="DH35" s="119"/>
      <c r="DI35" s="119"/>
      <c r="DJ35" s="119"/>
      <c r="DK35" s="119"/>
      <c r="DL35" s="119"/>
      <c r="DM35" s="119"/>
      <c r="DN35" s="119"/>
      <c r="DO35" s="119"/>
      <c r="DP35" s="119"/>
      <c r="DQ35" s="119"/>
      <c r="DR35" s="119"/>
      <c r="DS35" s="119"/>
      <c r="DT35" s="119"/>
      <c r="DU35" s="119"/>
      <c r="DV35" s="119"/>
      <c r="DW35" s="119"/>
      <c r="DX35" s="119"/>
      <c r="DY35" s="119"/>
      <c r="DZ35" s="119"/>
      <c r="EA35" s="119"/>
      <c r="EB35" s="119"/>
      <c r="EC35" s="119"/>
      <c r="ED35" s="119"/>
      <c r="EE35" s="119"/>
      <c r="EF35" s="119"/>
      <c r="EG35" s="119"/>
      <c r="EH35" s="119"/>
      <c r="EI35" s="119"/>
      <c r="EJ35" s="119"/>
      <c r="EK35" s="119"/>
      <c r="EL35" s="119"/>
      <c r="EM35" s="119"/>
      <c r="EN35" s="119"/>
      <c r="EO35" s="119"/>
      <c r="EP35" s="119"/>
      <c r="EQ35" s="119"/>
      <c r="ER35" s="119"/>
      <c r="ES35" s="119"/>
      <c r="ET35" s="119"/>
      <c r="EU35" s="119"/>
      <c r="EV35" s="119"/>
      <c r="EW35" s="119"/>
      <c r="EX35" s="119"/>
      <c r="EY35" s="119"/>
      <c r="EZ35" s="119"/>
      <c r="FA35" s="119"/>
      <c r="FB35" s="119"/>
      <c r="FC35" s="119"/>
      <c r="FD35" s="119"/>
      <c r="FE35" s="119"/>
      <c r="FF35" s="119"/>
      <c r="FG35" s="119"/>
      <c r="FH35" s="119"/>
      <c r="FI35" s="119"/>
      <c r="FJ35" s="119"/>
      <c r="FK35" s="119"/>
      <c r="FL35" s="119"/>
      <c r="FM35" s="119"/>
      <c r="FN35" s="119"/>
      <c r="FO35" s="119"/>
      <c r="FP35" s="119"/>
      <c r="FQ35" s="119"/>
      <c r="FR35" s="119"/>
      <c r="FS35" s="119"/>
      <c r="FT35" s="119"/>
      <c r="FU35" s="119"/>
      <c r="FV35" s="119"/>
      <c r="FW35" s="119"/>
      <c r="FX35" s="119"/>
      <c r="FY35" s="119"/>
      <c r="FZ35" s="119"/>
      <c r="GA35" s="119"/>
      <c r="GB35" s="119"/>
      <c r="GC35" s="119"/>
      <c r="GD35" s="119"/>
      <c r="GE35" s="119"/>
      <c r="GF35" s="119"/>
      <c r="GG35" s="119"/>
      <c r="GH35" s="119"/>
      <c r="GI35" s="119"/>
      <c r="GJ35" s="119"/>
      <c r="GK35" s="119"/>
      <c r="GL35" s="119"/>
      <c r="GM35" s="119"/>
      <c r="GN35" s="119"/>
      <c r="GO35" s="119"/>
      <c r="GP35" s="119"/>
      <c r="GQ35" s="119"/>
      <c r="GR35" s="119"/>
      <c r="GS35" s="119"/>
      <c r="GT35" s="119"/>
      <c r="GU35" s="119"/>
      <c r="GV35" s="119"/>
      <c r="GW35" s="119"/>
      <c r="GX35" s="119"/>
      <c r="GY35" s="119"/>
      <c r="GZ35" s="119"/>
      <c r="HA35" s="119"/>
      <c r="HB35" s="119"/>
      <c r="HC35" s="119"/>
      <c r="HD35" s="119"/>
      <c r="HE35" s="119"/>
      <c r="HF35" s="119"/>
      <c r="HG35" s="119"/>
      <c r="HH35" s="119"/>
      <c r="HI35" s="119"/>
      <c r="HJ35" s="119"/>
      <c r="HK35" s="119"/>
      <c r="HL35" s="119"/>
      <c r="HM35" s="119"/>
      <c r="HN35" s="119"/>
      <c r="HO35" s="119"/>
      <c r="HP35" s="119"/>
      <c r="HQ35" s="119"/>
      <c r="HR35" s="119"/>
      <c r="HS35" s="119"/>
      <c r="HT35" s="119"/>
      <c r="HU35" s="119"/>
      <c r="HV35" s="119"/>
      <c r="HW35" s="119"/>
      <c r="HX35" s="119"/>
      <c r="HY35" s="119"/>
      <c r="HZ35" s="119"/>
      <c r="IA35" s="119"/>
      <c r="IB35" s="119"/>
      <c r="IC35" s="119"/>
      <c r="ID35" s="119"/>
      <c r="IE35" s="119"/>
      <c r="IF35" s="119"/>
      <c r="IG35" s="119"/>
      <c r="IH35" s="119"/>
      <c r="II35" s="119"/>
      <c r="IJ35" s="119"/>
      <c r="IK35" s="119"/>
      <c r="IL35" s="119"/>
      <c r="IM35" s="119"/>
      <c r="IN35" s="119"/>
      <c r="IO35" s="119"/>
      <c r="IP35" s="119"/>
      <c r="IQ35" s="119"/>
      <c r="IR35" s="119"/>
      <c r="IS35" s="119"/>
      <c r="IT35" s="119"/>
      <c r="IU35" s="119"/>
    </row>
    <row r="36" spans="1:255" ht="14.25" x14ac:dyDescent="0.2">
      <c r="A36" s="140" t="s">
        <v>200</v>
      </c>
      <c r="F36" s="110"/>
      <c r="G36" s="110"/>
      <c r="H36" s="110"/>
      <c r="I36" s="110"/>
      <c r="J36" s="110"/>
      <c r="K36" s="110"/>
      <c r="L36" s="119"/>
      <c r="M36" s="119"/>
      <c r="N36" s="119"/>
      <c r="O36" s="119"/>
      <c r="P36" s="119"/>
      <c r="Q36" s="119"/>
      <c r="R36" s="119"/>
      <c r="S36" s="119"/>
      <c r="T36" s="119"/>
      <c r="U36" s="119"/>
      <c r="V36" s="119"/>
      <c r="W36" s="119"/>
      <c r="X36" s="119"/>
      <c r="Y36" s="119"/>
      <c r="Z36" s="119"/>
      <c r="AA36" s="119"/>
      <c r="AB36" s="119"/>
      <c r="AC36" s="119"/>
      <c r="AD36" s="119"/>
      <c r="AE36" s="119"/>
      <c r="AF36" s="119"/>
      <c r="AG36" s="119"/>
      <c r="AH36" s="119"/>
      <c r="AI36" s="119"/>
      <c r="AJ36" s="119"/>
      <c r="AK36" s="119"/>
      <c r="AL36" s="119"/>
      <c r="AM36" s="119"/>
      <c r="AN36" s="119"/>
      <c r="AO36" s="119"/>
      <c r="AP36" s="119"/>
      <c r="AQ36" s="119"/>
      <c r="AR36" s="119"/>
      <c r="AS36" s="119"/>
      <c r="AT36" s="119"/>
      <c r="AU36" s="119"/>
      <c r="AV36" s="119"/>
      <c r="AW36" s="119"/>
      <c r="AX36" s="119"/>
      <c r="AY36" s="119"/>
      <c r="AZ36" s="119"/>
      <c r="BA36" s="119"/>
      <c r="BB36" s="119"/>
      <c r="BC36" s="119"/>
      <c r="BD36" s="119"/>
      <c r="BE36" s="119"/>
      <c r="BF36" s="119"/>
      <c r="BG36" s="119"/>
      <c r="BH36" s="119"/>
      <c r="BI36" s="119"/>
      <c r="BJ36" s="119"/>
      <c r="BK36" s="119"/>
      <c r="BL36" s="119"/>
      <c r="BM36" s="119"/>
      <c r="BN36" s="119"/>
      <c r="BO36" s="119"/>
      <c r="BP36" s="119"/>
      <c r="BQ36" s="119"/>
      <c r="BR36" s="119"/>
      <c r="BS36" s="119"/>
      <c r="BT36" s="119"/>
      <c r="BU36" s="119"/>
      <c r="BV36" s="119"/>
      <c r="BW36" s="119"/>
      <c r="BX36" s="119"/>
      <c r="BY36" s="119"/>
      <c r="BZ36" s="119"/>
      <c r="CA36" s="119"/>
      <c r="CB36" s="119"/>
      <c r="CC36" s="119"/>
      <c r="CD36" s="119"/>
      <c r="CE36" s="119"/>
      <c r="CF36" s="119"/>
      <c r="CG36" s="119"/>
      <c r="CH36" s="119"/>
      <c r="CI36" s="119"/>
      <c r="CJ36" s="119"/>
      <c r="CK36" s="119"/>
      <c r="CL36" s="119"/>
      <c r="CM36" s="119"/>
      <c r="CN36" s="119"/>
      <c r="CO36" s="119"/>
      <c r="CP36" s="119"/>
      <c r="CQ36" s="119"/>
      <c r="CR36" s="119"/>
      <c r="CS36" s="119"/>
      <c r="CT36" s="119"/>
      <c r="CU36" s="119"/>
      <c r="CV36" s="119"/>
      <c r="CW36" s="119"/>
      <c r="CX36" s="119"/>
      <c r="CY36" s="119"/>
      <c r="CZ36" s="119"/>
      <c r="DA36" s="119"/>
      <c r="DB36" s="119"/>
      <c r="DC36" s="119"/>
      <c r="DD36" s="119"/>
      <c r="DE36" s="119"/>
      <c r="DF36" s="119"/>
      <c r="DG36" s="119"/>
      <c r="DH36" s="119"/>
      <c r="DI36" s="119"/>
      <c r="DJ36" s="119"/>
      <c r="DK36" s="119"/>
      <c r="DL36" s="119"/>
      <c r="DM36" s="119"/>
      <c r="DN36" s="119"/>
      <c r="DO36" s="119"/>
      <c r="DP36" s="119"/>
      <c r="DQ36" s="119"/>
      <c r="DR36" s="119"/>
      <c r="DS36" s="119"/>
      <c r="DT36" s="119"/>
      <c r="DU36" s="119"/>
      <c r="DV36" s="119"/>
      <c r="DW36" s="119"/>
      <c r="DX36" s="119"/>
      <c r="DY36" s="119"/>
      <c r="DZ36" s="119"/>
      <c r="EA36" s="119"/>
      <c r="EB36" s="119"/>
      <c r="EC36" s="119"/>
      <c r="ED36" s="119"/>
      <c r="EE36" s="119"/>
      <c r="EF36" s="119"/>
      <c r="EG36" s="119"/>
      <c r="EH36" s="119"/>
      <c r="EI36" s="119"/>
      <c r="EJ36" s="119"/>
      <c r="EK36" s="119"/>
      <c r="EL36" s="119"/>
      <c r="EM36" s="119"/>
      <c r="EN36" s="119"/>
      <c r="EO36" s="119"/>
      <c r="EP36" s="119"/>
      <c r="EQ36" s="119"/>
      <c r="ER36" s="119"/>
      <c r="ES36" s="119"/>
      <c r="ET36" s="119"/>
      <c r="EU36" s="119"/>
      <c r="EV36" s="119"/>
      <c r="EW36" s="119"/>
      <c r="EX36" s="119"/>
      <c r="EY36" s="119"/>
      <c r="EZ36" s="119"/>
      <c r="FA36" s="119"/>
      <c r="FB36" s="119"/>
      <c r="FC36" s="119"/>
      <c r="FD36" s="119"/>
      <c r="FE36" s="119"/>
      <c r="FF36" s="119"/>
      <c r="FG36" s="119"/>
      <c r="FH36" s="119"/>
      <c r="FI36" s="119"/>
      <c r="FJ36" s="119"/>
      <c r="FK36" s="119"/>
      <c r="FL36" s="119"/>
      <c r="FM36" s="119"/>
      <c r="FN36" s="119"/>
      <c r="FO36" s="119"/>
      <c r="FP36" s="119"/>
      <c r="FQ36" s="119"/>
      <c r="FR36" s="119"/>
      <c r="FS36" s="119"/>
      <c r="FT36" s="119"/>
      <c r="FU36" s="119"/>
      <c r="FV36" s="119"/>
      <c r="FW36" s="119"/>
      <c r="FX36" s="119"/>
      <c r="FY36" s="119"/>
      <c r="FZ36" s="119"/>
      <c r="GA36" s="119"/>
      <c r="GB36" s="119"/>
      <c r="GC36" s="119"/>
      <c r="GD36" s="119"/>
      <c r="GE36" s="119"/>
      <c r="GF36" s="119"/>
      <c r="GG36" s="119"/>
      <c r="GH36" s="119"/>
      <c r="GI36" s="119"/>
      <c r="GJ36" s="119"/>
      <c r="GK36" s="119"/>
      <c r="GL36" s="119"/>
      <c r="GM36" s="119"/>
      <c r="GN36" s="119"/>
      <c r="GO36" s="119"/>
      <c r="GP36" s="119"/>
      <c r="GQ36" s="119"/>
      <c r="GR36" s="119"/>
      <c r="GS36" s="119"/>
      <c r="GT36" s="119"/>
      <c r="GU36" s="119"/>
      <c r="GV36" s="119"/>
      <c r="GW36" s="119"/>
      <c r="GX36" s="119"/>
      <c r="GY36" s="119"/>
      <c r="GZ36" s="119"/>
      <c r="HA36" s="119"/>
      <c r="HB36" s="119"/>
      <c r="HC36" s="119"/>
      <c r="HD36" s="119"/>
      <c r="HE36" s="119"/>
      <c r="HF36" s="119"/>
      <c r="HG36" s="119"/>
      <c r="HH36" s="119"/>
      <c r="HI36" s="119"/>
      <c r="HJ36" s="119"/>
      <c r="HK36" s="119"/>
      <c r="HL36" s="119"/>
      <c r="HM36" s="119"/>
      <c r="HN36" s="119"/>
      <c r="HO36" s="119"/>
      <c r="HP36" s="119"/>
      <c r="HQ36" s="119"/>
      <c r="HR36" s="119"/>
      <c r="HS36" s="119"/>
      <c r="HT36" s="119"/>
      <c r="HU36" s="119"/>
      <c r="HV36" s="119"/>
      <c r="HW36" s="119"/>
      <c r="HX36" s="119"/>
      <c r="HY36" s="119"/>
      <c r="HZ36" s="119"/>
      <c r="IA36" s="119"/>
      <c r="IB36" s="119"/>
      <c r="IC36" s="119"/>
      <c r="ID36" s="119"/>
      <c r="IE36" s="119"/>
      <c r="IF36" s="119"/>
      <c r="IG36" s="119"/>
      <c r="IH36" s="119"/>
      <c r="II36" s="119"/>
      <c r="IJ36" s="119"/>
      <c r="IK36" s="119"/>
      <c r="IL36" s="119"/>
      <c r="IM36" s="119"/>
      <c r="IN36" s="119"/>
      <c r="IO36" s="119"/>
      <c r="IP36" s="119"/>
      <c r="IQ36" s="119"/>
      <c r="IR36" s="119"/>
      <c r="IS36" s="119"/>
      <c r="IT36" s="119"/>
      <c r="IU36" s="119"/>
    </row>
    <row r="37" spans="1:255" x14ac:dyDescent="0.2">
      <c r="A37" s="114" t="s">
        <v>46</v>
      </c>
      <c r="B37" s="110">
        <v>577</v>
      </c>
      <c r="D37" s="110">
        <v>20650</v>
      </c>
      <c r="E37" s="110">
        <v>15207</v>
      </c>
      <c r="F37" s="134"/>
      <c r="G37" s="110"/>
      <c r="H37" s="110">
        <v>5841</v>
      </c>
      <c r="I37" s="110">
        <v>10405</v>
      </c>
      <c r="J37" s="110">
        <v>11973</v>
      </c>
      <c r="K37" s="136">
        <f>SUM(B37:J37)</f>
        <v>64653</v>
      </c>
      <c r="L37" s="119"/>
      <c r="M37" s="119"/>
      <c r="N37" s="119"/>
      <c r="O37" s="119"/>
      <c r="P37" s="119"/>
      <c r="Q37" s="119"/>
      <c r="R37" s="119"/>
      <c r="S37" s="119"/>
      <c r="T37" s="119"/>
      <c r="U37" s="119"/>
      <c r="V37" s="119"/>
      <c r="W37" s="119"/>
      <c r="X37" s="119"/>
      <c r="Y37" s="119"/>
      <c r="Z37" s="119"/>
      <c r="AA37" s="119"/>
      <c r="AB37" s="119"/>
      <c r="AC37" s="119"/>
      <c r="AD37" s="119"/>
      <c r="AE37" s="119"/>
      <c r="AF37" s="119"/>
      <c r="AG37" s="119"/>
      <c r="AH37" s="119"/>
      <c r="AI37" s="119"/>
      <c r="AJ37" s="119"/>
      <c r="AK37" s="119"/>
      <c r="AL37" s="119"/>
      <c r="AM37" s="119"/>
      <c r="AN37" s="119"/>
      <c r="AO37" s="119"/>
      <c r="AP37" s="119"/>
      <c r="AQ37" s="119"/>
      <c r="AR37" s="119"/>
      <c r="AS37" s="119"/>
      <c r="AT37" s="119"/>
      <c r="AU37" s="119"/>
      <c r="AV37" s="119"/>
      <c r="AW37" s="119"/>
      <c r="AX37" s="119"/>
      <c r="AY37" s="119"/>
      <c r="AZ37" s="119"/>
      <c r="BA37" s="119"/>
      <c r="BB37" s="119"/>
      <c r="BC37" s="119"/>
      <c r="BD37" s="119"/>
      <c r="BE37" s="119"/>
      <c r="BF37" s="119"/>
      <c r="BG37" s="119"/>
      <c r="BH37" s="119"/>
      <c r="BI37" s="119"/>
      <c r="BJ37" s="119"/>
      <c r="BK37" s="119"/>
      <c r="BL37" s="119"/>
      <c r="BM37" s="119"/>
      <c r="BN37" s="119"/>
      <c r="BO37" s="119"/>
      <c r="BP37" s="119"/>
      <c r="BQ37" s="119"/>
      <c r="BR37" s="119"/>
      <c r="BS37" s="119"/>
      <c r="BT37" s="119"/>
      <c r="BU37" s="119"/>
      <c r="BV37" s="119"/>
      <c r="BW37" s="119"/>
      <c r="BX37" s="119"/>
      <c r="BY37" s="119"/>
      <c r="BZ37" s="119"/>
      <c r="CA37" s="119"/>
      <c r="CB37" s="119"/>
      <c r="CC37" s="119"/>
      <c r="CD37" s="119"/>
      <c r="CE37" s="119"/>
      <c r="CF37" s="119"/>
      <c r="CG37" s="119"/>
      <c r="CH37" s="119"/>
      <c r="CI37" s="119"/>
      <c r="CJ37" s="119"/>
      <c r="CK37" s="119"/>
      <c r="CL37" s="119"/>
      <c r="CM37" s="119"/>
      <c r="CN37" s="119"/>
      <c r="CO37" s="119"/>
      <c r="CP37" s="119"/>
      <c r="CQ37" s="119"/>
      <c r="CR37" s="119"/>
      <c r="CS37" s="119"/>
      <c r="CT37" s="119"/>
      <c r="CU37" s="119"/>
      <c r="CV37" s="119"/>
      <c r="CW37" s="119"/>
      <c r="CX37" s="119"/>
      <c r="CY37" s="119"/>
      <c r="CZ37" s="119"/>
      <c r="DA37" s="119"/>
      <c r="DB37" s="119"/>
      <c r="DC37" s="119"/>
      <c r="DD37" s="119"/>
      <c r="DE37" s="119"/>
      <c r="DF37" s="119"/>
      <c r="DG37" s="119"/>
      <c r="DH37" s="119"/>
      <c r="DI37" s="119"/>
      <c r="DJ37" s="119"/>
      <c r="DK37" s="119"/>
      <c r="DL37" s="119"/>
      <c r="DM37" s="119"/>
      <c r="DN37" s="119"/>
      <c r="DO37" s="119"/>
      <c r="DP37" s="119"/>
      <c r="DQ37" s="119"/>
      <c r="DR37" s="119"/>
      <c r="DS37" s="119"/>
      <c r="DT37" s="119"/>
      <c r="DU37" s="119"/>
      <c r="DV37" s="119"/>
      <c r="DW37" s="119"/>
      <c r="DX37" s="119"/>
      <c r="DY37" s="119"/>
      <c r="DZ37" s="119"/>
      <c r="EA37" s="119"/>
      <c r="EB37" s="119"/>
      <c r="EC37" s="119"/>
      <c r="ED37" s="119"/>
      <c r="EE37" s="119"/>
      <c r="EF37" s="119"/>
      <c r="EG37" s="119"/>
      <c r="EH37" s="119"/>
      <c r="EI37" s="119"/>
      <c r="EJ37" s="119"/>
      <c r="EK37" s="119"/>
      <c r="EL37" s="119"/>
      <c r="EM37" s="119"/>
      <c r="EN37" s="119"/>
      <c r="EO37" s="119"/>
      <c r="EP37" s="119"/>
      <c r="EQ37" s="119"/>
      <c r="ER37" s="119"/>
      <c r="ES37" s="119"/>
      <c r="ET37" s="119"/>
      <c r="EU37" s="119"/>
      <c r="EV37" s="119"/>
      <c r="EW37" s="119"/>
      <c r="EX37" s="119"/>
      <c r="EY37" s="119"/>
      <c r="EZ37" s="119"/>
      <c r="FA37" s="119"/>
      <c r="FB37" s="119"/>
      <c r="FC37" s="119"/>
      <c r="FD37" s="119"/>
      <c r="FE37" s="119"/>
      <c r="FF37" s="119"/>
      <c r="FG37" s="119"/>
      <c r="FH37" s="119"/>
      <c r="FI37" s="119"/>
      <c r="FJ37" s="119"/>
      <c r="FK37" s="119"/>
      <c r="FL37" s="119"/>
      <c r="FM37" s="119"/>
      <c r="FN37" s="119"/>
      <c r="FO37" s="119"/>
      <c r="FP37" s="119"/>
      <c r="FQ37" s="119"/>
      <c r="FR37" s="119"/>
      <c r="FS37" s="119"/>
      <c r="FT37" s="119"/>
      <c r="FU37" s="119"/>
      <c r="FV37" s="119"/>
      <c r="FW37" s="119"/>
      <c r="FX37" s="119"/>
      <c r="FY37" s="119"/>
      <c r="FZ37" s="119"/>
      <c r="GA37" s="119"/>
      <c r="GB37" s="119"/>
      <c r="GC37" s="119"/>
      <c r="GD37" s="119"/>
      <c r="GE37" s="119"/>
      <c r="GF37" s="119"/>
      <c r="GG37" s="119"/>
      <c r="GH37" s="119"/>
      <c r="GI37" s="119"/>
      <c r="GJ37" s="119"/>
      <c r="GK37" s="119"/>
      <c r="GL37" s="119"/>
      <c r="GM37" s="119"/>
      <c r="GN37" s="119"/>
      <c r="GO37" s="119"/>
      <c r="GP37" s="119"/>
      <c r="GQ37" s="119"/>
      <c r="GR37" s="119"/>
      <c r="GS37" s="119"/>
      <c r="GT37" s="119"/>
      <c r="GU37" s="119"/>
      <c r="GV37" s="119"/>
      <c r="GW37" s="119"/>
      <c r="GX37" s="119"/>
      <c r="GY37" s="119"/>
      <c r="GZ37" s="119"/>
      <c r="HA37" s="119"/>
      <c r="HB37" s="119"/>
      <c r="HC37" s="119"/>
      <c r="HD37" s="119"/>
      <c r="HE37" s="119"/>
      <c r="HF37" s="119"/>
      <c r="HG37" s="119"/>
      <c r="HH37" s="119"/>
      <c r="HI37" s="119"/>
      <c r="HJ37" s="119"/>
      <c r="HK37" s="119"/>
      <c r="HL37" s="119"/>
      <c r="HM37" s="119"/>
      <c r="HN37" s="119"/>
      <c r="HO37" s="119"/>
      <c r="HP37" s="119"/>
      <c r="HQ37" s="119"/>
      <c r="HR37" s="119"/>
      <c r="HS37" s="119"/>
      <c r="HT37" s="119"/>
      <c r="HU37" s="119"/>
      <c r="HV37" s="119"/>
      <c r="HW37" s="119"/>
      <c r="HX37" s="119"/>
      <c r="HY37" s="119"/>
      <c r="HZ37" s="119"/>
      <c r="IA37" s="119"/>
      <c r="IB37" s="119"/>
      <c r="IC37" s="119"/>
      <c r="ID37" s="119"/>
      <c r="IE37" s="119"/>
      <c r="IF37" s="119"/>
      <c r="IG37" s="119"/>
      <c r="IH37" s="119"/>
      <c r="II37" s="119"/>
      <c r="IJ37" s="119"/>
      <c r="IK37" s="119"/>
      <c r="IL37" s="119"/>
      <c r="IM37" s="119"/>
      <c r="IN37" s="119"/>
      <c r="IO37" s="119"/>
      <c r="IP37" s="119"/>
      <c r="IQ37" s="119"/>
      <c r="IR37" s="119"/>
      <c r="IS37" s="119"/>
      <c r="IT37" s="119"/>
      <c r="IU37" s="119"/>
    </row>
    <row r="38" spans="1:255" x14ac:dyDescent="0.2">
      <c r="A38" s="114" t="s">
        <v>201</v>
      </c>
      <c r="D38" s="110">
        <v>5498</v>
      </c>
      <c r="F38" s="110"/>
      <c r="G38" s="110"/>
      <c r="H38" s="110"/>
      <c r="I38" s="110"/>
      <c r="J38" s="110">
        <v>2745</v>
      </c>
      <c r="K38" s="136">
        <f>SUM(B38:J38)</f>
        <v>8243</v>
      </c>
      <c r="L38" s="119"/>
      <c r="M38" s="119"/>
      <c r="N38" s="119"/>
      <c r="O38" s="119"/>
      <c r="P38" s="119"/>
      <c r="Q38" s="119"/>
      <c r="R38" s="119"/>
      <c r="S38" s="119"/>
      <c r="T38" s="119"/>
      <c r="U38" s="119"/>
      <c r="V38" s="119"/>
      <c r="W38" s="119"/>
      <c r="X38" s="119"/>
      <c r="Y38" s="119"/>
      <c r="Z38" s="119"/>
      <c r="AA38" s="119"/>
      <c r="AB38" s="119"/>
      <c r="AC38" s="119"/>
      <c r="AD38" s="119"/>
      <c r="AE38" s="119"/>
      <c r="AF38" s="119"/>
      <c r="AG38" s="119"/>
      <c r="AH38" s="119"/>
      <c r="AI38" s="119"/>
      <c r="AJ38" s="119"/>
      <c r="AK38" s="119"/>
      <c r="AL38" s="119"/>
      <c r="AM38" s="119"/>
      <c r="AN38" s="119"/>
      <c r="AO38" s="119"/>
      <c r="AP38" s="119"/>
      <c r="AQ38" s="119"/>
      <c r="AR38" s="119"/>
      <c r="AS38" s="119"/>
      <c r="AT38" s="119"/>
      <c r="AU38" s="119"/>
      <c r="AV38" s="119"/>
      <c r="AW38" s="119"/>
      <c r="AX38" s="119"/>
      <c r="AY38" s="119"/>
      <c r="AZ38" s="119"/>
      <c r="BA38" s="119"/>
      <c r="BB38" s="119"/>
      <c r="BC38" s="119"/>
      <c r="BD38" s="119"/>
      <c r="BE38" s="119"/>
      <c r="BF38" s="119"/>
      <c r="BG38" s="119"/>
      <c r="BH38" s="119"/>
      <c r="BI38" s="119"/>
      <c r="BJ38" s="119"/>
      <c r="BK38" s="119"/>
      <c r="BL38" s="119"/>
      <c r="BM38" s="119"/>
      <c r="BN38" s="119"/>
      <c r="BO38" s="119"/>
      <c r="BP38" s="119"/>
      <c r="BQ38" s="119"/>
      <c r="BR38" s="119"/>
      <c r="BS38" s="119"/>
      <c r="BT38" s="119"/>
      <c r="BU38" s="119"/>
      <c r="BV38" s="119"/>
      <c r="BW38" s="119"/>
      <c r="BX38" s="119"/>
      <c r="BY38" s="119"/>
      <c r="BZ38" s="119"/>
      <c r="CA38" s="119"/>
      <c r="CB38" s="119"/>
      <c r="CC38" s="119"/>
      <c r="CD38" s="119"/>
      <c r="CE38" s="119"/>
      <c r="CF38" s="119"/>
      <c r="CG38" s="119"/>
      <c r="CH38" s="119"/>
      <c r="CI38" s="119"/>
      <c r="CJ38" s="119"/>
      <c r="CK38" s="119"/>
      <c r="CL38" s="119"/>
      <c r="CM38" s="119"/>
      <c r="CN38" s="119"/>
      <c r="CO38" s="119"/>
      <c r="CP38" s="119"/>
      <c r="CQ38" s="119"/>
      <c r="CR38" s="119"/>
      <c r="CS38" s="119"/>
      <c r="CT38" s="119"/>
      <c r="CU38" s="119"/>
      <c r="CV38" s="119"/>
      <c r="CW38" s="119"/>
      <c r="CX38" s="119"/>
      <c r="CY38" s="119"/>
      <c r="CZ38" s="119"/>
      <c r="DA38" s="119"/>
      <c r="DB38" s="119"/>
      <c r="DC38" s="119"/>
      <c r="DD38" s="119"/>
      <c r="DE38" s="119"/>
      <c r="DF38" s="119"/>
      <c r="DG38" s="119"/>
      <c r="DH38" s="119"/>
      <c r="DI38" s="119"/>
      <c r="DJ38" s="119"/>
      <c r="DK38" s="119"/>
      <c r="DL38" s="119"/>
      <c r="DM38" s="119"/>
      <c r="DN38" s="119"/>
      <c r="DO38" s="119"/>
      <c r="DP38" s="119"/>
      <c r="DQ38" s="119"/>
      <c r="DR38" s="119"/>
      <c r="DS38" s="119"/>
      <c r="DT38" s="119"/>
      <c r="DU38" s="119"/>
      <c r="DV38" s="119"/>
      <c r="DW38" s="119"/>
      <c r="DX38" s="119"/>
      <c r="DY38" s="119"/>
      <c r="DZ38" s="119"/>
      <c r="EA38" s="119"/>
      <c r="EB38" s="119"/>
      <c r="EC38" s="119"/>
      <c r="ED38" s="119"/>
      <c r="EE38" s="119"/>
      <c r="EF38" s="119"/>
      <c r="EG38" s="119"/>
      <c r="EH38" s="119"/>
      <c r="EI38" s="119"/>
      <c r="EJ38" s="119"/>
      <c r="EK38" s="119"/>
      <c r="EL38" s="119"/>
      <c r="EM38" s="119"/>
      <c r="EN38" s="119"/>
      <c r="EO38" s="119"/>
      <c r="EP38" s="119"/>
      <c r="EQ38" s="119"/>
      <c r="ER38" s="119"/>
      <c r="ES38" s="119"/>
      <c r="ET38" s="119"/>
      <c r="EU38" s="119"/>
      <c r="EV38" s="119"/>
      <c r="EW38" s="119"/>
      <c r="EX38" s="119"/>
      <c r="EY38" s="119"/>
      <c r="EZ38" s="119"/>
      <c r="FA38" s="119"/>
      <c r="FB38" s="119"/>
      <c r="FC38" s="119"/>
      <c r="FD38" s="119"/>
      <c r="FE38" s="119"/>
      <c r="FF38" s="119"/>
      <c r="FG38" s="119"/>
      <c r="FH38" s="119"/>
      <c r="FI38" s="119"/>
      <c r="FJ38" s="119"/>
      <c r="FK38" s="119"/>
      <c r="FL38" s="119"/>
      <c r="FM38" s="119"/>
      <c r="FN38" s="119"/>
      <c r="FO38" s="119"/>
      <c r="FP38" s="119"/>
      <c r="FQ38" s="119"/>
      <c r="FR38" s="119"/>
      <c r="FS38" s="119"/>
      <c r="FT38" s="119"/>
      <c r="FU38" s="119"/>
      <c r="FV38" s="119"/>
      <c r="FW38" s="119"/>
      <c r="FX38" s="119"/>
      <c r="FY38" s="119"/>
      <c r="FZ38" s="119"/>
      <c r="GA38" s="119"/>
      <c r="GB38" s="119"/>
      <c r="GC38" s="119"/>
      <c r="GD38" s="119"/>
      <c r="GE38" s="119"/>
      <c r="GF38" s="119"/>
      <c r="GG38" s="119"/>
      <c r="GH38" s="119"/>
      <c r="GI38" s="119"/>
      <c r="GJ38" s="119"/>
      <c r="GK38" s="119"/>
      <c r="GL38" s="119"/>
      <c r="GM38" s="119"/>
      <c r="GN38" s="119"/>
      <c r="GO38" s="119"/>
      <c r="GP38" s="119"/>
      <c r="GQ38" s="119"/>
      <c r="GR38" s="119"/>
      <c r="GS38" s="119"/>
      <c r="GT38" s="119"/>
      <c r="GU38" s="119"/>
      <c r="GV38" s="119"/>
      <c r="GW38" s="119"/>
      <c r="GX38" s="119"/>
      <c r="GY38" s="119"/>
      <c r="GZ38" s="119"/>
      <c r="HA38" s="119"/>
      <c r="HB38" s="119"/>
      <c r="HC38" s="119"/>
      <c r="HD38" s="119"/>
      <c r="HE38" s="119"/>
      <c r="HF38" s="119"/>
      <c r="HG38" s="119"/>
      <c r="HH38" s="119"/>
      <c r="HI38" s="119"/>
      <c r="HJ38" s="119"/>
      <c r="HK38" s="119"/>
      <c r="HL38" s="119"/>
      <c r="HM38" s="119"/>
      <c r="HN38" s="119"/>
      <c r="HO38" s="119"/>
      <c r="HP38" s="119"/>
      <c r="HQ38" s="119"/>
      <c r="HR38" s="119"/>
      <c r="HS38" s="119"/>
      <c r="HT38" s="119"/>
      <c r="HU38" s="119"/>
      <c r="HV38" s="119"/>
      <c r="HW38" s="119"/>
      <c r="HX38" s="119"/>
      <c r="HY38" s="119"/>
      <c r="HZ38" s="119"/>
      <c r="IA38" s="119"/>
      <c r="IB38" s="119"/>
      <c r="IC38" s="119"/>
      <c r="ID38" s="119"/>
      <c r="IE38" s="119"/>
      <c r="IF38" s="119"/>
      <c r="IG38" s="119"/>
      <c r="IH38" s="119"/>
      <c r="II38" s="119"/>
      <c r="IJ38" s="119"/>
      <c r="IK38" s="119"/>
      <c r="IL38" s="119"/>
      <c r="IM38" s="119"/>
      <c r="IN38" s="119"/>
      <c r="IO38" s="119"/>
      <c r="IP38" s="119"/>
      <c r="IQ38" s="119"/>
      <c r="IR38" s="119"/>
      <c r="IS38" s="119"/>
      <c r="IT38" s="119"/>
      <c r="IU38" s="119"/>
    </row>
    <row r="39" spans="1:255" ht="14.25" x14ac:dyDescent="0.2">
      <c r="A39" s="155" t="s">
        <v>202</v>
      </c>
      <c r="C39" s="110">
        <v>16591</v>
      </c>
      <c r="E39" s="110">
        <v>17845</v>
      </c>
      <c r="F39" s="110"/>
      <c r="G39" s="110">
        <v>28880</v>
      </c>
      <c r="H39" s="110">
        <v>12915</v>
      </c>
      <c r="I39" s="110"/>
      <c r="J39" s="110">
        <v>30664</v>
      </c>
      <c r="K39" s="136">
        <f>SUM(B39:J39)</f>
        <v>106895</v>
      </c>
      <c r="L39" s="119"/>
      <c r="M39" s="119"/>
      <c r="N39" s="119"/>
      <c r="O39" s="119"/>
      <c r="P39" s="119"/>
      <c r="Q39" s="119"/>
      <c r="R39" s="119"/>
      <c r="S39" s="119"/>
      <c r="T39" s="119"/>
      <c r="U39" s="119"/>
      <c r="V39" s="119"/>
      <c r="W39" s="119"/>
      <c r="X39" s="119"/>
      <c r="Y39" s="119"/>
      <c r="Z39" s="119"/>
      <c r="AA39" s="119"/>
      <c r="AB39" s="119"/>
      <c r="AC39" s="119"/>
      <c r="AD39" s="119"/>
      <c r="AE39" s="119"/>
      <c r="AF39" s="119"/>
      <c r="AG39" s="119"/>
      <c r="AH39" s="119"/>
      <c r="AI39" s="119"/>
      <c r="AJ39" s="119"/>
      <c r="AK39" s="119"/>
      <c r="AL39" s="119"/>
      <c r="AM39" s="119"/>
      <c r="AN39" s="119"/>
      <c r="AO39" s="119"/>
      <c r="AP39" s="119"/>
      <c r="AQ39" s="119"/>
      <c r="AR39" s="119"/>
      <c r="AS39" s="119"/>
      <c r="AT39" s="119"/>
      <c r="AU39" s="119"/>
      <c r="AV39" s="119"/>
      <c r="AW39" s="119"/>
      <c r="AX39" s="119"/>
      <c r="AY39" s="119"/>
      <c r="AZ39" s="119"/>
      <c r="BA39" s="119"/>
      <c r="BB39" s="119"/>
      <c r="BC39" s="119"/>
      <c r="BD39" s="119"/>
      <c r="BE39" s="119"/>
      <c r="BF39" s="119"/>
      <c r="BG39" s="119"/>
      <c r="BH39" s="119"/>
      <c r="BI39" s="119"/>
      <c r="BJ39" s="119"/>
      <c r="BK39" s="119"/>
      <c r="BL39" s="119"/>
      <c r="BM39" s="119"/>
      <c r="BN39" s="119"/>
      <c r="BO39" s="119"/>
      <c r="BP39" s="119"/>
      <c r="BQ39" s="119"/>
      <c r="BR39" s="119"/>
      <c r="BS39" s="119"/>
      <c r="BT39" s="119"/>
      <c r="BU39" s="119"/>
      <c r="BV39" s="119"/>
      <c r="BW39" s="119"/>
      <c r="BX39" s="119"/>
      <c r="BY39" s="119"/>
      <c r="BZ39" s="119"/>
      <c r="CA39" s="119"/>
      <c r="CB39" s="119"/>
      <c r="CC39" s="119"/>
      <c r="CD39" s="119"/>
      <c r="CE39" s="119"/>
      <c r="CF39" s="119"/>
      <c r="CG39" s="119"/>
      <c r="CH39" s="119"/>
      <c r="CI39" s="119"/>
      <c r="CJ39" s="119"/>
      <c r="CK39" s="119"/>
      <c r="CL39" s="119"/>
      <c r="CM39" s="119"/>
      <c r="CN39" s="119"/>
      <c r="CO39" s="119"/>
      <c r="CP39" s="119"/>
      <c r="CQ39" s="119"/>
      <c r="CR39" s="119"/>
      <c r="CS39" s="119"/>
      <c r="CT39" s="119"/>
      <c r="CU39" s="119"/>
      <c r="CV39" s="119"/>
      <c r="CW39" s="119"/>
      <c r="CX39" s="119"/>
      <c r="CY39" s="119"/>
      <c r="CZ39" s="119"/>
      <c r="DA39" s="119"/>
      <c r="DB39" s="119"/>
      <c r="DC39" s="119"/>
      <c r="DD39" s="119"/>
      <c r="DE39" s="119"/>
      <c r="DF39" s="119"/>
      <c r="DG39" s="119"/>
      <c r="DH39" s="119"/>
      <c r="DI39" s="119"/>
      <c r="DJ39" s="119"/>
      <c r="DK39" s="119"/>
      <c r="DL39" s="119"/>
      <c r="DM39" s="119"/>
      <c r="DN39" s="119"/>
      <c r="DO39" s="119"/>
      <c r="DP39" s="119"/>
      <c r="DQ39" s="119"/>
      <c r="DR39" s="119"/>
      <c r="DS39" s="119"/>
      <c r="DT39" s="119"/>
      <c r="DU39" s="119"/>
      <c r="DV39" s="119"/>
      <c r="DW39" s="119"/>
      <c r="DX39" s="119"/>
      <c r="DY39" s="119"/>
      <c r="DZ39" s="119"/>
      <c r="EA39" s="119"/>
      <c r="EB39" s="119"/>
      <c r="EC39" s="119"/>
      <c r="ED39" s="119"/>
      <c r="EE39" s="119"/>
      <c r="EF39" s="119"/>
      <c r="EG39" s="119"/>
      <c r="EH39" s="119"/>
      <c r="EI39" s="119"/>
      <c r="EJ39" s="119"/>
      <c r="EK39" s="119"/>
      <c r="EL39" s="119"/>
      <c r="EM39" s="119"/>
      <c r="EN39" s="119"/>
      <c r="EO39" s="119"/>
      <c r="EP39" s="119"/>
      <c r="EQ39" s="119"/>
      <c r="ER39" s="119"/>
      <c r="ES39" s="119"/>
      <c r="ET39" s="119"/>
      <c r="EU39" s="119"/>
      <c r="EV39" s="119"/>
      <c r="EW39" s="119"/>
      <c r="EX39" s="119"/>
      <c r="EY39" s="119"/>
      <c r="EZ39" s="119"/>
      <c r="FA39" s="119"/>
      <c r="FB39" s="119"/>
      <c r="FC39" s="119"/>
      <c r="FD39" s="119"/>
      <c r="FE39" s="119"/>
      <c r="FF39" s="119"/>
      <c r="FG39" s="119"/>
      <c r="FH39" s="119"/>
      <c r="FI39" s="119"/>
      <c r="FJ39" s="119"/>
      <c r="FK39" s="119"/>
      <c r="FL39" s="119"/>
      <c r="FM39" s="119"/>
      <c r="FN39" s="119"/>
      <c r="FO39" s="119"/>
      <c r="FP39" s="119"/>
      <c r="FQ39" s="119"/>
      <c r="FR39" s="119"/>
      <c r="FS39" s="119"/>
      <c r="FT39" s="119"/>
      <c r="FU39" s="119"/>
      <c r="FV39" s="119"/>
      <c r="FW39" s="119"/>
      <c r="FX39" s="119"/>
      <c r="FY39" s="119"/>
      <c r="FZ39" s="119"/>
      <c r="GA39" s="119"/>
      <c r="GB39" s="119"/>
      <c r="GC39" s="119"/>
      <c r="GD39" s="119"/>
      <c r="GE39" s="119"/>
      <c r="GF39" s="119"/>
      <c r="GG39" s="119"/>
      <c r="GH39" s="119"/>
      <c r="GI39" s="119"/>
      <c r="GJ39" s="119"/>
      <c r="GK39" s="119"/>
      <c r="GL39" s="119"/>
      <c r="GM39" s="119"/>
      <c r="GN39" s="119"/>
      <c r="GO39" s="119"/>
      <c r="GP39" s="119"/>
      <c r="GQ39" s="119"/>
      <c r="GR39" s="119"/>
      <c r="GS39" s="119"/>
      <c r="GT39" s="119"/>
      <c r="GU39" s="119"/>
      <c r="GV39" s="119"/>
      <c r="GW39" s="119"/>
      <c r="GX39" s="119"/>
      <c r="GY39" s="119"/>
      <c r="GZ39" s="119"/>
      <c r="HA39" s="119"/>
      <c r="HB39" s="119"/>
      <c r="HC39" s="119"/>
      <c r="HD39" s="119"/>
      <c r="HE39" s="119"/>
      <c r="HF39" s="119"/>
      <c r="HG39" s="119"/>
      <c r="HH39" s="119"/>
      <c r="HI39" s="119"/>
      <c r="HJ39" s="119"/>
      <c r="HK39" s="119"/>
      <c r="HL39" s="119"/>
      <c r="HM39" s="119"/>
      <c r="HN39" s="119"/>
      <c r="HO39" s="119"/>
      <c r="HP39" s="119"/>
      <c r="HQ39" s="119"/>
      <c r="HR39" s="119"/>
      <c r="HS39" s="119"/>
      <c r="HT39" s="119"/>
      <c r="HU39" s="119"/>
      <c r="HV39" s="119"/>
      <c r="HW39" s="119"/>
      <c r="HX39" s="119"/>
      <c r="HY39" s="119"/>
      <c r="HZ39" s="119"/>
      <c r="IA39" s="119"/>
      <c r="IB39" s="119"/>
      <c r="IC39" s="119"/>
      <c r="ID39" s="119"/>
      <c r="IE39" s="119"/>
      <c r="IF39" s="119"/>
      <c r="IG39" s="119"/>
      <c r="IH39" s="119"/>
      <c r="II39" s="119"/>
      <c r="IJ39" s="119"/>
      <c r="IK39" s="119"/>
      <c r="IL39" s="119"/>
      <c r="IM39" s="119"/>
      <c r="IN39" s="119"/>
      <c r="IO39" s="119"/>
      <c r="IP39" s="119"/>
      <c r="IQ39" s="119"/>
      <c r="IR39" s="119"/>
      <c r="IS39" s="119"/>
      <c r="IT39" s="119"/>
      <c r="IU39" s="119"/>
    </row>
    <row r="40" spans="1:255" x14ac:dyDescent="0.2">
      <c r="F40" s="110"/>
      <c r="G40" s="110"/>
      <c r="H40" s="110"/>
      <c r="I40" s="110"/>
      <c r="J40" s="110"/>
      <c r="K40" s="110"/>
      <c r="L40" s="119"/>
      <c r="M40" s="119"/>
      <c r="N40" s="119"/>
      <c r="O40" s="119"/>
      <c r="P40" s="119"/>
      <c r="Q40" s="119"/>
      <c r="R40" s="119"/>
      <c r="S40" s="119"/>
      <c r="T40" s="119"/>
      <c r="U40" s="119"/>
      <c r="V40" s="119"/>
      <c r="W40" s="119"/>
      <c r="X40" s="119"/>
      <c r="Y40" s="119"/>
      <c r="Z40" s="119"/>
      <c r="AA40" s="119"/>
      <c r="AB40" s="119"/>
      <c r="AC40" s="119"/>
      <c r="AD40" s="119"/>
      <c r="AE40" s="119"/>
      <c r="AF40" s="119"/>
      <c r="AG40" s="119"/>
      <c r="AH40" s="119"/>
      <c r="AI40" s="119"/>
      <c r="AJ40" s="119"/>
      <c r="AK40" s="119"/>
      <c r="AL40" s="119"/>
      <c r="AM40" s="119"/>
      <c r="AN40" s="119"/>
      <c r="AO40" s="119"/>
      <c r="AP40" s="119"/>
      <c r="AQ40" s="119"/>
      <c r="AR40" s="119"/>
      <c r="AS40" s="119"/>
      <c r="AT40" s="119"/>
      <c r="AU40" s="119"/>
      <c r="AV40" s="119"/>
      <c r="AW40" s="119"/>
      <c r="AX40" s="119"/>
      <c r="AY40" s="119"/>
      <c r="AZ40" s="119"/>
      <c r="BA40" s="119"/>
      <c r="BB40" s="119"/>
      <c r="BC40" s="119"/>
      <c r="BD40" s="119"/>
      <c r="BE40" s="119"/>
      <c r="BF40" s="119"/>
      <c r="BG40" s="119"/>
      <c r="BH40" s="119"/>
      <c r="BI40" s="119"/>
      <c r="BJ40" s="119"/>
      <c r="BK40" s="119"/>
      <c r="BL40" s="119"/>
      <c r="BM40" s="119"/>
      <c r="BN40" s="119"/>
      <c r="BO40" s="119"/>
      <c r="BP40" s="119"/>
      <c r="BQ40" s="119"/>
      <c r="BR40" s="119"/>
      <c r="BS40" s="119"/>
      <c r="BT40" s="119"/>
      <c r="BU40" s="119"/>
      <c r="BV40" s="119"/>
      <c r="BW40" s="119"/>
      <c r="BX40" s="119"/>
      <c r="BY40" s="119"/>
      <c r="BZ40" s="119"/>
      <c r="CA40" s="119"/>
      <c r="CB40" s="119"/>
      <c r="CC40" s="119"/>
      <c r="CD40" s="119"/>
      <c r="CE40" s="119"/>
      <c r="CF40" s="119"/>
      <c r="CG40" s="119"/>
      <c r="CH40" s="119"/>
      <c r="CI40" s="119"/>
      <c r="CJ40" s="119"/>
      <c r="CK40" s="119"/>
      <c r="CL40" s="119"/>
      <c r="CM40" s="119"/>
      <c r="CN40" s="119"/>
      <c r="CO40" s="119"/>
      <c r="CP40" s="119"/>
      <c r="CQ40" s="119"/>
      <c r="CR40" s="119"/>
      <c r="CS40" s="119"/>
      <c r="CT40" s="119"/>
      <c r="CU40" s="119"/>
      <c r="CV40" s="119"/>
      <c r="CW40" s="119"/>
      <c r="CX40" s="119"/>
      <c r="CY40" s="119"/>
      <c r="CZ40" s="119"/>
      <c r="DA40" s="119"/>
      <c r="DB40" s="119"/>
      <c r="DC40" s="119"/>
      <c r="DD40" s="119"/>
      <c r="DE40" s="119"/>
      <c r="DF40" s="119"/>
      <c r="DG40" s="119"/>
      <c r="DH40" s="119"/>
      <c r="DI40" s="119"/>
      <c r="DJ40" s="119"/>
      <c r="DK40" s="119"/>
      <c r="DL40" s="119"/>
      <c r="DM40" s="119"/>
      <c r="DN40" s="119"/>
      <c r="DO40" s="119"/>
      <c r="DP40" s="119"/>
      <c r="DQ40" s="119"/>
      <c r="DR40" s="119"/>
      <c r="DS40" s="119"/>
      <c r="DT40" s="119"/>
      <c r="DU40" s="119"/>
      <c r="DV40" s="119"/>
      <c r="DW40" s="119"/>
      <c r="DX40" s="119"/>
      <c r="DY40" s="119"/>
      <c r="DZ40" s="119"/>
      <c r="EA40" s="119"/>
      <c r="EB40" s="119"/>
      <c r="EC40" s="119"/>
      <c r="ED40" s="119"/>
      <c r="EE40" s="119"/>
      <c r="EF40" s="119"/>
      <c r="EG40" s="119"/>
      <c r="EH40" s="119"/>
      <c r="EI40" s="119"/>
      <c r="EJ40" s="119"/>
      <c r="EK40" s="119"/>
      <c r="EL40" s="119"/>
      <c r="EM40" s="119"/>
      <c r="EN40" s="119"/>
      <c r="EO40" s="119"/>
      <c r="EP40" s="119"/>
      <c r="EQ40" s="119"/>
      <c r="ER40" s="119"/>
      <c r="ES40" s="119"/>
      <c r="ET40" s="119"/>
      <c r="EU40" s="119"/>
      <c r="EV40" s="119"/>
      <c r="EW40" s="119"/>
      <c r="EX40" s="119"/>
      <c r="EY40" s="119"/>
      <c r="EZ40" s="119"/>
      <c r="FA40" s="119"/>
      <c r="FB40" s="119"/>
      <c r="FC40" s="119"/>
      <c r="FD40" s="119"/>
      <c r="FE40" s="119"/>
      <c r="FF40" s="119"/>
      <c r="FG40" s="119"/>
      <c r="FH40" s="119"/>
      <c r="FI40" s="119"/>
      <c r="FJ40" s="119"/>
      <c r="FK40" s="119"/>
      <c r="FL40" s="119"/>
      <c r="FM40" s="119"/>
      <c r="FN40" s="119"/>
      <c r="FO40" s="119"/>
      <c r="FP40" s="119"/>
      <c r="FQ40" s="119"/>
      <c r="FR40" s="119"/>
      <c r="FS40" s="119"/>
      <c r="FT40" s="119"/>
      <c r="FU40" s="119"/>
      <c r="FV40" s="119"/>
      <c r="FW40" s="119"/>
      <c r="FX40" s="119"/>
      <c r="FY40" s="119"/>
      <c r="FZ40" s="119"/>
      <c r="GA40" s="119"/>
      <c r="GB40" s="119"/>
      <c r="GC40" s="119"/>
      <c r="GD40" s="119"/>
      <c r="GE40" s="119"/>
      <c r="GF40" s="119"/>
      <c r="GG40" s="119"/>
      <c r="GH40" s="119"/>
      <c r="GI40" s="119"/>
      <c r="GJ40" s="119"/>
      <c r="GK40" s="119"/>
      <c r="GL40" s="119"/>
      <c r="GM40" s="119"/>
      <c r="GN40" s="119"/>
      <c r="GO40" s="119"/>
      <c r="GP40" s="119"/>
      <c r="GQ40" s="119"/>
      <c r="GR40" s="119"/>
      <c r="GS40" s="119"/>
      <c r="GT40" s="119"/>
      <c r="GU40" s="119"/>
      <c r="GV40" s="119"/>
      <c r="GW40" s="119"/>
      <c r="GX40" s="119"/>
      <c r="GY40" s="119"/>
      <c r="GZ40" s="119"/>
      <c r="HA40" s="119"/>
      <c r="HB40" s="119"/>
      <c r="HC40" s="119"/>
      <c r="HD40" s="119"/>
      <c r="HE40" s="119"/>
      <c r="HF40" s="119"/>
      <c r="HG40" s="119"/>
      <c r="HH40" s="119"/>
      <c r="HI40" s="119"/>
      <c r="HJ40" s="119"/>
      <c r="HK40" s="119"/>
      <c r="HL40" s="119"/>
      <c r="HM40" s="119"/>
      <c r="HN40" s="119"/>
      <c r="HO40" s="119"/>
      <c r="HP40" s="119"/>
      <c r="HQ40" s="119"/>
      <c r="HR40" s="119"/>
      <c r="HS40" s="119"/>
      <c r="HT40" s="119"/>
      <c r="HU40" s="119"/>
      <c r="HV40" s="119"/>
      <c r="HW40" s="119"/>
      <c r="HX40" s="119"/>
      <c r="HY40" s="119"/>
      <c r="HZ40" s="119"/>
      <c r="IA40" s="119"/>
      <c r="IB40" s="119"/>
      <c r="IC40" s="119"/>
      <c r="ID40" s="119"/>
      <c r="IE40" s="119"/>
      <c r="IF40" s="119"/>
      <c r="IG40" s="119"/>
      <c r="IH40" s="119"/>
      <c r="II40" s="119"/>
      <c r="IJ40" s="119"/>
      <c r="IK40" s="119"/>
      <c r="IL40" s="119"/>
      <c r="IM40" s="119"/>
      <c r="IN40" s="119"/>
      <c r="IO40" s="119"/>
      <c r="IP40" s="119"/>
      <c r="IQ40" s="119"/>
      <c r="IR40" s="119"/>
      <c r="IS40" s="119"/>
      <c r="IT40" s="119"/>
      <c r="IU40" s="119"/>
    </row>
    <row r="41" spans="1:255" ht="15" customHeight="1" x14ac:dyDescent="0.25">
      <c r="A41" s="153" t="s">
        <v>44</v>
      </c>
      <c r="B41" s="119"/>
      <c r="C41" s="119"/>
      <c r="D41" s="119"/>
      <c r="E41" s="119"/>
      <c r="F41" s="122"/>
      <c r="G41" s="122"/>
      <c r="H41" s="122"/>
      <c r="I41" s="122"/>
      <c r="J41" s="122"/>
      <c r="K41" s="131"/>
    </row>
    <row r="42" spans="1:255" ht="12" customHeight="1" x14ac:dyDescent="0.2">
      <c r="B42" s="119"/>
      <c r="C42" s="119"/>
      <c r="D42" s="119"/>
      <c r="E42" s="119"/>
      <c r="F42" s="122"/>
      <c r="G42" s="122"/>
      <c r="H42" s="122"/>
      <c r="I42" s="122"/>
      <c r="J42" s="122"/>
      <c r="K42" s="131"/>
    </row>
    <row r="43" spans="1:255" ht="12" customHeight="1" x14ac:dyDescent="0.2">
      <c r="A43" s="140" t="s">
        <v>73</v>
      </c>
      <c r="B43" s="119"/>
      <c r="C43" s="119"/>
      <c r="D43" s="119"/>
      <c r="E43" s="119"/>
      <c r="F43" s="122"/>
      <c r="G43" s="122"/>
      <c r="H43" s="122"/>
      <c r="I43" s="122"/>
      <c r="J43" s="122"/>
      <c r="K43" s="131"/>
    </row>
    <row r="44" spans="1:255" ht="12" customHeight="1" x14ac:dyDescent="0.2">
      <c r="B44" s="119"/>
      <c r="C44" s="119"/>
      <c r="D44" s="119"/>
      <c r="E44" s="119"/>
      <c r="F44" s="122"/>
      <c r="G44" s="122"/>
      <c r="H44" s="122"/>
      <c r="I44" s="122"/>
      <c r="J44" s="122"/>
      <c r="K44" s="131"/>
    </row>
    <row r="45" spans="1:255" ht="12" customHeight="1" x14ac:dyDescent="0.2">
      <c r="A45" s="114" t="s">
        <v>74</v>
      </c>
      <c r="B45" s="119">
        <v>56.938719249999998</v>
      </c>
      <c r="C45" s="119">
        <v>56.58</v>
      </c>
      <c r="D45" s="125">
        <v>89.40276815</v>
      </c>
      <c r="E45" s="119">
        <v>131.69999999999999</v>
      </c>
      <c r="F45" s="128">
        <v>0</v>
      </c>
      <c r="G45" s="128">
        <v>30.64</v>
      </c>
      <c r="H45" s="128">
        <v>90.98</v>
      </c>
      <c r="I45" s="128">
        <v>79.157825439999996</v>
      </c>
      <c r="J45" s="119">
        <v>291.44929966000001</v>
      </c>
      <c r="K45" s="131">
        <f t="shared" ref="K45:K54" si="3">SUM(B45:J45)</f>
        <v>826.84861249999994</v>
      </c>
      <c r="M45" s="119"/>
    </row>
    <row r="46" spans="1:255" ht="12" customHeight="1" x14ac:dyDescent="0.2">
      <c r="A46" s="114" t="s">
        <v>75</v>
      </c>
      <c r="B46" s="119">
        <v>15.13893032</v>
      </c>
      <c r="C46" s="119"/>
      <c r="D46" s="119"/>
      <c r="E46" s="119"/>
      <c r="F46" s="128">
        <v>0</v>
      </c>
      <c r="G46" s="128">
        <v>13.74</v>
      </c>
      <c r="H46" s="128"/>
      <c r="I46" s="128">
        <v>108.19776508</v>
      </c>
      <c r="J46" s="119">
        <v>92.540821170000001</v>
      </c>
      <c r="K46" s="131">
        <f t="shared" si="3"/>
        <v>229.61751657000002</v>
      </c>
    </row>
    <row r="47" spans="1:255" ht="12" customHeight="1" x14ac:dyDescent="0.2">
      <c r="A47" s="114" t="s">
        <v>105</v>
      </c>
      <c r="B47" s="119"/>
      <c r="C47" s="119">
        <v>304.35000000000002</v>
      </c>
      <c r="D47" s="119"/>
      <c r="E47" s="119">
        <v>320.42</v>
      </c>
      <c r="F47" s="128"/>
      <c r="G47" s="128">
        <v>1322.79</v>
      </c>
      <c r="H47" s="128"/>
      <c r="I47" s="128">
        <v>26.267067520000001</v>
      </c>
      <c r="J47" s="122"/>
      <c r="K47" s="131">
        <f t="shared" si="3"/>
        <v>1973.8270675199999</v>
      </c>
    </row>
    <row r="48" spans="1:255" ht="12" customHeight="1" x14ac:dyDescent="0.2">
      <c r="A48" s="114" t="s">
        <v>107</v>
      </c>
      <c r="B48" s="119">
        <v>5.55135092</v>
      </c>
      <c r="C48" s="119">
        <v>36.380000000000003</v>
      </c>
      <c r="D48" s="119">
        <v>1344.9468648900001</v>
      </c>
      <c r="E48" s="119">
        <v>2.85</v>
      </c>
      <c r="F48" s="128"/>
      <c r="G48" s="128">
        <v>114.73</v>
      </c>
      <c r="H48" s="128">
        <v>78.146000000000001</v>
      </c>
      <c r="I48" s="128"/>
      <c r="J48" s="122">
        <v>6.6481515399999997</v>
      </c>
      <c r="K48" s="131">
        <f t="shared" si="3"/>
        <v>1589.2523673500002</v>
      </c>
    </row>
    <row r="49" spans="1:11" ht="12" customHeight="1" x14ac:dyDescent="0.2">
      <c r="A49" s="114" t="s">
        <v>106</v>
      </c>
      <c r="B49" s="119"/>
      <c r="C49" s="119"/>
      <c r="D49" s="125">
        <v>1558.61921659</v>
      </c>
      <c r="E49" s="119"/>
      <c r="F49" s="128"/>
      <c r="G49" s="128"/>
      <c r="H49" s="128"/>
      <c r="I49" s="128">
        <v>4.6627090000000004</v>
      </c>
      <c r="J49" s="122"/>
      <c r="K49" s="131">
        <f t="shared" si="3"/>
        <v>1563.2819255899999</v>
      </c>
    </row>
    <row r="50" spans="1:11" ht="12" customHeight="1" x14ac:dyDescent="0.2">
      <c r="A50" s="114" t="s">
        <v>108</v>
      </c>
      <c r="B50" s="119"/>
      <c r="C50" s="119">
        <v>203.14</v>
      </c>
      <c r="D50" s="119">
        <v>1049.1498531100001</v>
      </c>
      <c r="E50" s="119">
        <v>594.04</v>
      </c>
      <c r="F50" s="128"/>
      <c r="G50" s="128">
        <v>493.39</v>
      </c>
      <c r="H50" s="128">
        <v>89.08</v>
      </c>
      <c r="I50" s="128"/>
      <c r="J50" s="119">
        <v>802.71148841999991</v>
      </c>
      <c r="K50" s="131">
        <f t="shared" si="3"/>
        <v>3231.5113415299998</v>
      </c>
    </row>
    <row r="51" spans="1:11" ht="12" customHeight="1" x14ac:dyDescent="0.2">
      <c r="A51" s="114" t="s">
        <v>78</v>
      </c>
      <c r="B51" s="119"/>
      <c r="C51" s="119"/>
      <c r="D51" s="119"/>
      <c r="E51" s="119"/>
      <c r="F51" s="128"/>
      <c r="G51" s="128">
        <v>3.42</v>
      </c>
      <c r="H51" s="128">
        <v>5.16</v>
      </c>
      <c r="I51" s="128"/>
      <c r="J51" s="122">
        <v>2.9540174599999998</v>
      </c>
      <c r="K51" s="131">
        <f t="shared" si="3"/>
        <v>11.534017459999999</v>
      </c>
    </row>
    <row r="52" spans="1:11" ht="12" customHeight="1" x14ac:dyDescent="0.2">
      <c r="A52" s="114" t="s">
        <v>79</v>
      </c>
      <c r="B52" s="119"/>
      <c r="C52" s="119"/>
      <c r="D52" s="119"/>
      <c r="E52" s="119"/>
      <c r="F52" s="128"/>
      <c r="G52" s="128">
        <v>4.79</v>
      </c>
      <c r="H52" s="128"/>
      <c r="I52" s="128"/>
      <c r="J52" s="122">
        <v>3.0183852899999999</v>
      </c>
      <c r="K52" s="131">
        <f t="shared" si="3"/>
        <v>7.8083852900000004</v>
      </c>
    </row>
    <row r="53" spans="1:11" ht="12" customHeight="1" x14ac:dyDescent="0.2">
      <c r="B53" s="119"/>
      <c r="C53" s="119"/>
      <c r="D53" s="119"/>
      <c r="E53" s="119"/>
      <c r="F53" s="122"/>
      <c r="G53" s="122"/>
      <c r="H53" s="122"/>
      <c r="I53" s="122"/>
      <c r="J53" s="122"/>
      <c r="K53" s="131"/>
    </row>
    <row r="54" spans="1:11" s="140" customFormat="1" ht="12" customHeight="1" x14ac:dyDescent="0.2">
      <c r="A54" s="155" t="s">
        <v>12</v>
      </c>
      <c r="B54" s="131">
        <f>SUM(B45:B52)</f>
        <v>77.62900049000001</v>
      </c>
      <c r="C54" s="131">
        <f>SUM(C45:C52)</f>
        <v>600.45000000000005</v>
      </c>
      <c r="D54" s="131">
        <f>SUM(D45:D52)</f>
        <v>4042.1187027400001</v>
      </c>
      <c r="E54" s="131">
        <f>SUM(E45:E52)</f>
        <v>1049.01</v>
      </c>
      <c r="F54" s="132">
        <f>SUM(F44:F52)</f>
        <v>0</v>
      </c>
      <c r="G54" s="132">
        <f>SUM(G45:G52)</f>
        <v>1983.5</v>
      </c>
      <c r="H54" s="132">
        <f>SUM(H45:H52)</f>
        <v>263.36600000000004</v>
      </c>
      <c r="I54" s="132">
        <f>SUM(I45:I52)</f>
        <v>218.28536704000001</v>
      </c>
      <c r="J54" s="132">
        <f>SUM(J45:J52)</f>
        <v>1199.3221635399998</v>
      </c>
      <c r="K54" s="131">
        <f t="shared" si="3"/>
        <v>9433.6812338100008</v>
      </c>
    </row>
    <row r="55" spans="1:11" ht="12" customHeight="1" x14ac:dyDescent="0.2">
      <c r="B55" s="119"/>
      <c r="C55" s="119"/>
      <c r="D55" s="119"/>
      <c r="E55" s="119"/>
      <c r="F55" s="122"/>
      <c r="G55" s="122"/>
      <c r="H55" s="122"/>
      <c r="I55" s="122"/>
      <c r="J55" s="122"/>
      <c r="K55" s="131"/>
    </row>
    <row r="56" spans="1:11" ht="12" customHeight="1" x14ac:dyDescent="0.2">
      <c r="A56" s="140" t="s">
        <v>45</v>
      </c>
      <c r="B56" s="119"/>
      <c r="C56" s="119"/>
      <c r="D56" s="119"/>
      <c r="E56" s="119"/>
      <c r="F56" s="122"/>
      <c r="G56" s="122"/>
      <c r="H56" s="122"/>
      <c r="I56" s="122"/>
      <c r="J56" s="122"/>
      <c r="K56" s="131"/>
    </row>
    <row r="57" spans="1:11" ht="12" customHeight="1" x14ac:dyDescent="0.2">
      <c r="B57" s="119"/>
      <c r="C57" s="119"/>
      <c r="D57" s="119"/>
      <c r="E57" s="119"/>
      <c r="F57" s="122"/>
      <c r="G57" s="122"/>
      <c r="H57" s="122"/>
      <c r="I57" s="122"/>
      <c r="J57" s="122"/>
      <c r="K57" s="131"/>
    </row>
    <row r="58" spans="1:11" ht="12" customHeight="1" x14ac:dyDescent="0.2">
      <c r="A58" s="114" t="s">
        <v>46</v>
      </c>
      <c r="B58" s="119">
        <v>834.16653178999991</v>
      </c>
      <c r="C58" s="119">
        <v>1635.58</v>
      </c>
      <c r="D58" s="125">
        <v>1131.63911693</v>
      </c>
      <c r="E58" s="119">
        <v>537.92999999999995</v>
      </c>
      <c r="F58" s="119">
        <f>2089.601112+446.142491</f>
        <v>2535.7436029999999</v>
      </c>
      <c r="G58" s="119">
        <v>2647.24</v>
      </c>
      <c r="H58" s="119">
        <v>3061.9389999999999</v>
      </c>
      <c r="I58" s="119">
        <v>1586.62185486</v>
      </c>
      <c r="J58" s="119">
        <v>3104.9080538000003</v>
      </c>
      <c r="K58" s="131">
        <f>SUM(B58:J58)</f>
        <v>17075.768160380001</v>
      </c>
    </row>
    <row r="59" spans="1:11" ht="12" customHeight="1" x14ac:dyDescent="0.2">
      <c r="A59" s="114" t="s">
        <v>47</v>
      </c>
      <c r="B59" s="119">
        <v>125.989678013</v>
      </c>
      <c r="C59" s="119"/>
      <c r="D59" s="119"/>
      <c r="E59" s="119"/>
      <c r="F59" s="119">
        <v>132.45488399999999</v>
      </c>
      <c r="G59" s="119">
        <v>201.16</v>
      </c>
      <c r="H59" s="119">
        <v>11.589</v>
      </c>
      <c r="I59" s="119">
        <v>170.81787519999997</v>
      </c>
      <c r="J59" s="119">
        <v>510.13804830999999</v>
      </c>
      <c r="K59" s="131">
        <f>SUM(B59:J59)</f>
        <v>1152.1494855229998</v>
      </c>
    </row>
    <row r="60" spans="1:11" ht="12" customHeight="1" x14ac:dyDescent="0.2">
      <c r="B60" s="119"/>
      <c r="C60" s="119"/>
      <c r="D60" s="119"/>
      <c r="E60" s="119"/>
      <c r="F60" s="122"/>
      <c r="G60" s="122"/>
      <c r="H60" s="122"/>
      <c r="I60" s="122"/>
      <c r="J60" s="122"/>
      <c r="K60" s="131"/>
    </row>
    <row r="61" spans="1:11" s="140" customFormat="1" ht="12" customHeight="1" x14ac:dyDescent="0.2">
      <c r="A61" s="140" t="s">
        <v>12</v>
      </c>
      <c r="B61" s="131">
        <f>SUM(B58:B59)</f>
        <v>960.15620980299991</v>
      </c>
      <c r="C61" s="131">
        <f>SUM(C58:C59)</f>
        <v>1635.58</v>
      </c>
      <c r="D61" s="131">
        <f>SUM(D58:D59)</f>
        <v>1131.63911693</v>
      </c>
      <c r="E61" s="131">
        <f t="shared" ref="E61:J61" si="4">SUM(E58:E59)</f>
        <v>537.92999999999995</v>
      </c>
      <c r="F61" s="132">
        <f t="shared" si="4"/>
        <v>2668.1984869999997</v>
      </c>
      <c r="G61" s="132">
        <f t="shared" si="4"/>
        <v>2848.3999999999996</v>
      </c>
      <c r="H61" s="132">
        <f t="shared" si="4"/>
        <v>3073.5279999999998</v>
      </c>
      <c r="I61" s="132">
        <f t="shared" si="4"/>
        <v>1757.4397300599999</v>
      </c>
      <c r="J61" s="132">
        <f t="shared" si="4"/>
        <v>3615.0461021100004</v>
      </c>
      <c r="K61" s="131">
        <f>SUM(B61:J61)</f>
        <v>18227.917645902999</v>
      </c>
    </row>
    <row r="62" spans="1:11" ht="12" customHeight="1" x14ac:dyDescent="0.2">
      <c r="B62" s="119"/>
      <c r="C62" s="119"/>
      <c r="D62" s="119"/>
      <c r="E62" s="119"/>
      <c r="F62" s="122"/>
      <c r="G62" s="122"/>
      <c r="H62" s="122"/>
      <c r="I62" s="122"/>
      <c r="J62" s="122"/>
      <c r="K62" s="131"/>
    </row>
    <row r="63" spans="1:11" ht="12" customHeight="1" x14ac:dyDescent="0.2">
      <c r="A63" s="140" t="s">
        <v>53</v>
      </c>
      <c r="B63" s="119">
        <v>32.03968828</v>
      </c>
      <c r="C63" s="119">
        <v>63.5</v>
      </c>
      <c r="D63" s="119">
        <v>17.926335980000001</v>
      </c>
      <c r="E63" s="119">
        <v>8.64</v>
      </c>
      <c r="F63" s="119">
        <v>190.71930599999999</v>
      </c>
      <c r="G63" s="119">
        <v>275.14</v>
      </c>
      <c r="H63" s="119">
        <v>265.92500000000001</v>
      </c>
      <c r="I63" s="119">
        <v>181.48555098</v>
      </c>
      <c r="J63" s="119">
        <v>244.07035515999999</v>
      </c>
      <c r="K63" s="131">
        <f>SUM(B63:J63)</f>
        <v>1279.4462363999999</v>
      </c>
    </row>
    <row r="64" spans="1:11" s="140" customFormat="1" ht="12" customHeight="1" x14ac:dyDescent="0.2">
      <c r="A64" s="155" t="s">
        <v>123</v>
      </c>
      <c r="B64" s="119"/>
      <c r="C64" s="119"/>
      <c r="D64" s="119"/>
      <c r="F64" s="122"/>
      <c r="G64" s="122"/>
      <c r="H64" s="122"/>
      <c r="I64" s="122"/>
      <c r="J64" s="122"/>
      <c r="K64" s="131"/>
    </row>
    <row r="65" spans="1:11" s="140" customFormat="1" ht="12" customHeight="1" x14ac:dyDescent="0.2">
      <c r="A65" s="155" t="s">
        <v>210</v>
      </c>
      <c r="B65" s="119">
        <v>6.0449027900000001</v>
      </c>
      <c r="C65" s="119">
        <v>29</v>
      </c>
      <c r="D65" s="119"/>
      <c r="E65" s="119"/>
      <c r="F65" s="122"/>
      <c r="G65" s="122">
        <v>15.63</v>
      </c>
      <c r="H65" s="122"/>
      <c r="I65" s="122"/>
      <c r="J65" s="122"/>
      <c r="K65" s="131">
        <f>SUM(B65:J65)</f>
        <v>50.674902790000004</v>
      </c>
    </row>
    <row r="66" spans="1:11" s="140" customFormat="1" ht="12" customHeight="1" x14ac:dyDescent="0.2">
      <c r="A66" s="155" t="s">
        <v>125</v>
      </c>
      <c r="B66" s="119"/>
      <c r="C66" s="119"/>
      <c r="D66" s="119"/>
      <c r="E66" s="119"/>
      <c r="F66" s="122"/>
      <c r="G66" s="122">
        <v>0</v>
      </c>
      <c r="H66" s="122"/>
      <c r="I66" s="122"/>
      <c r="J66" s="122"/>
      <c r="K66" s="131">
        <f>SUM(B66:J66)</f>
        <v>0</v>
      </c>
    </row>
    <row r="67" spans="1:11" ht="12" customHeight="1" x14ac:dyDescent="0.2">
      <c r="A67" s="155"/>
      <c r="C67" s="146"/>
    </row>
    <row r="68" spans="1:11" ht="12" customHeight="1" x14ac:dyDescent="0.2">
      <c r="A68" s="156" t="s">
        <v>225</v>
      </c>
      <c r="C68" s="147"/>
    </row>
    <row r="69" spans="1:11" ht="12" customHeight="1" x14ac:dyDescent="0.2">
      <c r="A69" s="156" t="s">
        <v>226</v>
      </c>
      <c r="C69" s="147"/>
    </row>
    <row r="70" spans="1:11" ht="12" customHeight="1" x14ac:dyDescent="0.2">
      <c r="A70" s="156" t="s">
        <v>212</v>
      </c>
      <c r="C70" s="147"/>
    </row>
    <row r="71" spans="1:11" ht="12" customHeight="1" x14ac:dyDescent="0.2">
      <c r="A71" s="143"/>
      <c r="C71" s="147"/>
    </row>
    <row r="72" spans="1:11" ht="12" customHeight="1" x14ac:dyDescent="0.2">
      <c r="A72" s="143" t="s">
        <v>207</v>
      </c>
    </row>
    <row r="73" spans="1:11" ht="12" customHeight="1" x14ac:dyDescent="0.2">
      <c r="A73" s="143" t="s">
        <v>208</v>
      </c>
    </row>
    <row r="74" spans="1:11" x14ac:dyDescent="0.2">
      <c r="A74" s="155"/>
    </row>
    <row r="75" spans="1:11" x14ac:dyDescent="0.2">
      <c r="A75" s="143"/>
    </row>
    <row r="77" spans="1:11" x14ac:dyDescent="0.2">
      <c r="A77" s="157"/>
    </row>
  </sheetData>
  <pageMargins left="0.19685039370078741" right="0.35433070866141736" top="0.59055118110236227" bottom="0.27559055118110237" header="0.31496062992125984" footer="0.31496062992125984"/>
  <pageSetup paperSize="9" scale="90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U77"/>
  <sheetViews>
    <sheetView zoomScaleNormal="100" workbookViewId="0">
      <pane xSplit="1" ySplit="4" topLeftCell="B5" activePane="bottomRight" state="frozen"/>
      <selection activeCell="B5" sqref="B5"/>
      <selection pane="topRight" activeCell="B5" sqref="B5"/>
      <selection pane="bottomLeft" activeCell="B5" sqref="B5"/>
      <selection pane="bottomRight" activeCell="B5" sqref="B5"/>
    </sheetView>
  </sheetViews>
  <sheetFormatPr baseColWidth="10" defaultRowHeight="12.75" x14ac:dyDescent="0.2"/>
  <cols>
    <col min="1" max="1" width="41.28515625" style="114" customWidth="1"/>
    <col min="2" max="5" width="11.5703125" style="110" customWidth="1"/>
    <col min="6" max="10" width="11.5703125" style="111" customWidth="1"/>
    <col min="11" max="11" width="11.5703125" style="136" customWidth="1"/>
    <col min="12" max="16384" width="11.42578125" style="114"/>
  </cols>
  <sheetData>
    <row r="1" spans="1:11" x14ac:dyDescent="0.2">
      <c r="A1" s="140" t="s">
        <v>227</v>
      </c>
    </row>
    <row r="2" spans="1:11" x14ac:dyDescent="0.2">
      <c r="A2" s="114" t="s">
        <v>220</v>
      </c>
    </row>
    <row r="4" spans="1:11" s="110" customFormat="1" x14ac:dyDescent="0.2">
      <c r="A4" s="152"/>
      <c r="B4" s="110" t="s">
        <v>3</v>
      </c>
      <c r="C4" s="110" t="s">
        <v>4</v>
      </c>
      <c r="D4" s="110" t="s">
        <v>5</v>
      </c>
      <c r="E4" s="110" t="s">
        <v>6</v>
      </c>
      <c r="F4" s="116" t="s">
        <v>7</v>
      </c>
      <c r="G4" s="116" t="s">
        <v>8</v>
      </c>
      <c r="H4" s="116" t="s">
        <v>9</v>
      </c>
      <c r="I4" s="116" t="s">
        <v>198</v>
      </c>
      <c r="J4" s="116" t="s">
        <v>11</v>
      </c>
      <c r="K4" s="136" t="s">
        <v>12</v>
      </c>
    </row>
    <row r="5" spans="1:11" x14ac:dyDescent="0.2">
      <c r="C5" s="119"/>
      <c r="D5" s="119"/>
      <c r="E5" s="119"/>
      <c r="F5" s="119"/>
      <c r="G5" s="119"/>
      <c r="H5" s="119"/>
      <c r="I5" s="122"/>
      <c r="J5" s="122"/>
      <c r="K5" s="122"/>
    </row>
    <row r="6" spans="1:11" ht="15.75" x14ac:dyDescent="0.25">
      <c r="A6" s="153" t="s">
        <v>42</v>
      </c>
      <c r="C6" s="119"/>
      <c r="D6" s="119"/>
      <c r="E6" s="119"/>
      <c r="F6" s="119"/>
      <c r="G6" s="119"/>
      <c r="H6" s="119"/>
      <c r="I6" s="119"/>
      <c r="J6" s="119"/>
      <c r="K6" s="119"/>
    </row>
    <row r="7" spans="1:11" x14ac:dyDescent="0.2">
      <c r="C7" s="127"/>
      <c r="D7" s="127"/>
      <c r="E7" s="127"/>
      <c r="F7" s="127"/>
      <c r="G7" s="127"/>
      <c r="H7" s="127"/>
      <c r="I7" s="128"/>
      <c r="J7" s="128"/>
      <c r="K7" s="128"/>
    </row>
    <row r="8" spans="1:11" x14ac:dyDescent="0.2">
      <c r="A8" s="140" t="s">
        <v>13</v>
      </c>
      <c r="B8" s="119"/>
      <c r="C8" s="119"/>
      <c r="D8" s="119"/>
      <c r="E8" s="119"/>
      <c r="F8" s="119"/>
      <c r="G8" s="119"/>
      <c r="H8" s="119"/>
      <c r="I8" s="119"/>
      <c r="J8" s="119"/>
      <c r="K8" s="119"/>
    </row>
    <row r="9" spans="1:11" x14ac:dyDescent="0.2">
      <c r="B9" s="119"/>
      <c r="C9" s="119"/>
      <c r="D9" s="119"/>
      <c r="E9" s="119"/>
      <c r="G9" s="119"/>
      <c r="H9" s="119"/>
      <c r="I9" s="119"/>
      <c r="J9" s="119"/>
      <c r="K9" s="119"/>
    </row>
    <row r="10" spans="1:11" x14ac:dyDescent="0.2">
      <c r="A10" s="114" t="s">
        <v>72</v>
      </c>
      <c r="B10" s="119">
        <v>53.020287000000003</v>
      </c>
      <c r="C10" s="119">
        <v>38.07</v>
      </c>
      <c r="D10" s="119">
        <v>93.666076439999998</v>
      </c>
      <c r="E10" s="119">
        <v>111.6</v>
      </c>
      <c r="F10" s="119">
        <v>36.224057000000002</v>
      </c>
      <c r="G10" s="119">
        <v>0.61</v>
      </c>
      <c r="H10" s="119">
        <v>144.18299999999999</v>
      </c>
      <c r="I10" s="119">
        <v>86.585744879999993</v>
      </c>
      <c r="J10" s="154">
        <v>254.27302743000001</v>
      </c>
      <c r="K10" s="131">
        <f t="shared" ref="K10:K16" si="0">SUM(B10:J10)</f>
        <v>818.23219274999997</v>
      </c>
    </row>
    <row r="11" spans="1:11" x14ac:dyDescent="0.2">
      <c r="A11" s="114" t="s">
        <v>67</v>
      </c>
      <c r="B11" s="119">
        <v>7.3982000000000006E-2</v>
      </c>
      <c r="C11" s="119">
        <v>0</v>
      </c>
      <c r="D11" s="119"/>
      <c r="E11" s="119"/>
      <c r="F11" s="119"/>
      <c r="G11" s="119"/>
      <c r="H11" s="119"/>
      <c r="I11" s="119"/>
      <c r="J11" s="119">
        <v>11.297838</v>
      </c>
      <c r="K11" s="131">
        <f t="shared" si="0"/>
        <v>11.371820000000001</v>
      </c>
    </row>
    <row r="12" spans="1:11" x14ac:dyDescent="0.2">
      <c r="A12" s="114" t="s">
        <v>104</v>
      </c>
      <c r="B12" s="119"/>
      <c r="C12" s="119">
        <v>25.45</v>
      </c>
      <c r="D12" s="119">
        <v>46.125204859999997</v>
      </c>
      <c r="E12" s="119">
        <v>18.34</v>
      </c>
      <c r="F12" s="119">
        <v>12.901743</v>
      </c>
      <c r="G12" s="119">
        <v>152.12</v>
      </c>
      <c r="H12" s="119"/>
      <c r="I12" s="119">
        <v>1.9896678000000001</v>
      </c>
      <c r="J12" s="119"/>
      <c r="K12" s="131">
        <f t="shared" si="0"/>
        <v>256.92661565999998</v>
      </c>
    </row>
    <row r="13" spans="1:11" x14ac:dyDescent="0.2">
      <c r="A13" s="114" t="s">
        <v>109</v>
      </c>
      <c r="B13" s="119">
        <v>2.836E-2</v>
      </c>
      <c r="C13" s="119">
        <v>8.0500000000000007</v>
      </c>
      <c r="D13" s="119">
        <v>121.40042824</v>
      </c>
      <c r="E13" s="119">
        <v>0.9</v>
      </c>
      <c r="F13" s="119">
        <v>1.2446E-2</v>
      </c>
      <c r="G13" s="119">
        <v>2.38</v>
      </c>
      <c r="H13" s="119">
        <v>24.988</v>
      </c>
      <c r="I13" s="119"/>
      <c r="J13" s="119">
        <v>1.5436910800000001</v>
      </c>
      <c r="K13" s="131">
        <f t="shared" si="0"/>
        <v>159.30292532000001</v>
      </c>
    </row>
    <row r="14" spans="1:11" x14ac:dyDescent="0.2">
      <c r="A14" s="147" t="s">
        <v>69</v>
      </c>
      <c r="B14" s="119">
        <v>1.1240810000000001</v>
      </c>
      <c r="C14" s="119"/>
      <c r="D14" s="110">
        <v>1.3882846100000001</v>
      </c>
      <c r="E14" s="119">
        <v>5.78</v>
      </c>
      <c r="F14" s="119">
        <v>85.318455</v>
      </c>
      <c r="G14" s="119">
        <v>12.28</v>
      </c>
      <c r="H14" s="119">
        <v>19.477</v>
      </c>
      <c r="I14" s="119">
        <v>2.7628210000000002</v>
      </c>
      <c r="J14" s="119">
        <v>9.2392783100000013</v>
      </c>
      <c r="K14" s="131">
        <f t="shared" si="0"/>
        <v>137.36991992</v>
      </c>
    </row>
    <row r="15" spans="1:11" x14ac:dyDescent="0.2">
      <c r="A15" s="114" t="s">
        <v>70</v>
      </c>
      <c r="B15" s="119"/>
      <c r="C15" s="119"/>
      <c r="D15" s="119"/>
      <c r="E15" s="119"/>
      <c r="F15" s="119"/>
      <c r="G15" s="119"/>
      <c r="H15" s="119"/>
      <c r="I15" s="119"/>
      <c r="J15" s="119"/>
      <c r="K15" s="131">
        <f t="shared" si="0"/>
        <v>0</v>
      </c>
    </row>
    <row r="16" spans="1:11" x14ac:dyDescent="0.2">
      <c r="A16" s="114" t="s">
        <v>71</v>
      </c>
      <c r="B16" s="119">
        <v>0.63526800000000005</v>
      </c>
      <c r="C16" s="119"/>
      <c r="D16" s="119">
        <v>43.712869479999995</v>
      </c>
      <c r="E16" s="119">
        <v>29.78</v>
      </c>
      <c r="F16" s="125">
        <v>21.289444</v>
      </c>
      <c r="G16" s="119"/>
      <c r="H16" s="119">
        <v>13.237</v>
      </c>
      <c r="I16" s="119">
        <v>29.581866940000001</v>
      </c>
      <c r="J16" s="119">
        <v>20.629901620000002</v>
      </c>
      <c r="K16" s="131">
        <f t="shared" si="0"/>
        <v>158.86635003999999</v>
      </c>
    </row>
    <row r="17" spans="1:13" x14ac:dyDescent="0.2">
      <c r="B17" s="119"/>
      <c r="C17" s="119"/>
      <c r="D17" s="119"/>
      <c r="E17" s="119"/>
      <c r="F17" s="122"/>
      <c r="G17" s="122"/>
      <c r="H17" s="122"/>
      <c r="I17" s="122"/>
      <c r="J17" s="122"/>
      <c r="K17" s="131"/>
    </row>
    <row r="18" spans="1:13" s="155" customFormat="1" x14ac:dyDescent="0.2">
      <c r="A18" s="155" t="s">
        <v>12</v>
      </c>
      <c r="B18" s="127">
        <f>SUM(B10:B16)</f>
        <v>54.881978000000004</v>
      </c>
      <c r="C18" s="127">
        <f>SUM(C10:C16)</f>
        <v>71.569999999999993</v>
      </c>
      <c r="D18" s="127">
        <f>SUM(D10:D17)</f>
        <v>306.29286363</v>
      </c>
      <c r="E18" s="127">
        <f>SUM(E10:E17)</f>
        <v>166.4</v>
      </c>
      <c r="F18" s="128">
        <f>SUM(F10:F16)</f>
        <v>155.74614500000001</v>
      </c>
      <c r="G18" s="127">
        <f>SUM(G10:G16)</f>
        <v>167.39000000000001</v>
      </c>
      <c r="H18" s="127">
        <f>SUM(H10:H17)</f>
        <v>201.88499999999999</v>
      </c>
      <c r="I18" s="127">
        <f>SUM(I10:I17)</f>
        <v>120.92010062</v>
      </c>
      <c r="J18" s="128">
        <f>SUM(J10:J17)</f>
        <v>296.98373643999997</v>
      </c>
      <c r="K18" s="131">
        <f>SUM(B18:J18)</f>
        <v>1542.0698236900002</v>
      </c>
    </row>
    <row r="20" spans="1:13" x14ac:dyDescent="0.2">
      <c r="B20" s="119"/>
      <c r="C20" s="119"/>
      <c r="D20" s="119"/>
      <c r="E20" s="119"/>
      <c r="F20" s="122"/>
      <c r="G20" s="122"/>
      <c r="H20" s="122"/>
      <c r="I20" s="122"/>
      <c r="J20" s="122"/>
      <c r="K20" s="131"/>
    </row>
    <row r="21" spans="1:13" x14ac:dyDescent="0.2">
      <c r="A21" s="140" t="s">
        <v>14</v>
      </c>
      <c r="B21" s="119"/>
      <c r="C21" s="119"/>
      <c r="D21" s="119"/>
      <c r="E21" s="119"/>
      <c r="F21" s="122"/>
      <c r="G21" s="122"/>
      <c r="H21" s="122"/>
      <c r="I21" s="122"/>
      <c r="J21" s="122"/>
      <c r="K21" s="131"/>
    </row>
    <row r="22" spans="1:13" x14ac:dyDescent="0.2">
      <c r="B22" s="119"/>
      <c r="C22" s="119"/>
      <c r="D22" s="119"/>
      <c r="E22" s="119"/>
      <c r="F22" s="122"/>
      <c r="G22" s="122"/>
      <c r="H22" s="122"/>
      <c r="I22" s="122"/>
      <c r="J22" s="122"/>
      <c r="K22" s="131"/>
    </row>
    <row r="23" spans="1:13" x14ac:dyDescent="0.2">
      <c r="A23" s="114" t="s">
        <v>72</v>
      </c>
      <c r="B23" s="119">
        <v>5.6571160000000003</v>
      </c>
      <c r="C23" s="119"/>
      <c r="D23" s="119">
        <v>3.5872084500000003</v>
      </c>
      <c r="E23" s="119"/>
      <c r="F23" s="119">
        <v>7.8656170000000003</v>
      </c>
      <c r="G23" s="119">
        <v>17.829999999999998</v>
      </c>
      <c r="H23" s="119"/>
      <c r="I23" s="119">
        <v>12.150735699999998</v>
      </c>
      <c r="J23" s="154">
        <v>45.46681075</v>
      </c>
      <c r="K23" s="131">
        <f t="shared" ref="K23:K28" si="1">SUM(B23:J23)</f>
        <v>92.557487899999998</v>
      </c>
      <c r="M23" s="119"/>
    </row>
    <row r="24" spans="1:13" x14ac:dyDescent="0.2">
      <c r="A24" s="114" t="s">
        <v>104</v>
      </c>
      <c r="B24" s="119"/>
      <c r="C24" s="119"/>
      <c r="D24" s="119">
        <v>5.6950367599999998</v>
      </c>
      <c r="E24" s="119"/>
      <c r="F24" s="122"/>
      <c r="G24" s="122">
        <v>0.57799999999999996</v>
      </c>
      <c r="H24" s="122"/>
      <c r="I24" s="122"/>
      <c r="J24" s="122"/>
      <c r="K24" s="131">
        <f t="shared" si="1"/>
        <v>6.2730367600000001</v>
      </c>
    </row>
    <row r="25" spans="1:13" x14ac:dyDescent="0.2">
      <c r="A25" s="114" t="s">
        <v>109</v>
      </c>
      <c r="B25" s="119"/>
      <c r="C25" s="119"/>
      <c r="D25" s="119">
        <v>107.05197989</v>
      </c>
      <c r="E25" s="119">
        <v>67.400000000000006</v>
      </c>
      <c r="F25" s="119">
        <v>0.18893599999999999</v>
      </c>
      <c r="G25" s="119">
        <v>55.11</v>
      </c>
      <c r="H25" s="119">
        <v>15.647</v>
      </c>
      <c r="I25" s="119">
        <v>3.19971315</v>
      </c>
      <c r="J25" s="119">
        <v>87.532412569999991</v>
      </c>
      <c r="K25" s="131">
        <f t="shared" si="1"/>
        <v>336.13004161000003</v>
      </c>
    </row>
    <row r="26" spans="1:13" x14ac:dyDescent="0.2">
      <c r="A26" s="147" t="s">
        <v>69</v>
      </c>
      <c r="B26" s="119">
        <v>2.1943649999999999</v>
      </c>
      <c r="C26" s="119">
        <v>31.57</v>
      </c>
      <c r="D26" s="119">
        <v>3.1381058500000001</v>
      </c>
      <c r="E26" s="119">
        <v>5.4</v>
      </c>
      <c r="F26" s="119">
        <v>4.5545260000000001</v>
      </c>
      <c r="G26" s="119">
        <v>3.05</v>
      </c>
      <c r="H26" s="119">
        <v>31.757999999999999</v>
      </c>
      <c r="I26" s="119">
        <v>4.7499826500000006</v>
      </c>
      <c r="J26" s="119">
        <v>30.491148489999997</v>
      </c>
      <c r="K26" s="131">
        <f t="shared" si="1"/>
        <v>116.90612799</v>
      </c>
    </row>
    <row r="27" spans="1:13" x14ac:dyDescent="0.2">
      <c r="A27" s="114" t="s">
        <v>70</v>
      </c>
      <c r="B27" s="119"/>
      <c r="C27" s="119"/>
      <c r="D27" s="119"/>
      <c r="E27" s="119"/>
      <c r="F27" s="122"/>
      <c r="G27" s="122"/>
      <c r="H27" s="122"/>
      <c r="I27" s="122"/>
      <c r="J27" s="122"/>
      <c r="K27" s="131">
        <f t="shared" si="1"/>
        <v>0</v>
      </c>
    </row>
    <row r="28" spans="1:13" x14ac:dyDescent="0.2">
      <c r="A28" s="114" t="s">
        <v>71</v>
      </c>
      <c r="B28" s="119"/>
      <c r="C28" s="119"/>
      <c r="D28" s="119">
        <v>8.2432872999999987</v>
      </c>
      <c r="E28" s="119"/>
      <c r="F28" s="122"/>
      <c r="G28" s="122"/>
      <c r="H28" s="122"/>
      <c r="I28" s="122"/>
      <c r="J28" s="122">
        <v>2.4878663799999998</v>
      </c>
      <c r="K28" s="131">
        <f t="shared" si="1"/>
        <v>10.731153679999998</v>
      </c>
    </row>
    <row r="29" spans="1:13" x14ac:dyDescent="0.2">
      <c r="B29" s="119"/>
      <c r="C29" s="119"/>
      <c r="D29" s="119"/>
      <c r="E29" s="119"/>
      <c r="F29" s="122"/>
      <c r="G29" s="122"/>
      <c r="H29" s="122"/>
      <c r="I29" s="122"/>
      <c r="J29" s="122"/>
      <c r="K29" s="131"/>
    </row>
    <row r="30" spans="1:13" s="155" customFormat="1" x14ac:dyDescent="0.2">
      <c r="A30" s="155" t="s">
        <v>12</v>
      </c>
      <c r="B30" s="119">
        <f>SUM(B23:B28)</f>
        <v>7.8514809999999997</v>
      </c>
      <c r="C30" s="127">
        <f>SUM(C23:C28)</f>
        <v>31.57</v>
      </c>
      <c r="D30" s="127">
        <f>SUM(D23:D28)</f>
        <v>127.71561825000001</v>
      </c>
      <c r="E30" s="127">
        <f>SUM(E23:E28)</f>
        <v>72.800000000000011</v>
      </c>
      <c r="F30" s="128">
        <f>SUM(F23:F28)</f>
        <v>12.609079000000001</v>
      </c>
      <c r="G30" s="128">
        <f>SUM(G23:G29)</f>
        <v>76.567999999999998</v>
      </c>
      <c r="H30" s="128">
        <f>SUM(H23:H29)</f>
        <v>47.405000000000001</v>
      </c>
      <c r="I30" s="128">
        <f>SUM(I23:I29)</f>
        <v>20.100431499999999</v>
      </c>
      <c r="J30" s="128">
        <f>SUM(J23:J29)</f>
        <v>165.97823819000001</v>
      </c>
      <c r="K30" s="131">
        <f>SUM(B30:J30)</f>
        <v>562.59784794000007</v>
      </c>
    </row>
    <row r="31" spans="1:13" s="155" customFormat="1" x14ac:dyDescent="0.2"/>
    <row r="32" spans="1:13" s="140" customFormat="1" x14ac:dyDescent="0.2">
      <c r="A32" s="140" t="s">
        <v>43</v>
      </c>
      <c r="B32" s="131">
        <f t="shared" ref="B32:G32" si="2">B18+B30</f>
        <v>62.733459000000003</v>
      </c>
      <c r="C32" s="131">
        <f t="shared" si="2"/>
        <v>103.13999999999999</v>
      </c>
      <c r="D32" s="131">
        <f t="shared" si="2"/>
        <v>434.00848187999998</v>
      </c>
      <c r="E32" s="131">
        <f t="shared" si="2"/>
        <v>239.20000000000002</v>
      </c>
      <c r="F32" s="132">
        <f t="shared" si="2"/>
        <v>168.35522400000002</v>
      </c>
      <c r="G32" s="132">
        <f t="shared" si="2"/>
        <v>243.95800000000003</v>
      </c>
      <c r="H32" s="132">
        <f>H30+H18</f>
        <v>249.29</v>
      </c>
      <c r="I32" s="132">
        <f>I18+I30</f>
        <v>141.02053211999998</v>
      </c>
      <c r="J32" s="132">
        <f>J18+J30</f>
        <v>462.96197462999999</v>
      </c>
      <c r="K32" s="131">
        <f>SUM(B32:J32)</f>
        <v>2104.6676716299999</v>
      </c>
    </row>
    <row r="33" spans="1:255" s="140" customFormat="1" x14ac:dyDescent="0.2">
      <c r="B33" s="131"/>
      <c r="C33" s="131"/>
      <c r="D33" s="131"/>
      <c r="E33" s="131"/>
      <c r="F33" s="132"/>
      <c r="G33" s="132"/>
      <c r="H33" s="132"/>
      <c r="I33" s="132"/>
      <c r="J33" s="132"/>
      <c r="K33" s="131"/>
    </row>
    <row r="34" spans="1:255" s="155" customFormat="1" ht="14.25" x14ac:dyDescent="0.2">
      <c r="A34" s="140" t="s">
        <v>199</v>
      </c>
      <c r="B34" s="119"/>
      <c r="C34" s="127">
        <v>27.58</v>
      </c>
      <c r="D34" s="127"/>
      <c r="E34" s="127">
        <v>35.47</v>
      </c>
      <c r="F34" s="128"/>
      <c r="G34" s="158">
        <v>34.57</v>
      </c>
      <c r="H34" s="128">
        <v>27.611000000000001</v>
      </c>
      <c r="I34" s="128"/>
      <c r="J34" s="128">
        <v>46.688973259999997</v>
      </c>
      <c r="K34" s="131">
        <f>SUM(B34:J34)</f>
        <v>171.91997326000001</v>
      </c>
    </row>
    <row r="35" spans="1:255" x14ac:dyDescent="0.2">
      <c r="B35" s="119"/>
      <c r="C35" s="119"/>
      <c r="D35" s="119"/>
      <c r="E35" s="119"/>
      <c r="F35" s="122"/>
      <c r="G35" s="122"/>
      <c r="H35" s="122"/>
      <c r="I35" s="122"/>
      <c r="J35" s="122"/>
      <c r="K35" s="119"/>
      <c r="L35" s="119"/>
      <c r="M35" s="119"/>
      <c r="N35" s="119"/>
      <c r="O35" s="119"/>
      <c r="P35" s="119"/>
      <c r="Q35" s="119"/>
      <c r="R35" s="119"/>
      <c r="S35" s="119"/>
      <c r="T35" s="119"/>
      <c r="U35" s="119"/>
      <c r="V35" s="119"/>
      <c r="W35" s="119"/>
      <c r="X35" s="119"/>
      <c r="Y35" s="119"/>
      <c r="Z35" s="119"/>
      <c r="AA35" s="119"/>
      <c r="AB35" s="119"/>
      <c r="AC35" s="119"/>
      <c r="AD35" s="119"/>
      <c r="AE35" s="119"/>
      <c r="AF35" s="119"/>
      <c r="AG35" s="119"/>
      <c r="AH35" s="119"/>
      <c r="AI35" s="119"/>
      <c r="AJ35" s="119"/>
      <c r="AK35" s="119"/>
      <c r="AL35" s="119"/>
      <c r="AM35" s="119"/>
      <c r="AN35" s="119"/>
      <c r="AO35" s="119"/>
      <c r="AP35" s="119"/>
      <c r="AQ35" s="119"/>
      <c r="AR35" s="119"/>
      <c r="AS35" s="119"/>
      <c r="AT35" s="119"/>
      <c r="AU35" s="119"/>
      <c r="AV35" s="119"/>
      <c r="AW35" s="119"/>
      <c r="AX35" s="119"/>
      <c r="AY35" s="119"/>
      <c r="AZ35" s="119"/>
      <c r="BA35" s="119"/>
      <c r="BB35" s="119"/>
      <c r="BC35" s="119"/>
      <c r="BD35" s="119"/>
      <c r="BE35" s="119"/>
      <c r="BF35" s="119"/>
      <c r="BG35" s="119"/>
      <c r="BH35" s="119"/>
      <c r="BI35" s="119"/>
      <c r="BJ35" s="119"/>
      <c r="BK35" s="119"/>
      <c r="BL35" s="119"/>
      <c r="BM35" s="119"/>
      <c r="BN35" s="119"/>
      <c r="BO35" s="119"/>
      <c r="BP35" s="119"/>
      <c r="BQ35" s="119"/>
      <c r="BR35" s="119"/>
      <c r="BS35" s="119"/>
      <c r="BT35" s="119"/>
      <c r="BU35" s="119"/>
      <c r="BV35" s="119"/>
      <c r="BW35" s="119"/>
      <c r="BX35" s="119"/>
      <c r="BY35" s="119"/>
      <c r="BZ35" s="119"/>
      <c r="CA35" s="119"/>
      <c r="CB35" s="119"/>
      <c r="CC35" s="119"/>
      <c r="CD35" s="119"/>
      <c r="CE35" s="119"/>
      <c r="CF35" s="119"/>
      <c r="CG35" s="119"/>
      <c r="CH35" s="119"/>
      <c r="CI35" s="119"/>
      <c r="CJ35" s="119"/>
      <c r="CK35" s="119"/>
      <c r="CL35" s="119"/>
      <c r="CM35" s="119"/>
      <c r="CN35" s="119"/>
      <c r="CO35" s="119"/>
      <c r="CP35" s="119"/>
      <c r="CQ35" s="119"/>
      <c r="CR35" s="119"/>
      <c r="CS35" s="119"/>
      <c r="CT35" s="119"/>
      <c r="CU35" s="119"/>
      <c r="CV35" s="119"/>
      <c r="CW35" s="119"/>
      <c r="CX35" s="119"/>
      <c r="CY35" s="119"/>
      <c r="CZ35" s="119"/>
      <c r="DA35" s="119"/>
      <c r="DB35" s="119"/>
      <c r="DC35" s="119"/>
      <c r="DD35" s="119"/>
      <c r="DE35" s="119"/>
      <c r="DF35" s="119"/>
      <c r="DG35" s="119"/>
      <c r="DH35" s="119"/>
      <c r="DI35" s="119"/>
      <c r="DJ35" s="119"/>
      <c r="DK35" s="119"/>
      <c r="DL35" s="119"/>
      <c r="DM35" s="119"/>
      <c r="DN35" s="119"/>
      <c r="DO35" s="119"/>
      <c r="DP35" s="119"/>
      <c r="DQ35" s="119"/>
      <c r="DR35" s="119"/>
      <c r="DS35" s="119"/>
      <c r="DT35" s="119"/>
      <c r="DU35" s="119"/>
      <c r="DV35" s="119"/>
      <c r="DW35" s="119"/>
      <c r="DX35" s="119"/>
      <c r="DY35" s="119"/>
      <c r="DZ35" s="119"/>
      <c r="EA35" s="119"/>
      <c r="EB35" s="119"/>
      <c r="EC35" s="119"/>
      <c r="ED35" s="119"/>
      <c r="EE35" s="119"/>
      <c r="EF35" s="119"/>
      <c r="EG35" s="119"/>
      <c r="EH35" s="119"/>
      <c r="EI35" s="119"/>
      <c r="EJ35" s="119"/>
      <c r="EK35" s="119"/>
      <c r="EL35" s="119"/>
      <c r="EM35" s="119"/>
      <c r="EN35" s="119"/>
      <c r="EO35" s="119"/>
      <c r="EP35" s="119"/>
      <c r="EQ35" s="119"/>
      <c r="ER35" s="119"/>
      <c r="ES35" s="119"/>
      <c r="ET35" s="119"/>
      <c r="EU35" s="119"/>
      <c r="EV35" s="119"/>
      <c r="EW35" s="119"/>
      <c r="EX35" s="119"/>
      <c r="EY35" s="119"/>
      <c r="EZ35" s="119"/>
      <c r="FA35" s="119"/>
      <c r="FB35" s="119"/>
      <c r="FC35" s="119"/>
      <c r="FD35" s="119"/>
      <c r="FE35" s="119"/>
      <c r="FF35" s="119"/>
      <c r="FG35" s="119"/>
      <c r="FH35" s="119"/>
      <c r="FI35" s="119"/>
      <c r="FJ35" s="119"/>
      <c r="FK35" s="119"/>
      <c r="FL35" s="119"/>
      <c r="FM35" s="119"/>
      <c r="FN35" s="119"/>
      <c r="FO35" s="119"/>
      <c r="FP35" s="119"/>
      <c r="FQ35" s="119"/>
      <c r="FR35" s="119"/>
      <c r="FS35" s="119"/>
      <c r="FT35" s="119"/>
      <c r="FU35" s="119"/>
      <c r="FV35" s="119"/>
      <c r="FW35" s="119"/>
      <c r="FX35" s="119"/>
      <c r="FY35" s="119"/>
      <c r="FZ35" s="119"/>
      <c r="GA35" s="119"/>
      <c r="GB35" s="119"/>
      <c r="GC35" s="119"/>
      <c r="GD35" s="119"/>
      <c r="GE35" s="119"/>
      <c r="GF35" s="119"/>
      <c r="GG35" s="119"/>
      <c r="GH35" s="119"/>
      <c r="GI35" s="119"/>
      <c r="GJ35" s="119"/>
      <c r="GK35" s="119"/>
      <c r="GL35" s="119"/>
      <c r="GM35" s="119"/>
      <c r="GN35" s="119"/>
      <c r="GO35" s="119"/>
      <c r="GP35" s="119"/>
      <c r="GQ35" s="119"/>
      <c r="GR35" s="119"/>
      <c r="GS35" s="119"/>
      <c r="GT35" s="119"/>
      <c r="GU35" s="119"/>
      <c r="GV35" s="119"/>
      <c r="GW35" s="119"/>
      <c r="GX35" s="119"/>
      <c r="GY35" s="119"/>
      <c r="GZ35" s="119"/>
      <c r="HA35" s="119"/>
      <c r="HB35" s="119"/>
      <c r="HC35" s="119"/>
      <c r="HD35" s="119"/>
      <c r="HE35" s="119"/>
      <c r="HF35" s="119"/>
      <c r="HG35" s="119"/>
      <c r="HH35" s="119"/>
      <c r="HI35" s="119"/>
      <c r="HJ35" s="119"/>
      <c r="HK35" s="119"/>
      <c r="HL35" s="119"/>
      <c r="HM35" s="119"/>
      <c r="HN35" s="119"/>
      <c r="HO35" s="119"/>
      <c r="HP35" s="119"/>
      <c r="HQ35" s="119"/>
      <c r="HR35" s="119"/>
      <c r="HS35" s="119"/>
      <c r="HT35" s="119"/>
      <c r="HU35" s="119"/>
      <c r="HV35" s="119"/>
      <c r="HW35" s="119"/>
      <c r="HX35" s="119"/>
      <c r="HY35" s="119"/>
      <c r="HZ35" s="119"/>
      <c r="IA35" s="119"/>
      <c r="IB35" s="119"/>
      <c r="IC35" s="119"/>
      <c r="ID35" s="119"/>
      <c r="IE35" s="119"/>
      <c r="IF35" s="119"/>
      <c r="IG35" s="119"/>
      <c r="IH35" s="119"/>
      <c r="II35" s="119"/>
      <c r="IJ35" s="119"/>
      <c r="IK35" s="119"/>
      <c r="IL35" s="119"/>
      <c r="IM35" s="119"/>
      <c r="IN35" s="119"/>
      <c r="IO35" s="119"/>
      <c r="IP35" s="119"/>
      <c r="IQ35" s="119"/>
      <c r="IR35" s="119"/>
      <c r="IS35" s="119"/>
      <c r="IT35" s="119"/>
      <c r="IU35" s="119"/>
    </row>
    <row r="36" spans="1:255" ht="14.25" x14ac:dyDescent="0.2">
      <c r="A36" s="140" t="s">
        <v>200</v>
      </c>
      <c r="F36" s="110"/>
      <c r="G36" s="110"/>
      <c r="H36" s="110"/>
      <c r="I36" s="110"/>
      <c r="J36" s="110"/>
      <c r="K36" s="110"/>
      <c r="L36" s="119"/>
      <c r="M36" s="119"/>
      <c r="N36" s="119"/>
      <c r="O36" s="119"/>
      <c r="P36" s="119"/>
      <c r="Q36" s="119"/>
      <c r="R36" s="119"/>
      <c r="S36" s="119"/>
      <c r="T36" s="119"/>
      <c r="U36" s="119"/>
      <c r="V36" s="119"/>
      <c r="W36" s="119"/>
      <c r="X36" s="119"/>
      <c r="Y36" s="119"/>
      <c r="Z36" s="119"/>
      <c r="AA36" s="119"/>
      <c r="AB36" s="119"/>
      <c r="AC36" s="119"/>
      <c r="AD36" s="119"/>
      <c r="AE36" s="119"/>
      <c r="AF36" s="119"/>
      <c r="AG36" s="119"/>
      <c r="AH36" s="119"/>
      <c r="AI36" s="119"/>
      <c r="AJ36" s="119"/>
      <c r="AK36" s="119"/>
      <c r="AL36" s="119"/>
      <c r="AM36" s="119"/>
      <c r="AN36" s="119"/>
      <c r="AO36" s="119"/>
      <c r="AP36" s="119"/>
      <c r="AQ36" s="119"/>
      <c r="AR36" s="119"/>
      <c r="AS36" s="119"/>
      <c r="AT36" s="119"/>
      <c r="AU36" s="119"/>
      <c r="AV36" s="119"/>
      <c r="AW36" s="119"/>
      <c r="AX36" s="119"/>
      <c r="AY36" s="119"/>
      <c r="AZ36" s="119"/>
      <c r="BA36" s="119"/>
      <c r="BB36" s="119"/>
      <c r="BC36" s="119"/>
      <c r="BD36" s="119"/>
      <c r="BE36" s="119"/>
      <c r="BF36" s="119"/>
      <c r="BG36" s="119"/>
      <c r="BH36" s="119"/>
      <c r="BI36" s="119"/>
      <c r="BJ36" s="119"/>
      <c r="BK36" s="119"/>
      <c r="BL36" s="119"/>
      <c r="BM36" s="119"/>
      <c r="BN36" s="119"/>
      <c r="BO36" s="119"/>
      <c r="BP36" s="119"/>
      <c r="BQ36" s="119"/>
      <c r="BR36" s="119"/>
      <c r="BS36" s="119"/>
      <c r="BT36" s="119"/>
      <c r="BU36" s="119"/>
      <c r="BV36" s="119"/>
      <c r="BW36" s="119"/>
      <c r="BX36" s="119"/>
      <c r="BY36" s="119"/>
      <c r="BZ36" s="119"/>
      <c r="CA36" s="119"/>
      <c r="CB36" s="119"/>
      <c r="CC36" s="119"/>
      <c r="CD36" s="119"/>
      <c r="CE36" s="119"/>
      <c r="CF36" s="119"/>
      <c r="CG36" s="119"/>
      <c r="CH36" s="119"/>
      <c r="CI36" s="119"/>
      <c r="CJ36" s="119"/>
      <c r="CK36" s="119"/>
      <c r="CL36" s="119"/>
      <c r="CM36" s="119"/>
      <c r="CN36" s="119"/>
      <c r="CO36" s="119"/>
      <c r="CP36" s="119"/>
      <c r="CQ36" s="119"/>
      <c r="CR36" s="119"/>
      <c r="CS36" s="119"/>
      <c r="CT36" s="119"/>
      <c r="CU36" s="119"/>
      <c r="CV36" s="119"/>
      <c r="CW36" s="119"/>
      <c r="CX36" s="119"/>
      <c r="CY36" s="119"/>
      <c r="CZ36" s="119"/>
      <c r="DA36" s="119"/>
      <c r="DB36" s="119"/>
      <c r="DC36" s="119"/>
      <c r="DD36" s="119"/>
      <c r="DE36" s="119"/>
      <c r="DF36" s="119"/>
      <c r="DG36" s="119"/>
      <c r="DH36" s="119"/>
      <c r="DI36" s="119"/>
      <c r="DJ36" s="119"/>
      <c r="DK36" s="119"/>
      <c r="DL36" s="119"/>
      <c r="DM36" s="119"/>
      <c r="DN36" s="119"/>
      <c r="DO36" s="119"/>
      <c r="DP36" s="119"/>
      <c r="DQ36" s="119"/>
      <c r="DR36" s="119"/>
      <c r="DS36" s="119"/>
      <c r="DT36" s="119"/>
      <c r="DU36" s="119"/>
      <c r="DV36" s="119"/>
      <c r="DW36" s="119"/>
      <c r="DX36" s="119"/>
      <c r="DY36" s="119"/>
      <c r="DZ36" s="119"/>
      <c r="EA36" s="119"/>
      <c r="EB36" s="119"/>
      <c r="EC36" s="119"/>
      <c r="ED36" s="119"/>
      <c r="EE36" s="119"/>
      <c r="EF36" s="119"/>
      <c r="EG36" s="119"/>
      <c r="EH36" s="119"/>
      <c r="EI36" s="119"/>
      <c r="EJ36" s="119"/>
      <c r="EK36" s="119"/>
      <c r="EL36" s="119"/>
      <c r="EM36" s="119"/>
      <c r="EN36" s="119"/>
      <c r="EO36" s="119"/>
      <c r="EP36" s="119"/>
      <c r="EQ36" s="119"/>
      <c r="ER36" s="119"/>
      <c r="ES36" s="119"/>
      <c r="ET36" s="119"/>
      <c r="EU36" s="119"/>
      <c r="EV36" s="119"/>
      <c r="EW36" s="119"/>
      <c r="EX36" s="119"/>
      <c r="EY36" s="119"/>
      <c r="EZ36" s="119"/>
      <c r="FA36" s="119"/>
      <c r="FB36" s="119"/>
      <c r="FC36" s="119"/>
      <c r="FD36" s="119"/>
      <c r="FE36" s="119"/>
      <c r="FF36" s="119"/>
      <c r="FG36" s="119"/>
      <c r="FH36" s="119"/>
      <c r="FI36" s="119"/>
      <c r="FJ36" s="119"/>
      <c r="FK36" s="119"/>
      <c r="FL36" s="119"/>
      <c r="FM36" s="119"/>
      <c r="FN36" s="119"/>
      <c r="FO36" s="119"/>
      <c r="FP36" s="119"/>
      <c r="FQ36" s="119"/>
      <c r="FR36" s="119"/>
      <c r="FS36" s="119"/>
      <c r="FT36" s="119"/>
      <c r="FU36" s="119"/>
      <c r="FV36" s="119"/>
      <c r="FW36" s="119"/>
      <c r="FX36" s="119"/>
      <c r="FY36" s="119"/>
      <c r="FZ36" s="119"/>
      <c r="GA36" s="119"/>
      <c r="GB36" s="119"/>
      <c r="GC36" s="119"/>
      <c r="GD36" s="119"/>
      <c r="GE36" s="119"/>
      <c r="GF36" s="119"/>
      <c r="GG36" s="119"/>
      <c r="GH36" s="119"/>
      <c r="GI36" s="119"/>
      <c r="GJ36" s="119"/>
      <c r="GK36" s="119"/>
      <c r="GL36" s="119"/>
      <c r="GM36" s="119"/>
      <c r="GN36" s="119"/>
      <c r="GO36" s="119"/>
      <c r="GP36" s="119"/>
      <c r="GQ36" s="119"/>
      <c r="GR36" s="119"/>
      <c r="GS36" s="119"/>
      <c r="GT36" s="119"/>
      <c r="GU36" s="119"/>
      <c r="GV36" s="119"/>
      <c r="GW36" s="119"/>
      <c r="GX36" s="119"/>
      <c r="GY36" s="119"/>
      <c r="GZ36" s="119"/>
      <c r="HA36" s="119"/>
      <c r="HB36" s="119"/>
      <c r="HC36" s="119"/>
      <c r="HD36" s="119"/>
      <c r="HE36" s="119"/>
      <c r="HF36" s="119"/>
      <c r="HG36" s="119"/>
      <c r="HH36" s="119"/>
      <c r="HI36" s="119"/>
      <c r="HJ36" s="119"/>
      <c r="HK36" s="119"/>
      <c r="HL36" s="119"/>
      <c r="HM36" s="119"/>
      <c r="HN36" s="119"/>
      <c r="HO36" s="119"/>
      <c r="HP36" s="119"/>
      <c r="HQ36" s="119"/>
      <c r="HR36" s="119"/>
      <c r="HS36" s="119"/>
      <c r="HT36" s="119"/>
      <c r="HU36" s="119"/>
      <c r="HV36" s="119"/>
      <c r="HW36" s="119"/>
      <c r="HX36" s="119"/>
      <c r="HY36" s="119"/>
      <c r="HZ36" s="119"/>
      <c r="IA36" s="119"/>
      <c r="IB36" s="119"/>
      <c r="IC36" s="119"/>
      <c r="ID36" s="119"/>
      <c r="IE36" s="119"/>
      <c r="IF36" s="119"/>
      <c r="IG36" s="119"/>
      <c r="IH36" s="119"/>
      <c r="II36" s="119"/>
      <c r="IJ36" s="119"/>
      <c r="IK36" s="119"/>
      <c r="IL36" s="119"/>
      <c r="IM36" s="119"/>
      <c r="IN36" s="119"/>
      <c r="IO36" s="119"/>
      <c r="IP36" s="119"/>
      <c r="IQ36" s="119"/>
      <c r="IR36" s="119"/>
      <c r="IS36" s="119"/>
      <c r="IT36" s="119"/>
      <c r="IU36" s="119"/>
    </row>
    <row r="37" spans="1:255" x14ac:dyDescent="0.2">
      <c r="A37" s="114" t="s">
        <v>46</v>
      </c>
      <c r="B37" s="110">
        <v>498</v>
      </c>
      <c r="D37" s="110">
        <v>20422</v>
      </c>
      <c r="E37" s="110">
        <v>14814</v>
      </c>
      <c r="F37" s="134"/>
      <c r="G37" s="110"/>
      <c r="H37" s="110">
        <v>5779</v>
      </c>
      <c r="I37" s="110">
        <v>10379</v>
      </c>
      <c r="J37" s="110">
        <v>10345</v>
      </c>
      <c r="K37" s="136">
        <f>SUM(B37:J37)</f>
        <v>62237</v>
      </c>
      <c r="L37" s="119"/>
      <c r="M37" s="119"/>
      <c r="N37" s="119"/>
      <c r="O37" s="119"/>
      <c r="P37" s="119"/>
      <c r="Q37" s="119"/>
      <c r="R37" s="119"/>
      <c r="S37" s="119"/>
      <c r="T37" s="119"/>
      <c r="U37" s="119"/>
      <c r="V37" s="119"/>
      <c r="W37" s="119"/>
      <c r="X37" s="119"/>
      <c r="Y37" s="119"/>
      <c r="Z37" s="119"/>
      <c r="AA37" s="119"/>
      <c r="AB37" s="119"/>
      <c r="AC37" s="119"/>
      <c r="AD37" s="119"/>
      <c r="AE37" s="119"/>
      <c r="AF37" s="119"/>
      <c r="AG37" s="119"/>
      <c r="AH37" s="119"/>
      <c r="AI37" s="119"/>
      <c r="AJ37" s="119"/>
      <c r="AK37" s="119"/>
      <c r="AL37" s="119"/>
      <c r="AM37" s="119"/>
      <c r="AN37" s="119"/>
      <c r="AO37" s="119"/>
      <c r="AP37" s="119"/>
      <c r="AQ37" s="119"/>
      <c r="AR37" s="119"/>
      <c r="AS37" s="119"/>
      <c r="AT37" s="119"/>
      <c r="AU37" s="119"/>
      <c r="AV37" s="119"/>
      <c r="AW37" s="119"/>
      <c r="AX37" s="119"/>
      <c r="AY37" s="119"/>
      <c r="AZ37" s="119"/>
      <c r="BA37" s="119"/>
      <c r="BB37" s="119"/>
      <c r="BC37" s="119"/>
      <c r="BD37" s="119"/>
      <c r="BE37" s="119"/>
      <c r="BF37" s="119"/>
      <c r="BG37" s="119"/>
      <c r="BH37" s="119"/>
      <c r="BI37" s="119"/>
      <c r="BJ37" s="119"/>
      <c r="BK37" s="119"/>
      <c r="BL37" s="119"/>
      <c r="BM37" s="119"/>
      <c r="BN37" s="119"/>
      <c r="BO37" s="119"/>
      <c r="BP37" s="119"/>
      <c r="BQ37" s="119"/>
      <c r="BR37" s="119"/>
      <c r="BS37" s="119"/>
      <c r="BT37" s="119"/>
      <c r="BU37" s="119"/>
      <c r="BV37" s="119"/>
      <c r="BW37" s="119"/>
      <c r="BX37" s="119"/>
      <c r="BY37" s="119"/>
      <c r="BZ37" s="119"/>
      <c r="CA37" s="119"/>
      <c r="CB37" s="119"/>
      <c r="CC37" s="119"/>
      <c r="CD37" s="119"/>
      <c r="CE37" s="119"/>
      <c r="CF37" s="119"/>
      <c r="CG37" s="119"/>
      <c r="CH37" s="119"/>
      <c r="CI37" s="119"/>
      <c r="CJ37" s="119"/>
      <c r="CK37" s="119"/>
      <c r="CL37" s="119"/>
      <c r="CM37" s="119"/>
      <c r="CN37" s="119"/>
      <c r="CO37" s="119"/>
      <c r="CP37" s="119"/>
      <c r="CQ37" s="119"/>
      <c r="CR37" s="119"/>
      <c r="CS37" s="119"/>
      <c r="CT37" s="119"/>
      <c r="CU37" s="119"/>
      <c r="CV37" s="119"/>
      <c r="CW37" s="119"/>
      <c r="CX37" s="119"/>
      <c r="CY37" s="119"/>
      <c r="CZ37" s="119"/>
      <c r="DA37" s="119"/>
      <c r="DB37" s="119"/>
      <c r="DC37" s="119"/>
      <c r="DD37" s="119"/>
      <c r="DE37" s="119"/>
      <c r="DF37" s="119"/>
      <c r="DG37" s="119"/>
      <c r="DH37" s="119"/>
      <c r="DI37" s="119"/>
      <c r="DJ37" s="119"/>
      <c r="DK37" s="119"/>
      <c r="DL37" s="119"/>
      <c r="DM37" s="119"/>
      <c r="DN37" s="119"/>
      <c r="DO37" s="119"/>
      <c r="DP37" s="119"/>
      <c r="DQ37" s="119"/>
      <c r="DR37" s="119"/>
      <c r="DS37" s="119"/>
      <c r="DT37" s="119"/>
      <c r="DU37" s="119"/>
      <c r="DV37" s="119"/>
      <c r="DW37" s="119"/>
      <c r="DX37" s="119"/>
      <c r="DY37" s="119"/>
      <c r="DZ37" s="119"/>
      <c r="EA37" s="119"/>
      <c r="EB37" s="119"/>
      <c r="EC37" s="119"/>
      <c r="ED37" s="119"/>
      <c r="EE37" s="119"/>
      <c r="EF37" s="119"/>
      <c r="EG37" s="119"/>
      <c r="EH37" s="119"/>
      <c r="EI37" s="119"/>
      <c r="EJ37" s="119"/>
      <c r="EK37" s="119"/>
      <c r="EL37" s="119"/>
      <c r="EM37" s="119"/>
      <c r="EN37" s="119"/>
      <c r="EO37" s="119"/>
      <c r="EP37" s="119"/>
      <c r="EQ37" s="119"/>
      <c r="ER37" s="119"/>
      <c r="ES37" s="119"/>
      <c r="ET37" s="119"/>
      <c r="EU37" s="119"/>
      <c r="EV37" s="119"/>
      <c r="EW37" s="119"/>
      <c r="EX37" s="119"/>
      <c r="EY37" s="119"/>
      <c r="EZ37" s="119"/>
      <c r="FA37" s="119"/>
      <c r="FB37" s="119"/>
      <c r="FC37" s="119"/>
      <c r="FD37" s="119"/>
      <c r="FE37" s="119"/>
      <c r="FF37" s="119"/>
      <c r="FG37" s="119"/>
      <c r="FH37" s="119"/>
      <c r="FI37" s="119"/>
      <c r="FJ37" s="119"/>
      <c r="FK37" s="119"/>
      <c r="FL37" s="119"/>
      <c r="FM37" s="119"/>
      <c r="FN37" s="119"/>
      <c r="FO37" s="119"/>
      <c r="FP37" s="119"/>
      <c r="FQ37" s="119"/>
      <c r="FR37" s="119"/>
      <c r="FS37" s="119"/>
      <c r="FT37" s="119"/>
      <c r="FU37" s="119"/>
      <c r="FV37" s="119"/>
      <c r="FW37" s="119"/>
      <c r="FX37" s="119"/>
      <c r="FY37" s="119"/>
      <c r="FZ37" s="119"/>
      <c r="GA37" s="119"/>
      <c r="GB37" s="119"/>
      <c r="GC37" s="119"/>
      <c r="GD37" s="119"/>
      <c r="GE37" s="119"/>
      <c r="GF37" s="119"/>
      <c r="GG37" s="119"/>
      <c r="GH37" s="119"/>
      <c r="GI37" s="119"/>
      <c r="GJ37" s="119"/>
      <c r="GK37" s="119"/>
      <c r="GL37" s="119"/>
      <c r="GM37" s="119"/>
      <c r="GN37" s="119"/>
      <c r="GO37" s="119"/>
      <c r="GP37" s="119"/>
      <c r="GQ37" s="119"/>
      <c r="GR37" s="119"/>
      <c r="GS37" s="119"/>
      <c r="GT37" s="119"/>
      <c r="GU37" s="119"/>
      <c r="GV37" s="119"/>
      <c r="GW37" s="119"/>
      <c r="GX37" s="119"/>
      <c r="GY37" s="119"/>
      <c r="GZ37" s="119"/>
      <c r="HA37" s="119"/>
      <c r="HB37" s="119"/>
      <c r="HC37" s="119"/>
      <c r="HD37" s="119"/>
      <c r="HE37" s="119"/>
      <c r="HF37" s="119"/>
      <c r="HG37" s="119"/>
      <c r="HH37" s="119"/>
      <c r="HI37" s="119"/>
      <c r="HJ37" s="119"/>
      <c r="HK37" s="119"/>
      <c r="HL37" s="119"/>
      <c r="HM37" s="119"/>
      <c r="HN37" s="119"/>
      <c r="HO37" s="119"/>
      <c r="HP37" s="119"/>
      <c r="HQ37" s="119"/>
      <c r="HR37" s="119"/>
      <c r="HS37" s="119"/>
      <c r="HT37" s="119"/>
      <c r="HU37" s="119"/>
      <c r="HV37" s="119"/>
      <c r="HW37" s="119"/>
      <c r="HX37" s="119"/>
      <c r="HY37" s="119"/>
      <c r="HZ37" s="119"/>
      <c r="IA37" s="119"/>
      <c r="IB37" s="119"/>
      <c r="IC37" s="119"/>
      <c r="ID37" s="119"/>
      <c r="IE37" s="119"/>
      <c r="IF37" s="119"/>
      <c r="IG37" s="119"/>
      <c r="IH37" s="119"/>
      <c r="II37" s="119"/>
      <c r="IJ37" s="119"/>
      <c r="IK37" s="119"/>
      <c r="IL37" s="119"/>
      <c r="IM37" s="119"/>
      <c r="IN37" s="119"/>
      <c r="IO37" s="119"/>
      <c r="IP37" s="119"/>
      <c r="IQ37" s="119"/>
      <c r="IR37" s="119"/>
      <c r="IS37" s="119"/>
      <c r="IT37" s="119"/>
      <c r="IU37" s="119"/>
    </row>
    <row r="38" spans="1:255" x14ac:dyDescent="0.2">
      <c r="A38" s="114" t="s">
        <v>201</v>
      </c>
      <c r="D38" s="110">
        <v>5151</v>
      </c>
      <c r="F38" s="110"/>
      <c r="G38" s="110"/>
      <c r="H38" s="110"/>
      <c r="I38" s="110"/>
      <c r="J38" s="110">
        <v>2176</v>
      </c>
      <c r="K38" s="136">
        <f>SUM(B38:J38)</f>
        <v>7327</v>
      </c>
      <c r="L38" s="119"/>
      <c r="M38" s="119"/>
      <c r="N38" s="119"/>
      <c r="O38" s="119"/>
      <c r="P38" s="119"/>
      <c r="Q38" s="119"/>
      <c r="R38" s="119"/>
      <c r="S38" s="119"/>
      <c r="T38" s="119"/>
      <c r="U38" s="119"/>
      <c r="V38" s="119"/>
      <c r="W38" s="119"/>
      <c r="X38" s="119"/>
      <c r="Y38" s="119"/>
      <c r="Z38" s="119"/>
      <c r="AA38" s="119"/>
      <c r="AB38" s="119"/>
      <c r="AC38" s="119"/>
      <c r="AD38" s="119"/>
      <c r="AE38" s="119"/>
      <c r="AF38" s="119"/>
      <c r="AG38" s="119"/>
      <c r="AH38" s="119"/>
      <c r="AI38" s="119"/>
      <c r="AJ38" s="119"/>
      <c r="AK38" s="119"/>
      <c r="AL38" s="119"/>
      <c r="AM38" s="119"/>
      <c r="AN38" s="119"/>
      <c r="AO38" s="119"/>
      <c r="AP38" s="119"/>
      <c r="AQ38" s="119"/>
      <c r="AR38" s="119"/>
      <c r="AS38" s="119"/>
      <c r="AT38" s="119"/>
      <c r="AU38" s="119"/>
      <c r="AV38" s="119"/>
      <c r="AW38" s="119"/>
      <c r="AX38" s="119"/>
      <c r="AY38" s="119"/>
      <c r="AZ38" s="119"/>
      <c r="BA38" s="119"/>
      <c r="BB38" s="119"/>
      <c r="BC38" s="119"/>
      <c r="BD38" s="119"/>
      <c r="BE38" s="119"/>
      <c r="BF38" s="119"/>
      <c r="BG38" s="119"/>
      <c r="BH38" s="119"/>
      <c r="BI38" s="119"/>
      <c r="BJ38" s="119"/>
      <c r="BK38" s="119"/>
      <c r="BL38" s="119"/>
      <c r="BM38" s="119"/>
      <c r="BN38" s="119"/>
      <c r="BO38" s="119"/>
      <c r="BP38" s="119"/>
      <c r="BQ38" s="119"/>
      <c r="BR38" s="119"/>
      <c r="BS38" s="119"/>
      <c r="BT38" s="119"/>
      <c r="BU38" s="119"/>
      <c r="BV38" s="119"/>
      <c r="BW38" s="119"/>
      <c r="BX38" s="119"/>
      <c r="BY38" s="119"/>
      <c r="BZ38" s="119"/>
      <c r="CA38" s="119"/>
      <c r="CB38" s="119"/>
      <c r="CC38" s="119"/>
      <c r="CD38" s="119"/>
      <c r="CE38" s="119"/>
      <c r="CF38" s="119"/>
      <c r="CG38" s="119"/>
      <c r="CH38" s="119"/>
      <c r="CI38" s="119"/>
      <c r="CJ38" s="119"/>
      <c r="CK38" s="119"/>
      <c r="CL38" s="119"/>
      <c r="CM38" s="119"/>
      <c r="CN38" s="119"/>
      <c r="CO38" s="119"/>
      <c r="CP38" s="119"/>
      <c r="CQ38" s="119"/>
      <c r="CR38" s="119"/>
      <c r="CS38" s="119"/>
      <c r="CT38" s="119"/>
      <c r="CU38" s="119"/>
      <c r="CV38" s="119"/>
      <c r="CW38" s="119"/>
      <c r="CX38" s="119"/>
      <c r="CY38" s="119"/>
      <c r="CZ38" s="119"/>
      <c r="DA38" s="119"/>
      <c r="DB38" s="119"/>
      <c r="DC38" s="119"/>
      <c r="DD38" s="119"/>
      <c r="DE38" s="119"/>
      <c r="DF38" s="119"/>
      <c r="DG38" s="119"/>
      <c r="DH38" s="119"/>
      <c r="DI38" s="119"/>
      <c r="DJ38" s="119"/>
      <c r="DK38" s="119"/>
      <c r="DL38" s="119"/>
      <c r="DM38" s="119"/>
      <c r="DN38" s="119"/>
      <c r="DO38" s="119"/>
      <c r="DP38" s="119"/>
      <c r="DQ38" s="119"/>
      <c r="DR38" s="119"/>
      <c r="DS38" s="119"/>
      <c r="DT38" s="119"/>
      <c r="DU38" s="119"/>
      <c r="DV38" s="119"/>
      <c r="DW38" s="119"/>
      <c r="DX38" s="119"/>
      <c r="DY38" s="119"/>
      <c r="DZ38" s="119"/>
      <c r="EA38" s="119"/>
      <c r="EB38" s="119"/>
      <c r="EC38" s="119"/>
      <c r="ED38" s="119"/>
      <c r="EE38" s="119"/>
      <c r="EF38" s="119"/>
      <c r="EG38" s="119"/>
      <c r="EH38" s="119"/>
      <c r="EI38" s="119"/>
      <c r="EJ38" s="119"/>
      <c r="EK38" s="119"/>
      <c r="EL38" s="119"/>
      <c r="EM38" s="119"/>
      <c r="EN38" s="119"/>
      <c r="EO38" s="119"/>
      <c r="EP38" s="119"/>
      <c r="EQ38" s="119"/>
      <c r="ER38" s="119"/>
      <c r="ES38" s="119"/>
      <c r="ET38" s="119"/>
      <c r="EU38" s="119"/>
      <c r="EV38" s="119"/>
      <c r="EW38" s="119"/>
      <c r="EX38" s="119"/>
      <c r="EY38" s="119"/>
      <c r="EZ38" s="119"/>
      <c r="FA38" s="119"/>
      <c r="FB38" s="119"/>
      <c r="FC38" s="119"/>
      <c r="FD38" s="119"/>
      <c r="FE38" s="119"/>
      <c r="FF38" s="119"/>
      <c r="FG38" s="119"/>
      <c r="FH38" s="119"/>
      <c r="FI38" s="119"/>
      <c r="FJ38" s="119"/>
      <c r="FK38" s="119"/>
      <c r="FL38" s="119"/>
      <c r="FM38" s="119"/>
      <c r="FN38" s="119"/>
      <c r="FO38" s="119"/>
      <c r="FP38" s="119"/>
      <c r="FQ38" s="119"/>
      <c r="FR38" s="119"/>
      <c r="FS38" s="119"/>
      <c r="FT38" s="119"/>
      <c r="FU38" s="119"/>
      <c r="FV38" s="119"/>
      <c r="FW38" s="119"/>
      <c r="FX38" s="119"/>
      <c r="FY38" s="119"/>
      <c r="FZ38" s="119"/>
      <c r="GA38" s="119"/>
      <c r="GB38" s="119"/>
      <c r="GC38" s="119"/>
      <c r="GD38" s="119"/>
      <c r="GE38" s="119"/>
      <c r="GF38" s="119"/>
      <c r="GG38" s="119"/>
      <c r="GH38" s="119"/>
      <c r="GI38" s="119"/>
      <c r="GJ38" s="119"/>
      <c r="GK38" s="119"/>
      <c r="GL38" s="119"/>
      <c r="GM38" s="119"/>
      <c r="GN38" s="119"/>
      <c r="GO38" s="119"/>
      <c r="GP38" s="119"/>
      <c r="GQ38" s="119"/>
      <c r="GR38" s="119"/>
      <c r="GS38" s="119"/>
      <c r="GT38" s="119"/>
      <c r="GU38" s="119"/>
      <c r="GV38" s="119"/>
      <c r="GW38" s="119"/>
      <c r="GX38" s="119"/>
      <c r="GY38" s="119"/>
      <c r="GZ38" s="119"/>
      <c r="HA38" s="119"/>
      <c r="HB38" s="119"/>
      <c r="HC38" s="119"/>
      <c r="HD38" s="119"/>
      <c r="HE38" s="119"/>
      <c r="HF38" s="119"/>
      <c r="HG38" s="119"/>
      <c r="HH38" s="119"/>
      <c r="HI38" s="119"/>
      <c r="HJ38" s="119"/>
      <c r="HK38" s="119"/>
      <c r="HL38" s="119"/>
      <c r="HM38" s="119"/>
      <c r="HN38" s="119"/>
      <c r="HO38" s="119"/>
      <c r="HP38" s="119"/>
      <c r="HQ38" s="119"/>
      <c r="HR38" s="119"/>
      <c r="HS38" s="119"/>
      <c r="HT38" s="119"/>
      <c r="HU38" s="119"/>
      <c r="HV38" s="119"/>
      <c r="HW38" s="119"/>
      <c r="HX38" s="119"/>
      <c r="HY38" s="119"/>
      <c r="HZ38" s="119"/>
      <c r="IA38" s="119"/>
      <c r="IB38" s="119"/>
      <c r="IC38" s="119"/>
      <c r="ID38" s="119"/>
      <c r="IE38" s="119"/>
      <c r="IF38" s="119"/>
      <c r="IG38" s="119"/>
      <c r="IH38" s="119"/>
      <c r="II38" s="119"/>
      <c r="IJ38" s="119"/>
      <c r="IK38" s="119"/>
      <c r="IL38" s="119"/>
      <c r="IM38" s="119"/>
      <c r="IN38" s="119"/>
      <c r="IO38" s="119"/>
      <c r="IP38" s="119"/>
      <c r="IQ38" s="119"/>
      <c r="IR38" s="119"/>
      <c r="IS38" s="119"/>
      <c r="IT38" s="119"/>
      <c r="IU38" s="119"/>
    </row>
    <row r="39" spans="1:255" ht="14.25" x14ac:dyDescent="0.2">
      <c r="A39" s="155" t="s">
        <v>202</v>
      </c>
      <c r="C39" s="110">
        <v>16171</v>
      </c>
      <c r="E39" s="110">
        <v>17644</v>
      </c>
      <c r="F39" s="110"/>
      <c r="G39" s="134">
        <v>30570</v>
      </c>
      <c r="H39" s="110">
        <v>13456</v>
      </c>
      <c r="I39" s="110"/>
      <c r="J39" s="110">
        <v>31401</v>
      </c>
      <c r="K39" s="136">
        <f>SUM(B39:J39)</f>
        <v>109242</v>
      </c>
      <c r="L39" s="119"/>
      <c r="M39" s="119"/>
      <c r="N39" s="119"/>
      <c r="O39" s="119"/>
      <c r="P39" s="119"/>
      <c r="Q39" s="119"/>
      <c r="R39" s="119"/>
      <c r="S39" s="119"/>
      <c r="T39" s="119"/>
      <c r="U39" s="119"/>
      <c r="V39" s="119"/>
      <c r="W39" s="119"/>
      <c r="X39" s="119"/>
      <c r="Y39" s="119"/>
      <c r="Z39" s="119"/>
      <c r="AA39" s="119"/>
      <c r="AB39" s="119"/>
      <c r="AC39" s="119"/>
      <c r="AD39" s="119"/>
      <c r="AE39" s="119"/>
      <c r="AF39" s="119"/>
      <c r="AG39" s="119"/>
      <c r="AH39" s="119"/>
      <c r="AI39" s="119"/>
      <c r="AJ39" s="119"/>
      <c r="AK39" s="119"/>
      <c r="AL39" s="119"/>
      <c r="AM39" s="119"/>
      <c r="AN39" s="119"/>
      <c r="AO39" s="119"/>
      <c r="AP39" s="119"/>
      <c r="AQ39" s="119"/>
      <c r="AR39" s="119"/>
      <c r="AS39" s="119"/>
      <c r="AT39" s="119"/>
      <c r="AU39" s="119"/>
      <c r="AV39" s="119"/>
      <c r="AW39" s="119"/>
      <c r="AX39" s="119"/>
      <c r="AY39" s="119"/>
      <c r="AZ39" s="119"/>
      <c r="BA39" s="119"/>
      <c r="BB39" s="119"/>
      <c r="BC39" s="119"/>
      <c r="BD39" s="119"/>
      <c r="BE39" s="119"/>
      <c r="BF39" s="119"/>
      <c r="BG39" s="119"/>
      <c r="BH39" s="119"/>
      <c r="BI39" s="119"/>
      <c r="BJ39" s="119"/>
      <c r="BK39" s="119"/>
      <c r="BL39" s="119"/>
      <c r="BM39" s="119"/>
      <c r="BN39" s="119"/>
      <c r="BO39" s="119"/>
      <c r="BP39" s="119"/>
      <c r="BQ39" s="119"/>
      <c r="BR39" s="119"/>
      <c r="BS39" s="119"/>
      <c r="BT39" s="119"/>
      <c r="BU39" s="119"/>
      <c r="BV39" s="119"/>
      <c r="BW39" s="119"/>
      <c r="BX39" s="119"/>
      <c r="BY39" s="119"/>
      <c r="BZ39" s="119"/>
      <c r="CA39" s="119"/>
      <c r="CB39" s="119"/>
      <c r="CC39" s="119"/>
      <c r="CD39" s="119"/>
      <c r="CE39" s="119"/>
      <c r="CF39" s="119"/>
      <c r="CG39" s="119"/>
      <c r="CH39" s="119"/>
      <c r="CI39" s="119"/>
      <c r="CJ39" s="119"/>
      <c r="CK39" s="119"/>
      <c r="CL39" s="119"/>
      <c r="CM39" s="119"/>
      <c r="CN39" s="119"/>
      <c r="CO39" s="119"/>
      <c r="CP39" s="119"/>
      <c r="CQ39" s="119"/>
      <c r="CR39" s="119"/>
      <c r="CS39" s="119"/>
      <c r="CT39" s="119"/>
      <c r="CU39" s="119"/>
      <c r="CV39" s="119"/>
      <c r="CW39" s="119"/>
      <c r="CX39" s="119"/>
      <c r="CY39" s="119"/>
      <c r="CZ39" s="119"/>
      <c r="DA39" s="119"/>
      <c r="DB39" s="119"/>
      <c r="DC39" s="119"/>
      <c r="DD39" s="119"/>
      <c r="DE39" s="119"/>
      <c r="DF39" s="119"/>
      <c r="DG39" s="119"/>
      <c r="DH39" s="119"/>
      <c r="DI39" s="119"/>
      <c r="DJ39" s="119"/>
      <c r="DK39" s="119"/>
      <c r="DL39" s="119"/>
      <c r="DM39" s="119"/>
      <c r="DN39" s="119"/>
      <c r="DO39" s="119"/>
      <c r="DP39" s="119"/>
      <c r="DQ39" s="119"/>
      <c r="DR39" s="119"/>
      <c r="DS39" s="119"/>
      <c r="DT39" s="119"/>
      <c r="DU39" s="119"/>
      <c r="DV39" s="119"/>
      <c r="DW39" s="119"/>
      <c r="DX39" s="119"/>
      <c r="DY39" s="119"/>
      <c r="DZ39" s="119"/>
      <c r="EA39" s="119"/>
      <c r="EB39" s="119"/>
      <c r="EC39" s="119"/>
      <c r="ED39" s="119"/>
      <c r="EE39" s="119"/>
      <c r="EF39" s="119"/>
      <c r="EG39" s="119"/>
      <c r="EH39" s="119"/>
      <c r="EI39" s="119"/>
      <c r="EJ39" s="119"/>
      <c r="EK39" s="119"/>
      <c r="EL39" s="119"/>
      <c r="EM39" s="119"/>
      <c r="EN39" s="119"/>
      <c r="EO39" s="119"/>
      <c r="EP39" s="119"/>
      <c r="EQ39" s="119"/>
      <c r="ER39" s="119"/>
      <c r="ES39" s="119"/>
      <c r="ET39" s="119"/>
      <c r="EU39" s="119"/>
      <c r="EV39" s="119"/>
      <c r="EW39" s="119"/>
      <c r="EX39" s="119"/>
      <c r="EY39" s="119"/>
      <c r="EZ39" s="119"/>
      <c r="FA39" s="119"/>
      <c r="FB39" s="119"/>
      <c r="FC39" s="119"/>
      <c r="FD39" s="119"/>
      <c r="FE39" s="119"/>
      <c r="FF39" s="119"/>
      <c r="FG39" s="119"/>
      <c r="FH39" s="119"/>
      <c r="FI39" s="119"/>
      <c r="FJ39" s="119"/>
      <c r="FK39" s="119"/>
      <c r="FL39" s="119"/>
      <c r="FM39" s="119"/>
      <c r="FN39" s="119"/>
      <c r="FO39" s="119"/>
      <c r="FP39" s="119"/>
      <c r="FQ39" s="119"/>
      <c r="FR39" s="119"/>
      <c r="FS39" s="119"/>
      <c r="FT39" s="119"/>
      <c r="FU39" s="119"/>
      <c r="FV39" s="119"/>
      <c r="FW39" s="119"/>
      <c r="FX39" s="119"/>
      <c r="FY39" s="119"/>
      <c r="FZ39" s="119"/>
      <c r="GA39" s="119"/>
      <c r="GB39" s="119"/>
      <c r="GC39" s="119"/>
      <c r="GD39" s="119"/>
      <c r="GE39" s="119"/>
      <c r="GF39" s="119"/>
      <c r="GG39" s="119"/>
      <c r="GH39" s="119"/>
      <c r="GI39" s="119"/>
      <c r="GJ39" s="119"/>
      <c r="GK39" s="119"/>
      <c r="GL39" s="119"/>
      <c r="GM39" s="119"/>
      <c r="GN39" s="119"/>
      <c r="GO39" s="119"/>
      <c r="GP39" s="119"/>
      <c r="GQ39" s="119"/>
      <c r="GR39" s="119"/>
      <c r="GS39" s="119"/>
      <c r="GT39" s="119"/>
      <c r="GU39" s="119"/>
      <c r="GV39" s="119"/>
      <c r="GW39" s="119"/>
      <c r="GX39" s="119"/>
      <c r="GY39" s="119"/>
      <c r="GZ39" s="119"/>
      <c r="HA39" s="119"/>
      <c r="HB39" s="119"/>
      <c r="HC39" s="119"/>
      <c r="HD39" s="119"/>
      <c r="HE39" s="119"/>
      <c r="HF39" s="119"/>
      <c r="HG39" s="119"/>
      <c r="HH39" s="119"/>
      <c r="HI39" s="119"/>
      <c r="HJ39" s="119"/>
      <c r="HK39" s="119"/>
      <c r="HL39" s="119"/>
      <c r="HM39" s="119"/>
      <c r="HN39" s="119"/>
      <c r="HO39" s="119"/>
      <c r="HP39" s="119"/>
      <c r="HQ39" s="119"/>
      <c r="HR39" s="119"/>
      <c r="HS39" s="119"/>
      <c r="HT39" s="119"/>
      <c r="HU39" s="119"/>
      <c r="HV39" s="119"/>
      <c r="HW39" s="119"/>
      <c r="HX39" s="119"/>
      <c r="HY39" s="119"/>
      <c r="HZ39" s="119"/>
      <c r="IA39" s="119"/>
      <c r="IB39" s="119"/>
      <c r="IC39" s="119"/>
      <c r="ID39" s="119"/>
      <c r="IE39" s="119"/>
      <c r="IF39" s="119"/>
      <c r="IG39" s="119"/>
      <c r="IH39" s="119"/>
      <c r="II39" s="119"/>
      <c r="IJ39" s="119"/>
      <c r="IK39" s="119"/>
      <c r="IL39" s="119"/>
      <c r="IM39" s="119"/>
      <c r="IN39" s="119"/>
      <c r="IO39" s="119"/>
      <c r="IP39" s="119"/>
      <c r="IQ39" s="119"/>
      <c r="IR39" s="119"/>
      <c r="IS39" s="119"/>
      <c r="IT39" s="119"/>
      <c r="IU39" s="119"/>
    </row>
    <row r="40" spans="1:255" x14ac:dyDescent="0.2">
      <c r="F40" s="110"/>
      <c r="G40" s="110"/>
      <c r="H40" s="110"/>
      <c r="I40" s="110"/>
      <c r="J40" s="110"/>
      <c r="K40" s="110"/>
      <c r="L40" s="119"/>
      <c r="M40" s="119"/>
      <c r="N40" s="119"/>
      <c r="O40" s="119"/>
      <c r="P40" s="119"/>
      <c r="Q40" s="119"/>
      <c r="R40" s="119"/>
      <c r="S40" s="119"/>
      <c r="T40" s="119"/>
      <c r="U40" s="119"/>
      <c r="V40" s="119"/>
      <c r="W40" s="119"/>
      <c r="X40" s="119"/>
      <c r="Y40" s="119"/>
      <c r="Z40" s="119"/>
      <c r="AA40" s="119"/>
      <c r="AB40" s="119"/>
      <c r="AC40" s="119"/>
      <c r="AD40" s="119"/>
      <c r="AE40" s="119"/>
      <c r="AF40" s="119"/>
      <c r="AG40" s="119"/>
      <c r="AH40" s="119"/>
      <c r="AI40" s="119"/>
      <c r="AJ40" s="119"/>
      <c r="AK40" s="119"/>
      <c r="AL40" s="119"/>
      <c r="AM40" s="119"/>
      <c r="AN40" s="119"/>
      <c r="AO40" s="119"/>
      <c r="AP40" s="119"/>
      <c r="AQ40" s="119"/>
      <c r="AR40" s="119"/>
      <c r="AS40" s="119"/>
      <c r="AT40" s="119"/>
      <c r="AU40" s="119"/>
      <c r="AV40" s="119"/>
      <c r="AW40" s="119"/>
      <c r="AX40" s="119"/>
      <c r="AY40" s="119"/>
      <c r="AZ40" s="119"/>
      <c r="BA40" s="119"/>
      <c r="BB40" s="119"/>
      <c r="BC40" s="119"/>
      <c r="BD40" s="119"/>
      <c r="BE40" s="119"/>
      <c r="BF40" s="119"/>
      <c r="BG40" s="119"/>
      <c r="BH40" s="119"/>
      <c r="BI40" s="119"/>
      <c r="BJ40" s="119"/>
      <c r="BK40" s="119"/>
      <c r="BL40" s="119"/>
      <c r="BM40" s="119"/>
      <c r="BN40" s="119"/>
      <c r="BO40" s="119"/>
      <c r="BP40" s="119"/>
      <c r="BQ40" s="119"/>
      <c r="BR40" s="119"/>
      <c r="BS40" s="119"/>
      <c r="BT40" s="119"/>
      <c r="BU40" s="119"/>
      <c r="BV40" s="119"/>
      <c r="BW40" s="119"/>
      <c r="BX40" s="119"/>
      <c r="BY40" s="119"/>
      <c r="BZ40" s="119"/>
      <c r="CA40" s="119"/>
      <c r="CB40" s="119"/>
      <c r="CC40" s="119"/>
      <c r="CD40" s="119"/>
      <c r="CE40" s="119"/>
      <c r="CF40" s="119"/>
      <c r="CG40" s="119"/>
      <c r="CH40" s="119"/>
      <c r="CI40" s="119"/>
      <c r="CJ40" s="119"/>
      <c r="CK40" s="119"/>
      <c r="CL40" s="119"/>
      <c r="CM40" s="119"/>
      <c r="CN40" s="119"/>
      <c r="CO40" s="119"/>
      <c r="CP40" s="119"/>
      <c r="CQ40" s="119"/>
      <c r="CR40" s="119"/>
      <c r="CS40" s="119"/>
      <c r="CT40" s="119"/>
      <c r="CU40" s="119"/>
      <c r="CV40" s="119"/>
      <c r="CW40" s="119"/>
      <c r="CX40" s="119"/>
      <c r="CY40" s="119"/>
      <c r="CZ40" s="119"/>
      <c r="DA40" s="119"/>
      <c r="DB40" s="119"/>
      <c r="DC40" s="119"/>
      <c r="DD40" s="119"/>
      <c r="DE40" s="119"/>
      <c r="DF40" s="119"/>
      <c r="DG40" s="119"/>
      <c r="DH40" s="119"/>
      <c r="DI40" s="119"/>
      <c r="DJ40" s="119"/>
      <c r="DK40" s="119"/>
      <c r="DL40" s="119"/>
      <c r="DM40" s="119"/>
      <c r="DN40" s="119"/>
      <c r="DO40" s="119"/>
      <c r="DP40" s="119"/>
      <c r="DQ40" s="119"/>
      <c r="DR40" s="119"/>
      <c r="DS40" s="119"/>
      <c r="DT40" s="119"/>
      <c r="DU40" s="119"/>
      <c r="DV40" s="119"/>
      <c r="DW40" s="119"/>
      <c r="DX40" s="119"/>
      <c r="DY40" s="119"/>
      <c r="DZ40" s="119"/>
      <c r="EA40" s="119"/>
      <c r="EB40" s="119"/>
      <c r="EC40" s="119"/>
      <c r="ED40" s="119"/>
      <c r="EE40" s="119"/>
      <c r="EF40" s="119"/>
      <c r="EG40" s="119"/>
      <c r="EH40" s="119"/>
      <c r="EI40" s="119"/>
      <c r="EJ40" s="119"/>
      <c r="EK40" s="119"/>
      <c r="EL40" s="119"/>
      <c r="EM40" s="119"/>
      <c r="EN40" s="119"/>
      <c r="EO40" s="119"/>
      <c r="EP40" s="119"/>
      <c r="EQ40" s="119"/>
      <c r="ER40" s="119"/>
      <c r="ES40" s="119"/>
      <c r="ET40" s="119"/>
      <c r="EU40" s="119"/>
      <c r="EV40" s="119"/>
      <c r="EW40" s="119"/>
      <c r="EX40" s="119"/>
      <c r="EY40" s="119"/>
      <c r="EZ40" s="119"/>
      <c r="FA40" s="119"/>
      <c r="FB40" s="119"/>
      <c r="FC40" s="119"/>
      <c r="FD40" s="119"/>
      <c r="FE40" s="119"/>
      <c r="FF40" s="119"/>
      <c r="FG40" s="119"/>
      <c r="FH40" s="119"/>
      <c r="FI40" s="119"/>
      <c r="FJ40" s="119"/>
      <c r="FK40" s="119"/>
      <c r="FL40" s="119"/>
      <c r="FM40" s="119"/>
      <c r="FN40" s="119"/>
      <c r="FO40" s="119"/>
      <c r="FP40" s="119"/>
      <c r="FQ40" s="119"/>
      <c r="FR40" s="119"/>
      <c r="FS40" s="119"/>
      <c r="FT40" s="119"/>
      <c r="FU40" s="119"/>
      <c r="FV40" s="119"/>
      <c r="FW40" s="119"/>
      <c r="FX40" s="119"/>
      <c r="FY40" s="119"/>
      <c r="FZ40" s="119"/>
      <c r="GA40" s="119"/>
      <c r="GB40" s="119"/>
      <c r="GC40" s="119"/>
      <c r="GD40" s="119"/>
      <c r="GE40" s="119"/>
      <c r="GF40" s="119"/>
      <c r="GG40" s="119"/>
      <c r="GH40" s="119"/>
      <c r="GI40" s="119"/>
      <c r="GJ40" s="119"/>
      <c r="GK40" s="119"/>
      <c r="GL40" s="119"/>
      <c r="GM40" s="119"/>
      <c r="GN40" s="119"/>
      <c r="GO40" s="119"/>
      <c r="GP40" s="119"/>
      <c r="GQ40" s="119"/>
      <c r="GR40" s="119"/>
      <c r="GS40" s="119"/>
      <c r="GT40" s="119"/>
      <c r="GU40" s="119"/>
      <c r="GV40" s="119"/>
      <c r="GW40" s="119"/>
      <c r="GX40" s="119"/>
      <c r="GY40" s="119"/>
      <c r="GZ40" s="119"/>
      <c r="HA40" s="119"/>
      <c r="HB40" s="119"/>
      <c r="HC40" s="119"/>
      <c r="HD40" s="119"/>
      <c r="HE40" s="119"/>
      <c r="HF40" s="119"/>
      <c r="HG40" s="119"/>
      <c r="HH40" s="119"/>
      <c r="HI40" s="119"/>
      <c r="HJ40" s="119"/>
      <c r="HK40" s="119"/>
      <c r="HL40" s="119"/>
      <c r="HM40" s="119"/>
      <c r="HN40" s="119"/>
      <c r="HO40" s="119"/>
      <c r="HP40" s="119"/>
      <c r="HQ40" s="119"/>
      <c r="HR40" s="119"/>
      <c r="HS40" s="119"/>
      <c r="HT40" s="119"/>
      <c r="HU40" s="119"/>
      <c r="HV40" s="119"/>
      <c r="HW40" s="119"/>
      <c r="HX40" s="119"/>
      <c r="HY40" s="119"/>
      <c r="HZ40" s="119"/>
      <c r="IA40" s="119"/>
      <c r="IB40" s="119"/>
      <c r="IC40" s="119"/>
      <c r="ID40" s="119"/>
      <c r="IE40" s="119"/>
      <c r="IF40" s="119"/>
      <c r="IG40" s="119"/>
      <c r="IH40" s="119"/>
      <c r="II40" s="119"/>
      <c r="IJ40" s="119"/>
      <c r="IK40" s="119"/>
      <c r="IL40" s="119"/>
      <c r="IM40" s="119"/>
      <c r="IN40" s="119"/>
      <c r="IO40" s="119"/>
      <c r="IP40" s="119"/>
      <c r="IQ40" s="119"/>
      <c r="IR40" s="119"/>
      <c r="IS40" s="119"/>
      <c r="IT40" s="119"/>
      <c r="IU40" s="119"/>
    </row>
    <row r="41" spans="1:255" ht="15" customHeight="1" x14ac:dyDescent="0.25">
      <c r="A41" s="153" t="s">
        <v>44</v>
      </c>
      <c r="B41" s="119"/>
      <c r="C41" s="119"/>
      <c r="D41" s="119"/>
      <c r="E41" s="119"/>
      <c r="F41" s="122"/>
      <c r="G41" s="122"/>
      <c r="H41" s="122"/>
      <c r="I41" s="122"/>
      <c r="J41" s="122"/>
      <c r="K41" s="131"/>
    </row>
    <row r="42" spans="1:255" ht="12" customHeight="1" x14ac:dyDescent="0.2">
      <c r="B42" s="119"/>
      <c r="C42" s="119"/>
      <c r="D42" s="119"/>
      <c r="E42" s="119"/>
      <c r="F42" s="122"/>
      <c r="G42" s="122"/>
      <c r="H42" s="122"/>
      <c r="I42" s="122"/>
      <c r="J42" s="122"/>
      <c r="K42" s="131"/>
    </row>
    <row r="43" spans="1:255" ht="12" customHeight="1" x14ac:dyDescent="0.2">
      <c r="A43" s="140" t="s">
        <v>73</v>
      </c>
      <c r="B43" s="119"/>
      <c r="C43" s="119"/>
      <c r="D43" s="119"/>
      <c r="E43" s="119"/>
      <c r="F43" s="122"/>
      <c r="G43" s="122"/>
      <c r="H43" s="122"/>
      <c r="I43" s="122"/>
      <c r="J43" s="122"/>
      <c r="K43" s="131"/>
    </row>
    <row r="44" spans="1:255" ht="12" customHeight="1" x14ac:dyDescent="0.2">
      <c r="B44" s="119"/>
      <c r="C44" s="119"/>
      <c r="D44" s="119"/>
      <c r="E44" s="119"/>
      <c r="F44" s="122"/>
      <c r="G44" s="122"/>
      <c r="H44" s="122"/>
      <c r="I44" s="122"/>
      <c r="J44" s="122"/>
      <c r="K44" s="131"/>
    </row>
    <row r="45" spans="1:255" ht="12" customHeight="1" x14ac:dyDescent="0.2">
      <c r="A45" s="114" t="s">
        <v>74</v>
      </c>
      <c r="B45" s="119">
        <v>54.805299320000003</v>
      </c>
      <c r="C45" s="119">
        <v>56.74</v>
      </c>
      <c r="D45" s="125">
        <v>75.677072469999999</v>
      </c>
      <c r="E45" s="119">
        <v>126.7</v>
      </c>
      <c r="F45" s="128"/>
      <c r="G45" s="128">
        <v>31.11</v>
      </c>
      <c r="H45" s="128">
        <v>97.930999999999997</v>
      </c>
      <c r="I45" s="128">
        <v>112.48301413999999</v>
      </c>
      <c r="J45" s="119">
        <v>291.49424793000003</v>
      </c>
      <c r="K45" s="131">
        <f t="shared" ref="K45:K54" si="3">SUM(B45:J45)</f>
        <v>846.94063386000005</v>
      </c>
    </row>
    <row r="46" spans="1:255" ht="12" customHeight="1" x14ac:dyDescent="0.2">
      <c r="A46" s="114" t="s">
        <v>75</v>
      </c>
      <c r="B46" s="119">
        <v>10.71619301</v>
      </c>
      <c r="C46" s="119"/>
      <c r="D46" s="119"/>
      <c r="E46" s="119"/>
      <c r="F46" s="128"/>
      <c r="G46" s="128">
        <v>8.94</v>
      </c>
      <c r="H46" s="128"/>
      <c r="I46" s="128">
        <v>105.43572938</v>
      </c>
      <c r="J46" s="119">
        <v>78.381176819999993</v>
      </c>
      <c r="K46" s="131">
        <f t="shared" si="3"/>
        <v>203.47309920999999</v>
      </c>
    </row>
    <row r="47" spans="1:255" ht="12" customHeight="1" x14ac:dyDescent="0.2">
      <c r="A47" s="114" t="s">
        <v>105</v>
      </c>
      <c r="B47" s="119"/>
      <c r="C47" s="119">
        <v>366.03</v>
      </c>
      <c r="D47" s="119"/>
      <c r="E47" s="119">
        <v>302.75</v>
      </c>
      <c r="F47" s="128"/>
      <c r="G47" s="128">
        <v>1262.23</v>
      </c>
      <c r="H47" s="128"/>
      <c r="I47" s="128">
        <v>32.988766050000002</v>
      </c>
      <c r="J47" s="122"/>
      <c r="K47" s="131">
        <f t="shared" si="3"/>
        <v>1963.9987660500001</v>
      </c>
    </row>
    <row r="48" spans="1:255" ht="12" customHeight="1" x14ac:dyDescent="0.2">
      <c r="A48" s="114" t="s">
        <v>107</v>
      </c>
      <c r="B48" s="119">
        <v>3.2901060499999999</v>
      </c>
      <c r="C48" s="119">
        <v>75.319999999999993</v>
      </c>
      <c r="D48" s="119">
        <v>1222.83855821</v>
      </c>
      <c r="E48" s="119">
        <v>2.98</v>
      </c>
      <c r="F48" s="128"/>
      <c r="G48" s="128">
        <v>89.17</v>
      </c>
      <c r="H48" s="128">
        <v>76.028000000000006</v>
      </c>
      <c r="I48" s="128"/>
      <c r="J48" s="122">
        <v>5.3470065300000007</v>
      </c>
      <c r="K48" s="131">
        <f t="shared" si="3"/>
        <v>1474.9736707900001</v>
      </c>
    </row>
    <row r="49" spans="1:11" ht="12" customHeight="1" x14ac:dyDescent="0.2">
      <c r="A49" s="114" t="s">
        <v>106</v>
      </c>
      <c r="B49" s="119"/>
      <c r="C49" s="119"/>
      <c r="D49" s="125">
        <v>1482.5538539000001</v>
      </c>
      <c r="E49" s="119"/>
      <c r="F49" s="128"/>
      <c r="G49" s="128"/>
      <c r="H49" s="128"/>
      <c r="I49" s="128">
        <v>3.19971315</v>
      </c>
      <c r="J49" s="122"/>
      <c r="K49" s="131">
        <f t="shared" si="3"/>
        <v>1485.7535670500001</v>
      </c>
    </row>
    <row r="50" spans="1:11" ht="12" customHeight="1" x14ac:dyDescent="0.2">
      <c r="A50" s="114" t="s">
        <v>108</v>
      </c>
      <c r="B50" s="119"/>
      <c r="C50" s="119">
        <v>183.27</v>
      </c>
      <c r="D50" s="119">
        <v>997.44922315999997</v>
      </c>
      <c r="E50" s="119">
        <v>567.88</v>
      </c>
      <c r="F50" s="128"/>
      <c r="G50" s="128">
        <v>467.89</v>
      </c>
      <c r="H50" s="128">
        <v>84.116</v>
      </c>
      <c r="I50" s="128"/>
      <c r="J50" s="119">
        <v>736.92790745000002</v>
      </c>
      <c r="K50" s="131">
        <f t="shared" si="3"/>
        <v>3037.5331306099997</v>
      </c>
    </row>
    <row r="51" spans="1:11" ht="12" customHeight="1" x14ac:dyDescent="0.2">
      <c r="A51" s="114" t="s">
        <v>78</v>
      </c>
      <c r="B51" s="119"/>
      <c r="C51" s="119"/>
      <c r="D51" s="119"/>
      <c r="E51" s="119"/>
      <c r="F51" s="128"/>
      <c r="G51" s="128">
        <v>3.8</v>
      </c>
      <c r="H51" s="128">
        <v>6.6280000000000001</v>
      </c>
      <c r="I51" s="128"/>
      <c r="J51" s="122">
        <v>7.0089034800000007</v>
      </c>
      <c r="K51" s="131">
        <f t="shared" si="3"/>
        <v>17.436903480000002</v>
      </c>
    </row>
    <row r="52" spans="1:11" ht="12" customHeight="1" x14ac:dyDescent="0.2">
      <c r="A52" s="114" t="s">
        <v>79</v>
      </c>
      <c r="B52" s="119"/>
      <c r="C52" s="119"/>
      <c r="D52" s="119"/>
      <c r="E52" s="119"/>
      <c r="F52" s="128"/>
      <c r="G52" s="128">
        <v>4.0970000000000004</v>
      </c>
      <c r="H52" s="128"/>
      <c r="I52" s="128"/>
      <c r="J52" s="122">
        <v>4.5477182599999999</v>
      </c>
      <c r="K52" s="131">
        <f t="shared" si="3"/>
        <v>8.6447182600000012</v>
      </c>
    </row>
    <row r="53" spans="1:11" ht="12" customHeight="1" x14ac:dyDescent="0.2">
      <c r="B53" s="119"/>
      <c r="C53" s="119"/>
      <c r="D53" s="119"/>
      <c r="E53" s="119"/>
      <c r="F53" s="122"/>
      <c r="G53" s="122"/>
      <c r="H53" s="122"/>
      <c r="I53" s="122"/>
      <c r="J53" s="122"/>
      <c r="K53" s="131"/>
    </row>
    <row r="54" spans="1:11" s="140" customFormat="1" ht="12" customHeight="1" x14ac:dyDescent="0.2">
      <c r="A54" s="155" t="s">
        <v>12</v>
      </c>
      <c r="B54" s="131">
        <f>SUM(B45:B52)</f>
        <v>68.811598380000007</v>
      </c>
      <c r="C54" s="131">
        <f>SUM(C45:C52)</f>
        <v>681.36</v>
      </c>
      <c r="D54" s="131">
        <f>SUM(D45:D52)</f>
        <v>3778.5187077399996</v>
      </c>
      <c r="E54" s="131">
        <f>SUM(E45:E52)</f>
        <v>1000.31</v>
      </c>
      <c r="F54" s="132">
        <f>SUM(F44:F52)</f>
        <v>0</v>
      </c>
      <c r="G54" s="132">
        <f>SUM(G45:G52)</f>
        <v>1867.2370000000001</v>
      </c>
      <c r="H54" s="132">
        <f>SUM(H45:H52)</f>
        <v>264.70299999999997</v>
      </c>
      <c r="I54" s="132">
        <f>SUM(I45:I52)</f>
        <v>254.10722272000001</v>
      </c>
      <c r="J54" s="132">
        <f>SUM(J45:J52)</f>
        <v>1123.70696047</v>
      </c>
      <c r="K54" s="131">
        <f t="shared" si="3"/>
        <v>9038.7544893099985</v>
      </c>
    </row>
    <row r="55" spans="1:11" ht="12" customHeight="1" x14ac:dyDescent="0.2">
      <c r="B55" s="119"/>
      <c r="C55" s="119"/>
      <c r="D55" s="119"/>
      <c r="E55" s="119"/>
      <c r="F55" s="122"/>
      <c r="G55" s="122"/>
      <c r="H55" s="122"/>
      <c r="I55" s="122"/>
      <c r="J55" s="122"/>
      <c r="K55" s="131"/>
    </row>
    <row r="56" spans="1:11" ht="12" customHeight="1" x14ac:dyDescent="0.2">
      <c r="A56" s="140" t="s">
        <v>45</v>
      </c>
      <c r="B56" s="119"/>
      <c r="C56" s="119"/>
      <c r="D56" s="119"/>
      <c r="E56" s="119"/>
      <c r="F56" s="122"/>
      <c r="G56" s="122"/>
      <c r="H56" s="122"/>
      <c r="I56" s="122"/>
      <c r="J56" s="122"/>
      <c r="K56" s="131"/>
    </row>
    <row r="57" spans="1:11" ht="12" customHeight="1" x14ac:dyDescent="0.2">
      <c r="B57" s="119"/>
      <c r="C57" s="119"/>
      <c r="D57" s="119"/>
      <c r="E57" s="119"/>
      <c r="F57" s="122"/>
      <c r="G57" s="122"/>
      <c r="H57" s="122"/>
      <c r="I57" s="122"/>
      <c r="J57" s="122"/>
      <c r="K57" s="131"/>
    </row>
    <row r="58" spans="1:11" ht="12" customHeight="1" x14ac:dyDescent="0.2">
      <c r="A58" s="114" t="s">
        <v>46</v>
      </c>
      <c r="B58" s="119">
        <v>871.05871483999999</v>
      </c>
      <c r="C58" s="119">
        <v>1645.07</v>
      </c>
      <c r="D58" s="125">
        <v>1267.41685598</v>
      </c>
      <c r="E58" s="119">
        <v>538.35</v>
      </c>
      <c r="F58" s="119">
        <f>2031.558148+425.413433</f>
        <v>2456.9715810000002</v>
      </c>
      <c r="G58" s="119">
        <v>2677.13</v>
      </c>
      <c r="H58" s="119">
        <v>3065.1120000000001</v>
      </c>
      <c r="I58" s="119">
        <v>1526.93832471</v>
      </c>
      <c r="J58" s="119">
        <v>3495.3770017800002</v>
      </c>
      <c r="K58" s="131">
        <f>SUM(B58:J58)</f>
        <v>17543.42447831</v>
      </c>
    </row>
    <row r="59" spans="1:11" ht="12" customHeight="1" x14ac:dyDescent="0.2">
      <c r="A59" s="114" t="s">
        <v>47</v>
      </c>
      <c r="B59" s="119">
        <v>131.17294394999999</v>
      </c>
      <c r="C59" s="119"/>
      <c r="D59" s="119"/>
      <c r="E59" s="119"/>
      <c r="F59" s="119">
        <v>116.501499</v>
      </c>
      <c r="G59" s="119">
        <v>208.92</v>
      </c>
      <c r="H59" s="119">
        <v>9.2439999999999998</v>
      </c>
      <c r="I59" s="119">
        <v>170.92540306000001</v>
      </c>
      <c r="J59" s="119">
        <v>461.15454325000002</v>
      </c>
      <c r="K59" s="131">
        <f>SUM(B59:J59)</f>
        <v>1097.9183892599999</v>
      </c>
    </row>
    <row r="60" spans="1:11" ht="12" customHeight="1" x14ac:dyDescent="0.2">
      <c r="B60" s="119"/>
      <c r="C60" s="119"/>
      <c r="D60" s="119"/>
      <c r="E60" s="119"/>
      <c r="F60" s="122"/>
      <c r="G60" s="122"/>
      <c r="H60" s="122"/>
      <c r="I60" s="122"/>
      <c r="J60" s="122"/>
      <c r="K60" s="131"/>
    </row>
    <row r="61" spans="1:11" s="140" customFormat="1" ht="12" customHeight="1" x14ac:dyDescent="0.2">
      <c r="A61" s="140" t="s">
        <v>12</v>
      </c>
      <c r="B61" s="131">
        <f>SUM(B58:B59)</f>
        <v>1002.23165879</v>
      </c>
      <c r="C61" s="131">
        <f>SUM(C58:C59)</f>
        <v>1645.07</v>
      </c>
      <c r="D61" s="131">
        <f>SUM(D58:D59)</f>
        <v>1267.41685598</v>
      </c>
      <c r="E61" s="131">
        <f t="shared" ref="E61:J61" si="4">SUM(E58:E59)</f>
        <v>538.35</v>
      </c>
      <c r="F61" s="132">
        <f t="shared" si="4"/>
        <v>2573.4730800000002</v>
      </c>
      <c r="G61" s="132">
        <f t="shared" si="4"/>
        <v>2886.05</v>
      </c>
      <c r="H61" s="132">
        <f t="shared" si="4"/>
        <v>3074.3560000000002</v>
      </c>
      <c r="I61" s="132">
        <f t="shared" si="4"/>
        <v>1697.86372777</v>
      </c>
      <c r="J61" s="132">
        <f t="shared" si="4"/>
        <v>3956.5315450300004</v>
      </c>
      <c r="K61" s="131">
        <f>SUM(B61:J61)</f>
        <v>18641.342867570002</v>
      </c>
    </row>
    <row r="62" spans="1:11" ht="12" customHeight="1" x14ac:dyDescent="0.2">
      <c r="B62" s="119"/>
      <c r="C62" s="119"/>
      <c r="D62" s="119"/>
      <c r="E62" s="119"/>
      <c r="F62" s="122"/>
      <c r="G62" s="122"/>
      <c r="H62" s="122"/>
      <c r="I62" s="122"/>
      <c r="J62" s="122"/>
      <c r="K62" s="131"/>
    </row>
    <row r="63" spans="1:11" ht="12" customHeight="1" x14ac:dyDescent="0.2">
      <c r="A63" s="140" t="s">
        <v>53</v>
      </c>
      <c r="B63" s="119">
        <v>37.338654740000003</v>
      </c>
      <c r="C63" s="119">
        <v>69.5</v>
      </c>
      <c r="D63" s="119">
        <v>23.946668819999999</v>
      </c>
      <c r="E63" s="119">
        <v>13.11</v>
      </c>
      <c r="F63" s="119">
        <v>180.77967200000001</v>
      </c>
      <c r="G63" s="119">
        <v>292.44</v>
      </c>
      <c r="H63" s="119">
        <v>172.904</v>
      </c>
      <c r="I63" s="119">
        <v>178.14559249999999</v>
      </c>
      <c r="J63" s="119">
        <v>217.32156426</v>
      </c>
      <c r="K63" s="131">
        <f>SUM(B63:J63)</f>
        <v>1185.48615232</v>
      </c>
    </row>
    <row r="64" spans="1:11" s="140" customFormat="1" ht="12" customHeight="1" x14ac:dyDescent="0.2">
      <c r="A64" s="155" t="s">
        <v>123</v>
      </c>
      <c r="B64" s="119"/>
      <c r="C64" s="119"/>
      <c r="D64" s="119"/>
      <c r="F64" s="122"/>
      <c r="G64" s="122"/>
      <c r="H64" s="122"/>
      <c r="I64" s="122"/>
      <c r="J64" s="122"/>
      <c r="K64" s="131"/>
    </row>
    <row r="65" spans="1:11" s="140" customFormat="1" ht="12" customHeight="1" x14ac:dyDescent="0.2">
      <c r="A65" s="155" t="s">
        <v>210</v>
      </c>
      <c r="B65" s="119"/>
      <c r="C65" s="119">
        <v>31.7</v>
      </c>
      <c r="D65" s="119"/>
      <c r="E65" s="119"/>
      <c r="F65" s="122"/>
      <c r="G65" s="122">
        <v>39.33</v>
      </c>
      <c r="H65" s="122"/>
      <c r="I65" s="122"/>
      <c r="J65" s="122"/>
      <c r="K65" s="131">
        <f>SUM(B65:J65)</f>
        <v>71.03</v>
      </c>
    </row>
    <row r="66" spans="1:11" s="140" customFormat="1" ht="12" customHeight="1" x14ac:dyDescent="0.2">
      <c r="A66" s="155" t="s">
        <v>125</v>
      </c>
      <c r="B66" s="119"/>
      <c r="C66" s="119"/>
      <c r="D66" s="119"/>
      <c r="E66" s="119"/>
      <c r="F66" s="122"/>
      <c r="G66" s="122"/>
      <c r="H66" s="122"/>
      <c r="I66" s="122"/>
      <c r="J66" s="122"/>
      <c r="K66" s="131">
        <f>SUM(B66:J66)</f>
        <v>0</v>
      </c>
    </row>
    <row r="67" spans="1:11" ht="12" customHeight="1" x14ac:dyDescent="0.2">
      <c r="A67" s="155"/>
      <c r="C67" s="146"/>
    </row>
    <row r="68" spans="1:11" ht="12" customHeight="1" x14ac:dyDescent="0.2">
      <c r="A68" s="156" t="s">
        <v>228</v>
      </c>
      <c r="C68" s="147"/>
    </row>
    <row r="69" spans="1:11" ht="12" customHeight="1" x14ac:dyDescent="0.2">
      <c r="A69" s="156" t="s">
        <v>212</v>
      </c>
      <c r="C69" s="147"/>
    </row>
    <row r="70" spans="1:11" ht="12" customHeight="1" x14ac:dyDescent="0.2">
      <c r="A70" s="156" t="s">
        <v>229</v>
      </c>
      <c r="C70" s="147"/>
    </row>
    <row r="71" spans="1:11" ht="12" customHeight="1" x14ac:dyDescent="0.2">
      <c r="A71" s="143"/>
      <c r="C71" s="147"/>
    </row>
    <row r="72" spans="1:11" ht="12" customHeight="1" x14ac:dyDescent="0.2">
      <c r="A72" s="143" t="s">
        <v>207</v>
      </c>
    </row>
    <row r="73" spans="1:11" ht="12" customHeight="1" x14ac:dyDescent="0.2">
      <c r="A73" s="143" t="s">
        <v>208</v>
      </c>
    </row>
    <row r="74" spans="1:11" x14ac:dyDescent="0.2">
      <c r="A74" s="155"/>
    </row>
    <row r="75" spans="1:11" x14ac:dyDescent="0.2">
      <c r="A75" s="143"/>
    </row>
    <row r="77" spans="1:11" x14ac:dyDescent="0.2">
      <c r="A77" s="157"/>
    </row>
  </sheetData>
  <pageMargins left="0.19685039370078741" right="0.35433070866141736" top="0.59055118110236227" bottom="0.27559055118110237" header="0.31496062992125984" footer="0.31496062992125984"/>
  <pageSetup paperSize="9" scale="90" orientation="landscape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U77"/>
  <sheetViews>
    <sheetView zoomScaleNormal="100" workbookViewId="0">
      <pane xSplit="1" ySplit="4" topLeftCell="B5" activePane="bottomRight" state="frozen"/>
      <selection activeCell="B5" sqref="B5"/>
      <selection pane="topRight" activeCell="B5" sqref="B5"/>
      <selection pane="bottomLeft" activeCell="B5" sqref="B5"/>
      <selection pane="bottomRight" activeCell="B5" sqref="B5"/>
    </sheetView>
  </sheetViews>
  <sheetFormatPr baseColWidth="10" defaultRowHeight="12.75" x14ac:dyDescent="0.2"/>
  <cols>
    <col min="1" max="1" width="41.28515625" style="114" customWidth="1"/>
    <col min="2" max="5" width="11.5703125" style="110" customWidth="1"/>
    <col min="6" max="10" width="11.5703125" style="111" customWidth="1"/>
    <col min="11" max="11" width="11.5703125" style="136" customWidth="1"/>
    <col min="12" max="16384" width="11.42578125" style="114"/>
  </cols>
  <sheetData>
    <row r="1" spans="1:11" x14ac:dyDescent="0.2">
      <c r="A1" s="140" t="s">
        <v>230</v>
      </c>
    </row>
    <row r="2" spans="1:11" x14ac:dyDescent="0.2">
      <c r="A2" s="114" t="s">
        <v>220</v>
      </c>
    </row>
    <row r="4" spans="1:11" s="110" customFormat="1" x14ac:dyDescent="0.2">
      <c r="A4" s="152"/>
      <c r="B4" s="110" t="s">
        <v>3</v>
      </c>
      <c r="C4" s="110" t="s">
        <v>4</v>
      </c>
      <c r="D4" s="110" t="s">
        <v>5</v>
      </c>
      <c r="E4" s="110" t="s">
        <v>6</v>
      </c>
      <c r="F4" s="116" t="s">
        <v>7</v>
      </c>
      <c r="G4" s="116" t="s">
        <v>8</v>
      </c>
      <c r="H4" s="116" t="s">
        <v>9</v>
      </c>
      <c r="I4" s="116" t="s">
        <v>198</v>
      </c>
      <c r="J4" s="116" t="s">
        <v>11</v>
      </c>
      <c r="K4" s="136" t="s">
        <v>12</v>
      </c>
    </row>
    <row r="5" spans="1:11" x14ac:dyDescent="0.2">
      <c r="C5" s="119"/>
      <c r="D5" s="119"/>
      <c r="E5" s="119"/>
      <c r="F5" s="119"/>
      <c r="G5" s="119"/>
      <c r="H5" s="119"/>
      <c r="I5" s="122"/>
      <c r="J5" s="122"/>
      <c r="K5" s="122"/>
    </row>
    <row r="6" spans="1:11" ht="15.75" x14ac:dyDescent="0.25">
      <c r="A6" s="153" t="s">
        <v>42</v>
      </c>
      <c r="C6" s="119"/>
      <c r="D6" s="119"/>
      <c r="E6" s="119"/>
      <c r="F6" s="119"/>
      <c r="G6" s="119"/>
      <c r="H6" s="119"/>
      <c r="I6" s="119"/>
      <c r="J6" s="119"/>
      <c r="K6" s="119"/>
    </row>
    <row r="7" spans="1:11" x14ac:dyDescent="0.2">
      <c r="C7" s="127"/>
      <c r="D7" s="127"/>
      <c r="E7" s="127"/>
      <c r="F7" s="127"/>
      <c r="G7" s="127"/>
      <c r="H7" s="127"/>
      <c r="I7" s="128"/>
      <c r="J7" s="128"/>
      <c r="K7" s="128"/>
    </row>
    <row r="8" spans="1:11" x14ac:dyDescent="0.2">
      <c r="A8" s="140" t="s">
        <v>13</v>
      </c>
      <c r="B8" s="119"/>
      <c r="C8" s="119"/>
      <c r="D8" s="119"/>
      <c r="E8" s="119"/>
      <c r="F8" s="119"/>
      <c r="G8" s="119"/>
      <c r="H8" s="119"/>
      <c r="I8" s="119"/>
      <c r="J8" s="119"/>
      <c r="K8" s="119"/>
    </row>
    <row r="9" spans="1:11" x14ac:dyDescent="0.2">
      <c r="B9" s="119"/>
      <c r="C9" s="119"/>
      <c r="D9" s="119"/>
      <c r="E9" s="119"/>
      <c r="G9" s="119"/>
      <c r="H9" s="119"/>
      <c r="I9" s="119"/>
      <c r="J9" s="119"/>
      <c r="K9" s="119"/>
    </row>
    <row r="10" spans="1:11" x14ac:dyDescent="0.2">
      <c r="A10" s="114" t="s">
        <v>72</v>
      </c>
      <c r="B10" s="119">
        <v>52.534669000000001</v>
      </c>
      <c r="C10" s="119">
        <v>39.86</v>
      </c>
      <c r="D10" s="119">
        <v>88.018155930000006</v>
      </c>
      <c r="E10" s="119">
        <v>115.88</v>
      </c>
      <c r="F10" s="119">
        <v>19.932386999999999</v>
      </c>
      <c r="G10" s="119">
        <v>0.312</v>
      </c>
      <c r="H10" s="119">
        <v>150.607</v>
      </c>
      <c r="I10" s="119">
        <v>99.581885439999994</v>
      </c>
      <c r="J10" s="154">
        <v>240.04124055</v>
      </c>
      <c r="K10" s="131">
        <f t="shared" ref="K10:K16" si="0">SUM(B10:J10)</f>
        <v>806.76733791999993</v>
      </c>
    </row>
    <row r="11" spans="1:11" x14ac:dyDescent="0.2">
      <c r="A11" s="114" t="s">
        <v>67</v>
      </c>
      <c r="B11" s="119">
        <v>3.3772000000000003E-2</v>
      </c>
      <c r="C11" s="119"/>
      <c r="D11" s="119"/>
      <c r="E11" s="119"/>
      <c r="F11" s="119"/>
      <c r="G11" s="119"/>
      <c r="H11" s="119"/>
      <c r="I11" s="119"/>
      <c r="J11" s="119">
        <v>8.1225095399999994</v>
      </c>
      <c r="K11" s="131">
        <f t="shared" si="0"/>
        <v>8.1562815400000002</v>
      </c>
    </row>
    <row r="12" spans="1:11" x14ac:dyDescent="0.2">
      <c r="A12" s="114" t="s">
        <v>104</v>
      </c>
      <c r="B12" s="119"/>
      <c r="C12" s="119">
        <v>27.04</v>
      </c>
      <c r="D12" s="119">
        <v>42.45905484</v>
      </c>
      <c r="E12" s="119">
        <v>19.75</v>
      </c>
      <c r="F12" s="119">
        <v>10.180933</v>
      </c>
      <c r="G12" s="119">
        <v>149.03</v>
      </c>
      <c r="H12" s="119"/>
      <c r="I12" s="119">
        <v>2.22235907</v>
      </c>
      <c r="J12" s="119"/>
      <c r="K12" s="131">
        <f t="shared" si="0"/>
        <v>250.68234691000001</v>
      </c>
    </row>
    <row r="13" spans="1:11" x14ac:dyDescent="0.2">
      <c r="A13" s="114" t="s">
        <v>109</v>
      </c>
      <c r="B13" s="119"/>
      <c r="C13" s="119">
        <v>7.17</v>
      </c>
      <c r="D13" s="119">
        <v>120.97463540999999</v>
      </c>
      <c r="E13" s="119">
        <v>2.36</v>
      </c>
      <c r="F13" s="119">
        <v>7.4310000000000001E-3</v>
      </c>
      <c r="G13" s="119">
        <v>4.5199999999999996</v>
      </c>
      <c r="H13" s="119">
        <v>23.538</v>
      </c>
      <c r="I13" s="119"/>
      <c r="J13" s="119">
        <v>1.33877417</v>
      </c>
      <c r="K13" s="131">
        <f t="shared" si="0"/>
        <v>159.90884058</v>
      </c>
    </row>
    <row r="14" spans="1:11" x14ac:dyDescent="0.2">
      <c r="A14" s="147" t="s">
        <v>69</v>
      </c>
      <c r="B14" s="119">
        <v>1.18364</v>
      </c>
      <c r="C14" s="119"/>
      <c r="D14" s="119">
        <v>0.3614</v>
      </c>
      <c r="E14" s="119">
        <v>5.5</v>
      </c>
      <c r="F14" s="119">
        <v>79.308593000000002</v>
      </c>
      <c r="G14" s="119">
        <v>6.23</v>
      </c>
      <c r="H14" s="119">
        <v>25.093</v>
      </c>
      <c r="I14" s="119">
        <v>3.9567000000000001</v>
      </c>
      <c r="J14" s="119">
        <v>12.08587399</v>
      </c>
      <c r="K14" s="131">
        <f t="shared" si="0"/>
        <v>133.71920699</v>
      </c>
    </row>
    <row r="15" spans="1:11" x14ac:dyDescent="0.2">
      <c r="A15" s="114" t="s">
        <v>70</v>
      </c>
      <c r="B15" s="119"/>
      <c r="C15" s="119"/>
      <c r="D15" s="119"/>
      <c r="E15" s="119"/>
      <c r="F15" s="119"/>
      <c r="G15" s="119"/>
      <c r="H15" s="119"/>
      <c r="I15" s="119"/>
      <c r="J15" s="119"/>
      <c r="K15" s="131">
        <f t="shared" si="0"/>
        <v>0</v>
      </c>
    </row>
    <row r="16" spans="1:11" x14ac:dyDescent="0.2">
      <c r="A16" s="114" t="s">
        <v>71</v>
      </c>
      <c r="B16" s="119">
        <v>0.73992000000000002</v>
      </c>
      <c r="C16" s="119"/>
      <c r="D16" s="119">
        <v>37.250938011628136</v>
      </c>
      <c r="E16" s="119">
        <v>30.2</v>
      </c>
      <c r="F16" s="125">
        <v>24.188523</v>
      </c>
      <c r="G16" s="119"/>
      <c r="H16" s="119">
        <v>13.305</v>
      </c>
      <c r="I16" s="119">
        <v>27.977280329999999</v>
      </c>
      <c r="J16" s="122">
        <v>22.621559949999998</v>
      </c>
      <c r="K16" s="131">
        <f t="shared" si="0"/>
        <v>156.28322129162814</v>
      </c>
    </row>
    <row r="17" spans="1:13" x14ac:dyDescent="0.2">
      <c r="B17" s="119"/>
      <c r="C17" s="119"/>
      <c r="D17" s="119"/>
      <c r="E17" s="119"/>
      <c r="F17" s="122"/>
      <c r="G17" s="122"/>
      <c r="H17" s="122"/>
      <c r="I17" s="122"/>
      <c r="J17" s="122"/>
      <c r="K17" s="131"/>
    </row>
    <row r="18" spans="1:13" s="155" customFormat="1" x14ac:dyDescent="0.2">
      <c r="A18" s="155" t="s">
        <v>12</v>
      </c>
      <c r="B18" s="127">
        <f>SUM(B10:B16)</f>
        <v>54.492000999999995</v>
      </c>
      <c r="C18" s="127">
        <f>SUM(C10:C16)</f>
        <v>74.070000000000007</v>
      </c>
      <c r="D18" s="127">
        <f>SUM(D10:D17)</f>
        <v>289.0641841916281</v>
      </c>
      <c r="E18" s="127">
        <f>SUM(E10:E17)</f>
        <v>173.69</v>
      </c>
      <c r="F18" s="128">
        <f>SUM(F10:F16)</f>
        <v>133.61786699999999</v>
      </c>
      <c r="G18" s="127">
        <f>SUM(G10:G16)</f>
        <v>160.09200000000001</v>
      </c>
      <c r="H18" s="127">
        <f>SUM(H10:H17)</f>
        <v>212.54300000000001</v>
      </c>
      <c r="I18" s="127">
        <f>SUM(I10:I17)</f>
        <v>133.73822483999999</v>
      </c>
      <c r="J18" s="128">
        <f>SUM(J10:J17)</f>
        <v>284.20995820000002</v>
      </c>
      <c r="K18" s="131">
        <f>SUM(B18:J18)</f>
        <v>1515.5172352316281</v>
      </c>
    </row>
    <row r="20" spans="1:13" x14ac:dyDescent="0.2">
      <c r="B20" s="119"/>
      <c r="C20" s="119"/>
      <c r="D20" s="119"/>
      <c r="E20" s="119"/>
      <c r="F20" s="122"/>
      <c r="G20" s="122"/>
      <c r="H20" s="122"/>
      <c r="I20" s="122"/>
      <c r="J20" s="122"/>
      <c r="K20" s="131"/>
    </row>
    <row r="21" spans="1:13" x14ac:dyDescent="0.2">
      <c r="A21" s="140" t="s">
        <v>14</v>
      </c>
      <c r="B21" s="119"/>
      <c r="C21" s="119"/>
      <c r="D21" s="119"/>
      <c r="E21" s="119"/>
      <c r="F21" s="122"/>
      <c r="G21" s="122"/>
      <c r="H21" s="122"/>
      <c r="I21" s="122"/>
      <c r="J21" s="122"/>
      <c r="K21" s="131"/>
    </row>
    <row r="22" spans="1:13" x14ac:dyDescent="0.2">
      <c r="B22" s="119"/>
      <c r="C22" s="119"/>
      <c r="D22" s="119"/>
      <c r="E22" s="119"/>
      <c r="F22" s="122"/>
      <c r="G22" s="122"/>
      <c r="H22" s="122"/>
      <c r="I22" s="122"/>
      <c r="J22" s="122"/>
      <c r="K22" s="131"/>
    </row>
    <row r="23" spans="1:13" x14ac:dyDescent="0.2">
      <c r="A23" s="114" t="s">
        <v>72</v>
      </c>
      <c r="B23" s="119">
        <v>2.123866</v>
      </c>
      <c r="C23" s="119"/>
      <c r="D23" s="119">
        <v>0.37702553000000005</v>
      </c>
      <c r="E23" s="119"/>
      <c r="F23" s="119">
        <v>0.60397699999999999</v>
      </c>
      <c r="G23" s="119">
        <v>6.18</v>
      </c>
      <c r="H23" s="119"/>
      <c r="I23" s="119">
        <v>8.0124280199999998</v>
      </c>
      <c r="J23" s="154">
        <v>49.801624170000004</v>
      </c>
      <c r="K23" s="131">
        <f t="shared" ref="K23:K28" si="1">SUM(B23:J23)</f>
        <v>67.098920719999995</v>
      </c>
      <c r="M23" s="119"/>
    </row>
    <row r="24" spans="1:13" x14ac:dyDescent="0.2">
      <c r="A24" s="114" t="s">
        <v>104</v>
      </c>
      <c r="B24" s="119"/>
      <c r="C24" s="119"/>
      <c r="D24" s="119">
        <v>5.0523048499999996</v>
      </c>
      <c r="E24" s="119"/>
      <c r="F24" s="122"/>
      <c r="G24" s="122">
        <v>0.11</v>
      </c>
      <c r="H24" s="122"/>
      <c r="I24" s="122"/>
      <c r="J24" s="122"/>
      <c r="K24" s="131">
        <f t="shared" si="1"/>
        <v>5.1623048499999999</v>
      </c>
    </row>
    <row r="25" spans="1:13" x14ac:dyDescent="0.2">
      <c r="A25" s="114" t="s">
        <v>109</v>
      </c>
      <c r="B25" s="119"/>
      <c r="C25" s="119"/>
      <c r="D25" s="119">
        <v>103.4885969</v>
      </c>
      <c r="E25" s="119">
        <v>65.569999999999993</v>
      </c>
      <c r="F25" s="119">
        <v>3.2228E-2</v>
      </c>
      <c r="G25" s="119">
        <v>54.14</v>
      </c>
      <c r="H25" s="119">
        <v>15.223000000000001</v>
      </c>
      <c r="I25" s="119">
        <v>1.9772048400000002</v>
      </c>
      <c r="J25" s="119">
        <v>84.687553180000009</v>
      </c>
      <c r="K25" s="131">
        <f t="shared" si="1"/>
        <v>325.11858292000005</v>
      </c>
    </row>
    <row r="26" spans="1:13" x14ac:dyDescent="0.2">
      <c r="A26" s="147" t="s">
        <v>69</v>
      </c>
      <c r="B26" s="119">
        <v>1.9356679999999999</v>
      </c>
      <c r="C26" s="119">
        <v>29.83</v>
      </c>
      <c r="D26" s="119">
        <v>4.0863440999999998</v>
      </c>
      <c r="E26" s="119">
        <v>4.49</v>
      </c>
      <c r="F26" s="119">
        <v>5.669759</v>
      </c>
      <c r="G26" s="119">
        <v>2.2799999999999998</v>
      </c>
      <c r="H26" s="119">
        <v>26.51</v>
      </c>
      <c r="I26" s="119">
        <v>4.399985</v>
      </c>
      <c r="J26" s="119">
        <v>24.705221940000001</v>
      </c>
      <c r="K26" s="131">
        <f t="shared" si="1"/>
        <v>103.90697804</v>
      </c>
    </row>
    <row r="27" spans="1:13" x14ac:dyDescent="0.2">
      <c r="A27" s="114" t="s">
        <v>70</v>
      </c>
      <c r="B27" s="119"/>
      <c r="C27" s="119"/>
      <c r="D27" s="119"/>
      <c r="E27" s="119"/>
      <c r="F27" s="122"/>
      <c r="G27" s="122"/>
      <c r="H27" s="122"/>
      <c r="I27" s="122"/>
      <c r="J27" s="122"/>
      <c r="K27" s="131">
        <f t="shared" si="1"/>
        <v>0</v>
      </c>
    </row>
    <row r="28" spans="1:13" x14ac:dyDescent="0.2">
      <c r="A28" s="114" t="s">
        <v>71</v>
      </c>
      <c r="B28" s="119"/>
      <c r="C28" s="119"/>
      <c r="D28" s="119">
        <v>6.7982322783718701</v>
      </c>
      <c r="E28" s="119"/>
      <c r="F28" s="122"/>
      <c r="G28" s="122"/>
      <c r="H28" s="122"/>
      <c r="I28" s="122"/>
      <c r="J28" s="122">
        <v>2.4783329300000001</v>
      </c>
      <c r="K28" s="131">
        <f t="shared" si="1"/>
        <v>9.2765652083718706</v>
      </c>
    </row>
    <row r="29" spans="1:13" x14ac:dyDescent="0.2">
      <c r="B29" s="119"/>
      <c r="C29" s="119"/>
      <c r="D29" s="119"/>
      <c r="E29" s="119"/>
      <c r="F29" s="122"/>
      <c r="G29" s="122"/>
      <c r="H29" s="122"/>
      <c r="I29" s="122"/>
      <c r="J29" s="122"/>
      <c r="K29" s="131"/>
    </row>
    <row r="30" spans="1:13" s="155" customFormat="1" x14ac:dyDescent="0.2">
      <c r="A30" s="155" t="s">
        <v>12</v>
      </c>
      <c r="B30" s="119">
        <f>SUM(B23:B28)</f>
        <v>4.0595340000000002</v>
      </c>
      <c r="C30" s="127">
        <f>SUM(C23:C28)</f>
        <v>29.83</v>
      </c>
      <c r="D30" s="127">
        <f>SUM(D23:D28)</f>
        <v>119.80250365837188</v>
      </c>
      <c r="E30" s="127">
        <f>SUM(E23:E28)</f>
        <v>70.059999999999988</v>
      </c>
      <c r="F30" s="128">
        <f>SUM(F23:F28)</f>
        <v>6.3059640000000003</v>
      </c>
      <c r="G30" s="128">
        <f>SUM(G23:G29)</f>
        <v>62.71</v>
      </c>
      <c r="H30" s="128">
        <f>SUM(H23:H29)</f>
        <v>41.733000000000004</v>
      </c>
      <c r="I30" s="128">
        <f>SUM(I23:I29)</f>
        <v>14.389617860000001</v>
      </c>
      <c r="J30" s="128">
        <f>SUM(J23:J29)</f>
        <v>161.67273222</v>
      </c>
      <c r="K30" s="131">
        <f>SUM(B30:J30)</f>
        <v>510.56335173837186</v>
      </c>
    </row>
    <row r="31" spans="1:13" s="155" customFormat="1" x14ac:dyDescent="0.2"/>
    <row r="32" spans="1:13" s="140" customFormat="1" x14ac:dyDescent="0.2">
      <c r="A32" s="140" t="s">
        <v>43</v>
      </c>
      <c r="B32" s="131">
        <f t="shared" ref="B32:G32" si="2">B18+B30</f>
        <v>58.551534999999994</v>
      </c>
      <c r="C32" s="131">
        <f t="shared" si="2"/>
        <v>103.9</v>
      </c>
      <c r="D32" s="131">
        <f t="shared" si="2"/>
        <v>408.86668784999995</v>
      </c>
      <c r="E32" s="131">
        <f t="shared" si="2"/>
        <v>243.75</v>
      </c>
      <c r="F32" s="132">
        <f t="shared" si="2"/>
        <v>139.92383099999998</v>
      </c>
      <c r="G32" s="132">
        <f t="shared" si="2"/>
        <v>222.80200000000002</v>
      </c>
      <c r="H32" s="132">
        <f>H30+H18</f>
        <v>254.27600000000001</v>
      </c>
      <c r="I32" s="132">
        <f>I18+I30</f>
        <v>148.12784269999997</v>
      </c>
      <c r="J32" s="132">
        <f>J18+J30</f>
        <v>445.88269042000002</v>
      </c>
      <c r="K32" s="131">
        <f>SUM(B32:J32)</f>
        <v>2026.08058697</v>
      </c>
    </row>
    <row r="33" spans="1:255" s="140" customFormat="1" x14ac:dyDescent="0.2">
      <c r="B33" s="131"/>
      <c r="C33" s="131"/>
      <c r="D33" s="131"/>
      <c r="E33" s="131"/>
      <c r="F33" s="132"/>
      <c r="G33" s="132"/>
      <c r="H33" s="132"/>
      <c r="I33" s="132"/>
      <c r="J33" s="132"/>
      <c r="K33" s="131"/>
    </row>
    <row r="34" spans="1:255" s="155" customFormat="1" ht="14.25" x14ac:dyDescent="0.2">
      <c r="A34" s="140" t="s">
        <v>199</v>
      </c>
      <c r="B34" s="119"/>
      <c r="C34" s="127">
        <v>25.47</v>
      </c>
      <c r="D34" s="127"/>
      <c r="E34" s="127">
        <v>32.549999999999997</v>
      </c>
      <c r="F34" s="128"/>
      <c r="G34" s="158"/>
      <c r="H34" s="128">
        <v>22.28</v>
      </c>
      <c r="I34" s="128"/>
      <c r="J34" s="128">
        <v>48.205987520000001</v>
      </c>
      <c r="K34" s="131">
        <f>SUM(B34:J34)</f>
        <v>128.50598751999999</v>
      </c>
    </row>
    <row r="35" spans="1:255" x14ac:dyDescent="0.2">
      <c r="B35" s="119"/>
      <c r="C35" s="119"/>
      <c r="D35" s="119"/>
      <c r="E35" s="119"/>
      <c r="F35" s="122"/>
      <c r="G35" s="122"/>
      <c r="H35" s="122"/>
      <c r="I35" s="122"/>
      <c r="J35" s="122"/>
      <c r="K35" s="119"/>
      <c r="L35" s="119"/>
      <c r="M35" s="119"/>
      <c r="N35" s="119"/>
      <c r="O35" s="119"/>
      <c r="P35" s="119"/>
      <c r="Q35" s="119"/>
      <c r="R35" s="119"/>
      <c r="S35" s="119"/>
      <c r="T35" s="119"/>
      <c r="U35" s="119"/>
      <c r="V35" s="119"/>
      <c r="W35" s="119"/>
      <c r="X35" s="119"/>
      <c r="Y35" s="119"/>
      <c r="Z35" s="119"/>
      <c r="AA35" s="119"/>
      <c r="AB35" s="119"/>
      <c r="AC35" s="119"/>
      <c r="AD35" s="119"/>
      <c r="AE35" s="119"/>
      <c r="AF35" s="119"/>
      <c r="AG35" s="119"/>
      <c r="AH35" s="119"/>
      <c r="AI35" s="119"/>
      <c r="AJ35" s="119"/>
      <c r="AK35" s="119"/>
      <c r="AL35" s="119"/>
      <c r="AM35" s="119"/>
      <c r="AN35" s="119"/>
      <c r="AO35" s="119"/>
      <c r="AP35" s="119"/>
      <c r="AQ35" s="119"/>
      <c r="AR35" s="119"/>
      <c r="AS35" s="119"/>
      <c r="AT35" s="119"/>
      <c r="AU35" s="119"/>
      <c r="AV35" s="119"/>
      <c r="AW35" s="119"/>
      <c r="AX35" s="119"/>
      <c r="AY35" s="119"/>
      <c r="AZ35" s="119"/>
      <c r="BA35" s="119"/>
      <c r="BB35" s="119"/>
      <c r="BC35" s="119"/>
      <c r="BD35" s="119"/>
      <c r="BE35" s="119"/>
      <c r="BF35" s="119"/>
      <c r="BG35" s="119"/>
      <c r="BH35" s="119"/>
      <c r="BI35" s="119"/>
      <c r="BJ35" s="119"/>
      <c r="BK35" s="119"/>
      <c r="BL35" s="119"/>
      <c r="BM35" s="119"/>
      <c r="BN35" s="119"/>
      <c r="BO35" s="119"/>
      <c r="BP35" s="119"/>
      <c r="BQ35" s="119"/>
      <c r="BR35" s="119"/>
      <c r="BS35" s="119"/>
      <c r="BT35" s="119"/>
      <c r="BU35" s="119"/>
      <c r="BV35" s="119"/>
      <c r="BW35" s="119"/>
      <c r="BX35" s="119"/>
      <c r="BY35" s="119"/>
      <c r="BZ35" s="119"/>
      <c r="CA35" s="119"/>
      <c r="CB35" s="119"/>
      <c r="CC35" s="119"/>
      <c r="CD35" s="119"/>
      <c r="CE35" s="119"/>
      <c r="CF35" s="119"/>
      <c r="CG35" s="119"/>
      <c r="CH35" s="119"/>
      <c r="CI35" s="119"/>
      <c r="CJ35" s="119"/>
      <c r="CK35" s="119"/>
      <c r="CL35" s="119"/>
      <c r="CM35" s="119"/>
      <c r="CN35" s="119"/>
      <c r="CO35" s="119"/>
      <c r="CP35" s="119"/>
      <c r="CQ35" s="119"/>
      <c r="CR35" s="119"/>
      <c r="CS35" s="119"/>
      <c r="CT35" s="119"/>
      <c r="CU35" s="119"/>
      <c r="CV35" s="119"/>
      <c r="CW35" s="119"/>
      <c r="CX35" s="119"/>
      <c r="CY35" s="119"/>
      <c r="CZ35" s="119"/>
      <c r="DA35" s="119"/>
      <c r="DB35" s="119"/>
      <c r="DC35" s="119"/>
      <c r="DD35" s="119"/>
      <c r="DE35" s="119"/>
      <c r="DF35" s="119"/>
      <c r="DG35" s="119"/>
      <c r="DH35" s="119"/>
      <c r="DI35" s="119"/>
      <c r="DJ35" s="119"/>
      <c r="DK35" s="119"/>
      <c r="DL35" s="119"/>
      <c r="DM35" s="119"/>
      <c r="DN35" s="119"/>
      <c r="DO35" s="119"/>
      <c r="DP35" s="119"/>
      <c r="DQ35" s="119"/>
      <c r="DR35" s="119"/>
      <c r="DS35" s="119"/>
      <c r="DT35" s="119"/>
      <c r="DU35" s="119"/>
      <c r="DV35" s="119"/>
      <c r="DW35" s="119"/>
      <c r="DX35" s="119"/>
      <c r="DY35" s="119"/>
      <c r="DZ35" s="119"/>
      <c r="EA35" s="119"/>
      <c r="EB35" s="119"/>
      <c r="EC35" s="119"/>
      <c r="ED35" s="119"/>
      <c r="EE35" s="119"/>
      <c r="EF35" s="119"/>
      <c r="EG35" s="119"/>
      <c r="EH35" s="119"/>
      <c r="EI35" s="119"/>
      <c r="EJ35" s="119"/>
      <c r="EK35" s="119"/>
      <c r="EL35" s="119"/>
      <c r="EM35" s="119"/>
      <c r="EN35" s="119"/>
      <c r="EO35" s="119"/>
      <c r="EP35" s="119"/>
      <c r="EQ35" s="119"/>
      <c r="ER35" s="119"/>
      <c r="ES35" s="119"/>
      <c r="ET35" s="119"/>
      <c r="EU35" s="119"/>
      <c r="EV35" s="119"/>
      <c r="EW35" s="119"/>
      <c r="EX35" s="119"/>
      <c r="EY35" s="119"/>
      <c r="EZ35" s="119"/>
      <c r="FA35" s="119"/>
      <c r="FB35" s="119"/>
      <c r="FC35" s="119"/>
      <c r="FD35" s="119"/>
      <c r="FE35" s="119"/>
      <c r="FF35" s="119"/>
      <c r="FG35" s="119"/>
      <c r="FH35" s="119"/>
      <c r="FI35" s="119"/>
      <c r="FJ35" s="119"/>
      <c r="FK35" s="119"/>
      <c r="FL35" s="119"/>
      <c r="FM35" s="119"/>
      <c r="FN35" s="119"/>
      <c r="FO35" s="119"/>
      <c r="FP35" s="119"/>
      <c r="FQ35" s="119"/>
      <c r="FR35" s="119"/>
      <c r="FS35" s="119"/>
      <c r="FT35" s="119"/>
      <c r="FU35" s="119"/>
      <c r="FV35" s="119"/>
      <c r="FW35" s="119"/>
      <c r="FX35" s="119"/>
      <c r="FY35" s="119"/>
      <c r="FZ35" s="119"/>
      <c r="GA35" s="119"/>
      <c r="GB35" s="119"/>
      <c r="GC35" s="119"/>
      <c r="GD35" s="119"/>
      <c r="GE35" s="119"/>
      <c r="GF35" s="119"/>
      <c r="GG35" s="119"/>
      <c r="GH35" s="119"/>
      <c r="GI35" s="119"/>
      <c r="GJ35" s="119"/>
      <c r="GK35" s="119"/>
      <c r="GL35" s="119"/>
      <c r="GM35" s="119"/>
      <c r="GN35" s="119"/>
      <c r="GO35" s="119"/>
      <c r="GP35" s="119"/>
      <c r="GQ35" s="119"/>
      <c r="GR35" s="119"/>
      <c r="GS35" s="119"/>
      <c r="GT35" s="119"/>
      <c r="GU35" s="119"/>
      <c r="GV35" s="119"/>
      <c r="GW35" s="119"/>
      <c r="GX35" s="119"/>
      <c r="GY35" s="119"/>
      <c r="GZ35" s="119"/>
      <c r="HA35" s="119"/>
      <c r="HB35" s="119"/>
      <c r="HC35" s="119"/>
      <c r="HD35" s="119"/>
      <c r="HE35" s="119"/>
      <c r="HF35" s="119"/>
      <c r="HG35" s="119"/>
      <c r="HH35" s="119"/>
      <c r="HI35" s="119"/>
      <c r="HJ35" s="119"/>
      <c r="HK35" s="119"/>
      <c r="HL35" s="119"/>
      <c r="HM35" s="119"/>
      <c r="HN35" s="119"/>
      <c r="HO35" s="119"/>
      <c r="HP35" s="119"/>
      <c r="HQ35" s="119"/>
      <c r="HR35" s="119"/>
      <c r="HS35" s="119"/>
      <c r="HT35" s="119"/>
      <c r="HU35" s="119"/>
      <c r="HV35" s="119"/>
      <c r="HW35" s="119"/>
      <c r="HX35" s="119"/>
      <c r="HY35" s="119"/>
      <c r="HZ35" s="119"/>
      <c r="IA35" s="119"/>
      <c r="IB35" s="119"/>
      <c r="IC35" s="119"/>
      <c r="ID35" s="119"/>
      <c r="IE35" s="119"/>
      <c r="IF35" s="119"/>
      <c r="IG35" s="119"/>
      <c r="IH35" s="119"/>
      <c r="II35" s="119"/>
      <c r="IJ35" s="119"/>
      <c r="IK35" s="119"/>
      <c r="IL35" s="119"/>
      <c r="IM35" s="119"/>
      <c r="IN35" s="119"/>
      <c r="IO35" s="119"/>
      <c r="IP35" s="119"/>
      <c r="IQ35" s="119"/>
      <c r="IR35" s="119"/>
      <c r="IS35" s="119"/>
      <c r="IT35" s="119"/>
      <c r="IU35" s="119"/>
    </row>
    <row r="36" spans="1:255" ht="14.25" x14ac:dyDescent="0.2">
      <c r="A36" s="140" t="s">
        <v>200</v>
      </c>
      <c r="F36" s="110"/>
      <c r="G36" s="110"/>
      <c r="H36" s="110"/>
      <c r="I36" s="110"/>
      <c r="J36" s="110"/>
      <c r="K36" s="110"/>
      <c r="L36" s="119"/>
      <c r="M36" s="119"/>
      <c r="N36" s="119"/>
      <c r="O36" s="119"/>
      <c r="P36" s="119"/>
      <c r="Q36" s="119"/>
      <c r="R36" s="119"/>
      <c r="S36" s="119"/>
      <c r="T36" s="119"/>
      <c r="U36" s="119"/>
      <c r="V36" s="119"/>
      <c r="W36" s="119"/>
      <c r="X36" s="119"/>
      <c r="Y36" s="119"/>
      <c r="Z36" s="119"/>
      <c r="AA36" s="119"/>
      <c r="AB36" s="119"/>
      <c r="AC36" s="119"/>
      <c r="AD36" s="119"/>
      <c r="AE36" s="119"/>
      <c r="AF36" s="119"/>
      <c r="AG36" s="119"/>
      <c r="AH36" s="119"/>
      <c r="AI36" s="119"/>
      <c r="AJ36" s="119"/>
      <c r="AK36" s="119"/>
      <c r="AL36" s="119"/>
      <c r="AM36" s="119"/>
      <c r="AN36" s="119"/>
      <c r="AO36" s="119"/>
      <c r="AP36" s="119"/>
      <c r="AQ36" s="119"/>
      <c r="AR36" s="119"/>
      <c r="AS36" s="119"/>
      <c r="AT36" s="119"/>
      <c r="AU36" s="119"/>
      <c r="AV36" s="119"/>
      <c r="AW36" s="119"/>
      <c r="AX36" s="119"/>
      <c r="AY36" s="119"/>
      <c r="AZ36" s="119"/>
      <c r="BA36" s="119"/>
      <c r="BB36" s="119"/>
      <c r="BC36" s="119"/>
      <c r="BD36" s="119"/>
      <c r="BE36" s="119"/>
      <c r="BF36" s="119"/>
      <c r="BG36" s="119"/>
      <c r="BH36" s="119"/>
      <c r="BI36" s="119"/>
      <c r="BJ36" s="119"/>
      <c r="BK36" s="119"/>
      <c r="BL36" s="119"/>
      <c r="BM36" s="119"/>
      <c r="BN36" s="119"/>
      <c r="BO36" s="119"/>
      <c r="BP36" s="119"/>
      <c r="BQ36" s="119"/>
      <c r="BR36" s="119"/>
      <c r="BS36" s="119"/>
      <c r="BT36" s="119"/>
      <c r="BU36" s="119"/>
      <c r="BV36" s="119"/>
      <c r="BW36" s="119"/>
      <c r="BX36" s="119"/>
      <c r="BY36" s="119"/>
      <c r="BZ36" s="119"/>
      <c r="CA36" s="119"/>
      <c r="CB36" s="119"/>
      <c r="CC36" s="119"/>
      <c r="CD36" s="119"/>
      <c r="CE36" s="119"/>
      <c r="CF36" s="119"/>
      <c r="CG36" s="119"/>
      <c r="CH36" s="119"/>
      <c r="CI36" s="119"/>
      <c r="CJ36" s="119"/>
      <c r="CK36" s="119"/>
      <c r="CL36" s="119"/>
      <c r="CM36" s="119"/>
      <c r="CN36" s="119"/>
      <c r="CO36" s="119"/>
      <c r="CP36" s="119"/>
      <c r="CQ36" s="119"/>
      <c r="CR36" s="119"/>
      <c r="CS36" s="119"/>
      <c r="CT36" s="119"/>
      <c r="CU36" s="119"/>
      <c r="CV36" s="119"/>
      <c r="CW36" s="119"/>
      <c r="CX36" s="119"/>
      <c r="CY36" s="119"/>
      <c r="CZ36" s="119"/>
      <c r="DA36" s="119"/>
      <c r="DB36" s="119"/>
      <c r="DC36" s="119"/>
      <c r="DD36" s="119"/>
      <c r="DE36" s="119"/>
      <c r="DF36" s="119"/>
      <c r="DG36" s="119"/>
      <c r="DH36" s="119"/>
      <c r="DI36" s="119"/>
      <c r="DJ36" s="119"/>
      <c r="DK36" s="119"/>
      <c r="DL36" s="119"/>
      <c r="DM36" s="119"/>
      <c r="DN36" s="119"/>
      <c r="DO36" s="119"/>
      <c r="DP36" s="119"/>
      <c r="DQ36" s="119"/>
      <c r="DR36" s="119"/>
      <c r="DS36" s="119"/>
      <c r="DT36" s="119"/>
      <c r="DU36" s="119"/>
      <c r="DV36" s="119"/>
      <c r="DW36" s="119"/>
      <c r="DX36" s="119"/>
      <c r="DY36" s="119"/>
      <c r="DZ36" s="119"/>
      <c r="EA36" s="119"/>
      <c r="EB36" s="119"/>
      <c r="EC36" s="119"/>
      <c r="ED36" s="119"/>
      <c r="EE36" s="119"/>
      <c r="EF36" s="119"/>
      <c r="EG36" s="119"/>
      <c r="EH36" s="119"/>
      <c r="EI36" s="119"/>
      <c r="EJ36" s="119"/>
      <c r="EK36" s="119"/>
      <c r="EL36" s="119"/>
      <c r="EM36" s="119"/>
      <c r="EN36" s="119"/>
      <c r="EO36" s="119"/>
      <c r="EP36" s="119"/>
      <c r="EQ36" s="119"/>
      <c r="ER36" s="119"/>
      <c r="ES36" s="119"/>
      <c r="ET36" s="119"/>
      <c r="EU36" s="119"/>
      <c r="EV36" s="119"/>
      <c r="EW36" s="119"/>
      <c r="EX36" s="119"/>
      <c r="EY36" s="119"/>
      <c r="EZ36" s="119"/>
      <c r="FA36" s="119"/>
      <c r="FB36" s="119"/>
      <c r="FC36" s="119"/>
      <c r="FD36" s="119"/>
      <c r="FE36" s="119"/>
      <c r="FF36" s="119"/>
      <c r="FG36" s="119"/>
      <c r="FH36" s="119"/>
      <c r="FI36" s="119"/>
      <c r="FJ36" s="119"/>
      <c r="FK36" s="119"/>
      <c r="FL36" s="119"/>
      <c r="FM36" s="119"/>
      <c r="FN36" s="119"/>
      <c r="FO36" s="119"/>
      <c r="FP36" s="119"/>
      <c r="FQ36" s="119"/>
      <c r="FR36" s="119"/>
      <c r="FS36" s="119"/>
      <c r="FT36" s="119"/>
      <c r="FU36" s="119"/>
      <c r="FV36" s="119"/>
      <c r="FW36" s="119"/>
      <c r="FX36" s="119"/>
      <c r="FY36" s="119"/>
      <c r="FZ36" s="119"/>
      <c r="GA36" s="119"/>
      <c r="GB36" s="119"/>
      <c r="GC36" s="119"/>
      <c r="GD36" s="119"/>
      <c r="GE36" s="119"/>
      <c r="GF36" s="119"/>
      <c r="GG36" s="119"/>
      <c r="GH36" s="119"/>
      <c r="GI36" s="119"/>
      <c r="GJ36" s="119"/>
      <c r="GK36" s="119"/>
      <c r="GL36" s="119"/>
      <c r="GM36" s="119"/>
      <c r="GN36" s="119"/>
      <c r="GO36" s="119"/>
      <c r="GP36" s="119"/>
      <c r="GQ36" s="119"/>
      <c r="GR36" s="119"/>
      <c r="GS36" s="119"/>
      <c r="GT36" s="119"/>
      <c r="GU36" s="119"/>
      <c r="GV36" s="119"/>
      <c r="GW36" s="119"/>
      <c r="GX36" s="119"/>
      <c r="GY36" s="119"/>
      <c r="GZ36" s="119"/>
      <c r="HA36" s="119"/>
      <c r="HB36" s="119"/>
      <c r="HC36" s="119"/>
      <c r="HD36" s="119"/>
      <c r="HE36" s="119"/>
      <c r="HF36" s="119"/>
      <c r="HG36" s="119"/>
      <c r="HH36" s="119"/>
      <c r="HI36" s="119"/>
      <c r="HJ36" s="119"/>
      <c r="HK36" s="119"/>
      <c r="HL36" s="119"/>
      <c r="HM36" s="119"/>
      <c r="HN36" s="119"/>
      <c r="HO36" s="119"/>
      <c r="HP36" s="119"/>
      <c r="HQ36" s="119"/>
      <c r="HR36" s="119"/>
      <c r="HS36" s="119"/>
      <c r="HT36" s="119"/>
      <c r="HU36" s="119"/>
      <c r="HV36" s="119"/>
      <c r="HW36" s="119"/>
      <c r="HX36" s="119"/>
      <c r="HY36" s="119"/>
      <c r="HZ36" s="119"/>
      <c r="IA36" s="119"/>
      <c r="IB36" s="119"/>
      <c r="IC36" s="119"/>
      <c r="ID36" s="119"/>
      <c r="IE36" s="119"/>
      <c r="IF36" s="119"/>
      <c r="IG36" s="119"/>
      <c r="IH36" s="119"/>
      <c r="II36" s="119"/>
      <c r="IJ36" s="119"/>
      <c r="IK36" s="119"/>
      <c r="IL36" s="119"/>
      <c r="IM36" s="119"/>
      <c r="IN36" s="119"/>
      <c r="IO36" s="119"/>
      <c r="IP36" s="119"/>
      <c r="IQ36" s="119"/>
      <c r="IR36" s="119"/>
      <c r="IS36" s="119"/>
      <c r="IT36" s="119"/>
      <c r="IU36" s="119"/>
    </row>
    <row r="37" spans="1:255" x14ac:dyDescent="0.2">
      <c r="A37" s="114" t="s">
        <v>46</v>
      </c>
      <c r="B37" s="110">
        <v>558</v>
      </c>
      <c r="D37" s="110">
        <v>18950.5</v>
      </c>
      <c r="E37" s="110">
        <v>13850</v>
      </c>
      <c r="F37" s="134"/>
      <c r="G37" s="110"/>
      <c r="H37" s="110">
        <v>5718</v>
      </c>
      <c r="I37" s="110">
        <v>10051</v>
      </c>
      <c r="J37" s="110">
        <v>8637</v>
      </c>
      <c r="K37" s="136">
        <f>SUM(B37:J37)</f>
        <v>57764.5</v>
      </c>
      <c r="L37" s="119"/>
      <c r="M37" s="119"/>
      <c r="N37" s="119"/>
      <c r="O37" s="119"/>
      <c r="P37" s="119"/>
      <c r="Q37" s="119"/>
      <c r="R37" s="119"/>
      <c r="S37" s="119"/>
      <c r="T37" s="119"/>
      <c r="U37" s="119"/>
      <c r="V37" s="119"/>
      <c r="W37" s="119"/>
      <c r="X37" s="119"/>
      <c r="Y37" s="119"/>
      <c r="Z37" s="119"/>
      <c r="AA37" s="119"/>
      <c r="AB37" s="119"/>
      <c r="AC37" s="119"/>
      <c r="AD37" s="119"/>
      <c r="AE37" s="119"/>
      <c r="AF37" s="119"/>
      <c r="AG37" s="119"/>
      <c r="AH37" s="119"/>
      <c r="AI37" s="119"/>
      <c r="AJ37" s="119"/>
      <c r="AK37" s="119"/>
      <c r="AL37" s="119"/>
      <c r="AM37" s="119"/>
      <c r="AN37" s="119"/>
      <c r="AO37" s="119"/>
      <c r="AP37" s="119"/>
      <c r="AQ37" s="119"/>
      <c r="AR37" s="119"/>
      <c r="AS37" s="119"/>
      <c r="AT37" s="119"/>
      <c r="AU37" s="119"/>
      <c r="AV37" s="119"/>
      <c r="AW37" s="119"/>
      <c r="AX37" s="119"/>
      <c r="AY37" s="119"/>
      <c r="AZ37" s="119"/>
      <c r="BA37" s="119"/>
      <c r="BB37" s="119"/>
      <c r="BC37" s="119"/>
      <c r="BD37" s="119"/>
      <c r="BE37" s="119"/>
      <c r="BF37" s="119"/>
      <c r="BG37" s="119"/>
      <c r="BH37" s="119"/>
      <c r="BI37" s="119"/>
      <c r="BJ37" s="119"/>
      <c r="BK37" s="119"/>
      <c r="BL37" s="119"/>
      <c r="BM37" s="119"/>
      <c r="BN37" s="119"/>
      <c r="BO37" s="119"/>
      <c r="BP37" s="119"/>
      <c r="BQ37" s="119"/>
      <c r="BR37" s="119"/>
      <c r="BS37" s="119"/>
      <c r="BT37" s="119"/>
      <c r="BU37" s="119"/>
      <c r="BV37" s="119"/>
      <c r="BW37" s="119"/>
      <c r="BX37" s="119"/>
      <c r="BY37" s="119"/>
      <c r="BZ37" s="119"/>
      <c r="CA37" s="119"/>
      <c r="CB37" s="119"/>
      <c r="CC37" s="119"/>
      <c r="CD37" s="119"/>
      <c r="CE37" s="119"/>
      <c r="CF37" s="119"/>
      <c r="CG37" s="119"/>
      <c r="CH37" s="119"/>
      <c r="CI37" s="119"/>
      <c r="CJ37" s="119"/>
      <c r="CK37" s="119"/>
      <c r="CL37" s="119"/>
      <c r="CM37" s="119"/>
      <c r="CN37" s="119"/>
      <c r="CO37" s="119"/>
      <c r="CP37" s="119"/>
      <c r="CQ37" s="119"/>
      <c r="CR37" s="119"/>
      <c r="CS37" s="119"/>
      <c r="CT37" s="119"/>
      <c r="CU37" s="119"/>
      <c r="CV37" s="119"/>
      <c r="CW37" s="119"/>
      <c r="CX37" s="119"/>
      <c r="CY37" s="119"/>
      <c r="CZ37" s="119"/>
      <c r="DA37" s="119"/>
      <c r="DB37" s="119"/>
      <c r="DC37" s="119"/>
      <c r="DD37" s="119"/>
      <c r="DE37" s="119"/>
      <c r="DF37" s="119"/>
      <c r="DG37" s="119"/>
      <c r="DH37" s="119"/>
      <c r="DI37" s="119"/>
      <c r="DJ37" s="119"/>
      <c r="DK37" s="119"/>
      <c r="DL37" s="119"/>
      <c r="DM37" s="119"/>
      <c r="DN37" s="119"/>
      <c r="DO37" s="119"/>
      <c r="DP37" s="119"/>
      <c r="DQ37" s="119"/>
      <c r="DR37" s="119"/>
      <c r="DS37" s="119"/>
      <c r="DT37" s="119"/>
      <c r="DU37" s="119"/>
      <c r="DV37" s="119"/>
      <c r="DW37" s="119"/>
      <c r="DX37" s="119"/>
      <c r="DY37" s="119"/>
      <c r="DZ37" s="119"/>
      <c r="EA37" s="119"/>
      <c r="EB37" s="119"/>
      <c r="EC37" s="119"/>
      <c r="ED37" s="119"/>
      <c r="EE37" s="119"/>
      <c r="EF37" s="119"/>
      <c r="EG37" s="119"/>
      <c r="EH37" s="119"/>
      <c r="EI37" s="119"/>
      <c r="EJ37" s="119"/>
      <c r="EK37" s="119"/>
      <c r="EL37" s="119"/>
      <c r="EM37" s="119"/>
      <c r="EN37" s="119"/>
      <c r="EO37" s="119"/>
      <c r="EP37" s="119"/>
      <c r="EQ37" s="119"/>
      <c r="ER37" s="119"/>
      <c r="ES37" s="119"/>
      <c r="ET37" s="119"/>
      <c r="EU37" s="119"/>
      <c r="EV37" s="119"/>
      <c r="EW37" s="119"/>
      <c r="EX37" s="119"/>
      <c r="EY37" s="119"/>
      <c r="EZ37" s="119"/>
      <c r="FA37" s="119"/>
      <c r="FB37" s="119"/>
      <c r="FC37" s="119"/>
      <c r="FD37" s="119"/>
      <c r="FE37" s="119"/>
      <c r="FF37" s="119"/>
      <c r="FG37" s="119"/>
      <c r="FH37" s="119"/>
      <c r="FI37" s="119"/>
      <c r="FJ37" s="119"/>
      <c r="FK37" s="119"/>
      <c r="FL37" s="119"/>
      <c r="FM37" s="119"/>
      <c r="FN37" s="119"/>
      <c r="FO37" s="119"/>
      <c r="FP37" s="119"/>
      <c r="FQ37" s="119"/>
      <c r="FR37" s="119"/>
      <c r="FS37" s="119"/>
      <c r="FT37" s="119"/>
      <c r="FU37" s="119"/>
      <c r="FV37" s="119"/>
      <c r="FW37" s="119"/>
      <c r="FX37" s="119"/>
      <c r="FY37" s="119"/>
      <c r="FZ37" s="119"/>
      <c r="GA37" s="119"/>
      <c r="GB37" s="119"/>
      <c r="GC37" s="119"/>
      <c r="GD37" s="119"/>
      <c r="GE37" s="119"/>
      <c r="GF37" s="119"/>
      <c r="GG37" s="119"/>
      <c r="GH37" s="119"/>
      <c r="GI37" s="119"/>
      <c r="GJ37" s="119"/>
      <c r="GK37" s="119"/>
      <c r="GL37" s="119"/>
      <c r="GM37" s="119"/>
      <c r="GN37" s="119"/>
      <c r="GO37" s="119"/>
      <c r="GP37" s="119"/>
      <c r="GQ37" s="119"/>
      <c r="GR37" s="119"/>
      <c r="GS37" s="119"/>
      <c r="GT37" s="119"/>
      <c r="GU37" s="119"/>
      <c r="GV37" s="119"/>
      <c r="GW37" s="119"/>
      <c r="GX37" s="119"/>
      <c r="GY37" s="119"/>
      <c r="GZ37" s="119"/>
      <c r="HA37" s="119"/>
      <c r="HB37" s="119"/>
      <c r="HC37" s="119"/>
      <c r="HD37" s="119"/>
      <c r="HE37" s="119"/>
      <c r="HF37" s="119"/>
      <c r="HG37" s="119"/>
      <c r="HH37" s="119"/>
      <c r="HI37" s="119"/>
      <c r="HJ37" s="119"/>
      <c r="HK37" s="119"/>
      <c r="HL37" s="119"/>
      <c r="HM37" s="119"/>
      <c r="HN37" s="119"/>
      <c r="HO37" s="119"/>
      <c r="HP37" s="119"/>
      <c r="HQ37" s="119"/>
      <c r="HR37" s="119"/>
      <c r="HS37" s="119"/>
      <c r="HT37" s="119"/>
      <c r="HU37" s="119"/>
      <c r="HV37" s="119"/>
      <c r="HW37" s="119"/>
      <c r="HX37" s="119"/>
      <c r="HY37" s="119"/>
      <c r="HZ37" s="119"/>
      <c r="IA37" s="119"/>
      <c r="IB37" s="119"/>
      <c r="IC37" s="119"/>
      <c r="ID37" s="119"/>
      <c r="IE37" s="119"/>
      <c r="IF37" s="119"/>
      <c r="IG37" s="119"/>
      <c r="IH37" s="119"/>
      <c r="II37" s="119"/>
      <c r="IJ37" s="119"/>
      <c r="IK37" s="119"/>
      <c r="IL37" s="119"/>
      <c r="IM37" s="119"/>
      <c r="IN37" s="119"/>
      <c r="IO37" s="119"/>
      <c r="IP37" s="119"/>
      <c r="IQ37" s="119"/>
      <c r="IR37" s="119"/>
      <c r="IS37" s="119"/>
      <c r="IT37" s="119"/>
      <c r="IU37" s="119"/>
    </row>
    <row r="38" spans="1:255" x14ac:dyDescent="0.2">
      <c r="A38" s="114" t="s">
        <v>201</v>
      </c>
      <c r="D38" s="110">
        <v>4548.5</v>
      </c>
      <c r="F38" s="110"/>
      <c r="G38" s="110"/>
      <c r="H38" s="110"/>
      <c r="I38" s="110"/>
      <c r="J38" s="110">
        <v>1774</v>
      </c>
      <c r="K38" s="136">
        <f>SUM(B38:J38)</f>
        <v>6322.5</v>
      </c>
      <c r="L38" s="119"/>
      <c r="M38" s="119"/>
      <c r="N38" s="119"/>
      <c r="O38" s="119"/>
      <c r="P38" s="119"/>
      <c r="Q38" s="119"/>
      <c r="R38" s="119"/>
      <c r="S38" s="119"/>
      <c r="T38" s="119"/>
      <c r="U38" s="119"/>
      <c r="V38" s="119"/>
      <c r="W38" s="119"/>
      <c r="X38" s="119"/>
      <c r="Y38" s="119"/>
      <c r="Z38" s="119"/>
      <c r="AA38" s="119"/>
      <c r="AB38" s="119"/>
      <c r="AC38" s="119"/>
      <c r="AD38" s="119"/>
      <c r="AE38" s="119"/>
      <c r="AF38" s="119"/>
      <c r="AG38" s="119"/>
      <c r="AH38" s="119"/>
      <c r="AI38" s="119"/>
      <c r="AJ38" s="119"/>
      <c r="AK38" s="119"/>
      <c r="AL38" s="119"/>
      <c r="AM38" s="119"/>
      <c r="AN38" s="119"/>
      <c r="AO38" s="119"/>
      <c r="AP38" s="119"/>
      <c r="AQ38" s="119"/>
      <c r="AR38" s="119"/>
      <c r="AS38" s="119"/>
      <c r="AT38" s="119"/>
      <c r="AU38" s="119"/>
      <c r="AV38" s="119"/>
      <c r="AW38" s="119"/>
      <c r="AX38" s="119"/>
      <c r="AY38" s="119"/>
      <c r="AZ38" s="119"/>
      <c r="BA38" s="119"/>
      <c r="BB38" s="119"/>
      <c r="BC38" s="119"/>
      <c r="BD38" s="119"/>
      <c r="BE38" s="119"/>
      <c r="BF38" s="119"/>
      <c r="BG38" s="119"/>
      <c r="BH38" s="119"/>
      <c r="BI38" s="119"/>
      <c r="BJ38" s="119"/>
      <c r="BK38" s="119"/>
      <c r="BL38" s="119"/>
      <c r="BM38" s="119"/>
      <c r="BN38" s="119"/>
      <c r="BO38" s="119"/>
      <c r="BP38" s="119"/>
      <c r="BQ38" s="119"/>
      <c r="BR38" s="119"/>
      <c r="BS38" s="119"/>
      <c r="BT38" s="119"/>
      <c r="BU38" s="119"/>
      <c r="BV38" s="119"/>
      <c r="BW38" s="119"/>
      <c r="BX38" s="119"/>
      <c r="BY38" s="119"/>
      <c r="BZ38" s="119"/>
      <c r="CA38" s="119"/>
      <c r="CB38" s="119"/>
      <c r="CC38" s="119"/>
      <c r="CD38" s="119"/>
      <c r="CE38" s="119"/>
      <c r="CF38" s="119"/>
      <c r="CG38" s="119"/>
      <c r="CH38" s="119"/>
      <c r="CI38" s="119"/>
      <c r="CJ38" s="119"/>
      <c r="CK38" s="119"/>
      <c r="CL38" s="119"/>
      <c r="CM38" s="119"/>
      <c r="CN38" s="119"/>
      <c r="CO38" s="119"/>
      <c r="CP38" s="119"/>
      <c r="CQ38" s="119"/>
      <c r="CR38" s="119"/>
      <c r="CS38" s="119"/>
      <c r="CT38" s="119"/>
      <c r="CU38" s="119"/>
      <c r="CV38" s="119"/>
      <c r="CW38" s="119"/>
      <c r="CX38" s="119"/>
      <c r="CY38" s="119"/>
      <c r="CZ38" s="119"/>
      <c r="DA38" s="119"/>
      <c r="DB38" s="119"/>
      <c r="DC38" s="119"/>
      <c r="DD38" s="119"/>
      <c r="DE38" s="119"/>
      <c r="DF38" s="119"/>
      <c r="DG38" s="119"/>
      <c r="DH38" s="119"/>
      <c r="DI38" s="119"/>
      <c r="DJ38" s="119"/>
      <c r="DK38" s="119"/>
      <c r="DL38" s="119"/>
      <c r="DM38" s="119"/>
      <c r="DN38" s="119"/>
      <c r="DO38" s="119"/>
      <c r="DP38" s="119"/>
      <c r="DQ38" s="119"/>
      <c r="DR38" s="119"/>
      <c r="DS38" s="119"/>
      <c r="DT38" s="119"/>
      <c r="DU38" s="119"/>
      <c r="DV38" s="119"/>
      <c r="DW38" s="119"/>
      <c r="DX38" s="119"/>
      <c r="DY38" s="119"/>
      <c r="DZ38" s="119"/>
      <c r="EA38" s="119"/>
      <c r="EB38" s="119"/>
      <c r="EC38" s="119"/>
      <c r="ED38" s="119"/>
      <c r="EE38" s="119"/>
      <c r="EF38" s="119"/>
      <c r="EG38" s="119"/>
      <c r="EH38" s="119"/>
      <c r="EI38" s="119"/>
      <c r="EJ38" s="119"/>
      <c r="EK38" s="119"/>
      <c r="EL38" s="119"/>
      <c r="EM38" s="119"/>
      <c r="EN38" s="119"/>
      <c r="EO38" s="119"/>
      <c r="EP38" s="119"/>
      <c r="EQ38" s="119"/>
      <c r="ER38" s="119"/>
      <c r="ES38" s="119"/>
      <c r="ET38" s="119"/>
      <c r="EU38" s="119"/>
      <c r="EV38" s="119"/>
      <c r="EW38" s="119"/>
      <c r="EX38" s="119"/>
      <c r="EY38" s="119"/>
      <c r="EZ38" s="119"/>
      <c r="FA38" s="119"/>
      <c r="FB38" s="119"/>
      <c r="FC38" s="119"/>
      <c r="FD38" s="119"/>
      <c r="FE38" s="119"/>
      <c r="FF38" s="119"/>
      <c r="FG38" s="119"/>
      <c r="FH38" s="119"/>
      <c r="FI38" s="119"/>
      <c r="FJ38" s="119"/>
      <c r="FK38" s="119"/>
      <c r="FL38" s="119"/>
      <c r="FM38" s="119"/>
      <c r="FN38" s="119"/>
      <c r="FO38" s="119"/>
      <c r="FP38" s="119"/>
      <c r="FQ38" s="119"/>
      <c r="FR38" s="119"/>
      <c r="FS38" s="119"/>
      <c r="FT38" s="119"/>
      <c r="FU38" s="119"/>
      <c r="FV38" s="119"/>
      <c r="FW38" s="119"/>
      <c r="FX38" s="119"/>
      <c r="FY38" s="119"/>
      <c r="FZ38" s="119"/>
      <c r="GA38" s="119"/>
      <c r="GB38" s="119"/>
      <c r="GC38" s="119"/>
      <c r="GD38" s="119"/>
      <c r="GE38" s="119"/>
      <c r="GF38" s="119"/>
      <c r="GG38" s="119"/>
      <c r="GH38" s="119"/>
      <c r="GI38" s="119"/>
      <c r="GJ38" s="119"/>
      <c r="GK38" s="119"/>
      <c r="GL38" s="119"/>
      <c r="GM38" s="119"/>
      <c r="GN38" s="119"/>
      <c r="GO38" s="119"/>
      <c r="GP38" s="119"/>
      <c r="GQ38" s="119"/>
      <c r="GR38" s="119"/>
      <c r="GS38" s="119"/>
      <c r="GT38" s="119"/>
      <c r="GU38" s="119"/>
      <c r="GV38" s="119"/>
      <c r="GW38" s="119"/>
      <c r="GX38" s="119"/>
      <c r="GY38" s="119"/>
      <c r="GZ38" s="119"/>
      <c r="HA38" s="119"/>
      <c r="HB38" s="119"/>
      <c r="HC38" s="119"/>
      <c r="HD38" s="119"/>
      <c r="HE38" s="119"/>
      <c r="HF38" s="119"/>
      <c r="HG38" s="119"/>
      <c r="HH38" s="119"/>
      <c r="HI38" s="119"/>
      <c r="HJ38" s="119"/>
      <c r="HK38" s="119"/>
      <c r="HL38" s="119"/>
      <c r="HM38" s="119"/>
      <c r="HN38" s="119"/>
      <c r="HO38" s="119"/>
      <c r="HP38" s="119"/>
      <c r="HQ38" s="119"/>
      <c r="HR38" s="119"/>
      <c r="HS38" s="119"/>
      <c r="HT38" s="119"/>
      <c r="HU38" s="119"/>
      <c r="HV38" s="119"/>
      <c r="HW38" s="119"/>
      <c r="HX38" s="119"/>
      <c r="HY38" s="119"/>
      <c r="HZ38" s="119"/>
      <c r="IA38" s="119"/>
      <c r="IB38" s="119"/>
      <c r="IC38" s="119"/>
      <c r="ID38" s="119"/>
      <c r="IE38" s="119"/>
      <c r="IF38" s="119"/>
      <c r="IG38" s="119"/>
      <c r="IH38" s="119"/>
      <c r="II38" s="119"/>
      <c r="IJ38" s="119"/>
      <c r="IK38" s="119"/>
      <c r="IL38" s="119"/>
      <c r="IM38" s="119"/>
      <c r="IN38" s="119"/>
      <c r="IO38" s="119"/>
      <c r="IP38" s="119"/>
      <c r="IQ38" s="119"/>
      <c r="IR38" s="119"/>
      <c r="IS38" s="119"/>
      <c r="IT38" s="119"/>
      <c r="IU38" s="119"/>
    </row>
    <row r="39" spans="1:255" ht="14.25" x14ac:dyDescent="0.2">
      <c r="A39" s="155" t="s">
        <v>202</v>
      </c>
      <c r="C39" s="110">
        <v>15191</v>
      </c>
      <c r="E39" s="110">
        <v>17268</v>
      </c>
      <c r="F39" s="110"/>
      <c r="G39" s="134"/>
      <c r="H39" s="110">
        <v>11264</v>
      </c>
      <c r="I39" s="110"/>
      <c r="J39" s="110">
        <v>31826</v>
      </c>
      <c r="K39" s="136">
        <f>SUM(B39:J39)</f>
        <v>75549</v>
      </c>
      <c r="L39" s="119"/>
      <c r="M39" s="119"/>
      <c r="N39" s="119"/>
      <c r="O39" s="119"/>
      <c r="P39" s="119"/>
      <c r="Q39" s="119"/>
      <c r="R39" s="119"/>
      <c r="S39" s="119"/>
      <c r="T39" s="119"/>
      <c r="U39" s="119"/>
      <c r="V39" s="119"/>
      <c r="W39" s="119"/>
      <c r="X39" s="119"/>
      <c r="Y39" s="119"/>
      <c r="Z39" s="119"/>
      <c r="AA39" s="119"/>
      <c r="AB39" s="119"/>
      <c r="AC39" s="119"/>
      <c r="AD39" s="119"/>
      <c r="AE39" s="119"/>
      <c r="AF39" s="119"/>
      <c r="AG39" s="119"/>
      <c r="AH39" s="119"/>
      <c r="AI39" s="119"/>
      <c r="AJ39" s="119"/>
      <c r="AK39" s="119"/>
      <c r="AL39" s="119"/>
      <c r="AM39" s="119"/>
      <c r="AN39" s="119"/>
      <c r="AO39" s="119"/>
      <c r="AP39" s="119"/>
      <c r="AQ39" s="119"/>
      <c r="AR39" s="119"/>
      <c r="AS39" s="119"/>
      <c r="AT39" s="119"/>
      <c r="AU39" s="119"/>
      <c r="AV39" s="119"/>
      <c r="AW39" s="119"/>
      <c r="AX39" s="119"/>
      <c r="AY39" s="119"/>
      <c r="AZ39" s="119"/>
      <c r="BA39" s="119"/>
      <c r="BB39" s="119"/>
      <c r="BC39" s="119"/>
      <c r="BD39" s="119"/>
      <c r="BE39" s="119"/>
      <c r="BF39" s="119"/>
      <c r="BG39" s="119"/>
      <c r="BH39" s="119"/>
      <c r="BI39" s="119"/>
      <c r="BJ39" s="119"/>
      <c r="BK39" s="119"/>
      <c r="BL39" s="119"/>
      <c r="BM39" s="119"/>
      <c r="BN39" s="119"/>
      <c r="BO39" s="119"/>
      <c r="BP39" s="119"/>
      <c r="BQ39" s="119"/>
      <c r="BR39" s="119"/>
      <c r="BS39" s="119"/>
      <c r="BT39" s="119"/>
      <c r="BU39" s="119"/>
      <c r="BV39" s="119"/>
      <c r="BW39" s="119"/>
      <c r="BX39" s="119"/>
      <c r="BY39" s="119"/>
      <c r="BZ39" s="119"/>
      <c r="CA39" s="119"/>
      <c r="CB39" s="119"/>
      <c r="CC39" s="119"/>
      <c r="CD39" s="119"/>
      <c r="CE39" s="119"/>
      <c r="CF39" s="119"/>
      <c r="CG39" s="119"/>
      <c r="CH39" s="119"/>
      <c r="CI39" s="119"/>
      <c r="CJ39" s="119"/>
      <c r="CK39" s="119"/>
      <c r="CL39" s="119"/>
      <c r="CM39" s="119"/>
      <c r="CN39" s="119"/>
      <c r="CO39" s="119"/>
      <c r="CP39" s="119"/>
      <c r="CQ39" s="119"/>
      <c r="CR39" s="119"/>
      <c r="CS39" s="119"/>
      <c r="CT39" s="119"/>
      <c r="CU39" s="119"/>
      <c r="CV39" s="119"/>
      <c r="CW39" s="119"/>
      <c r="CX39" s="119"/>
      <c r="CY39" s="119"/>
      <c r="CZ39" s="119"/>
      <c r="DA39" s="119"/>
      <c r="DB39" s="119"/>
      <c r="DC39" s="119"/>
      <c r="DD39" s="119"/>
      <c r="DE39" s="119"/>
      <c r="DF39" s="119"/>
      <c r="DG39" s="119"/>
      <c r="DH39" s="119"/>
      <c r="DI39" s="119"/>
      <c r="DJ39" s="119"/>
      <c r="DK39" s="119"/>
      <c r="DL39" s="119"/>
      <c r="DM39" s="119"/>
      <c r="DN39" s="119"/>
      <c r="DO39" s="119"/>
      <c r="DP39" s="119"/>
      <c r="DQ39" s="119"/>
      <c r="DR39" s="119"/>
      <c r="DS39" s="119"/>
      <c r="DT39" s="119"/>
      <c r="DU39" s="119"/>
      <c r="DV39" s="119"/>
      <c r="DW39" s="119"/>
      <c r="DX39" s="119"/>
      <c r="DY39" s="119"/>
      <c r="DZ39" s="119"/>
      <c r="EA39" s="119"/>
      <c r="EB39" s="119"/>
      <c r="EC39" s="119"/>
      <c r="ED39" s="119"/>
      <c r="EE39" s="119"/>
      <c r="EF39" s="119"/>
      <c r="EG39" s="119"/>
      <c r="EH39" s="119"/>
      <c r="EI39" s="119"/>
      <c r="EJ39" s="119"/>
      <c r="EK39" s="119"/>
      <c r="EL39" s="119"/>
      <c r="EM39" s="119"/>
      <c r="EN39" s="119"/>
      <c r="EO39" s="119"/>
      <c r="EP39" s="119"/>
      <c r="EQ39" s="119"/>
      <c r="ER39" s="119"/>
      <c r="ES39" s="119"/>
      <c r="ET39" s="119"/>
      <c r="EU39" s="119"/>
      <c r="EV39" s="119"/>
      <c r="EW39" s="119"/>
      <c r="EX39" s="119"/>
      <c r="EY39" s="119"/>
      <c r="EZ39" s="119"/>
      <c r="FA39" s="119"/>
      <c r="FB39" s="119"/>
      <c r="FC39" s="119"/>
      <c r="FD39" s="119"/>
      <c r="FE39" s="119"/>
      <c r="FF39" s="119"/>
      <c r="FG39" s="119"/>
      <c r="FH39" s="119"/>
      <c r="FI39" s="119"/>
      <c r="FJ39" s="119"/>
      <c r="FK39" s="119"/>
      <c r="FL39" s="119"/>
      <c r="FM39" s="119"/>
      <c r="FN39" s="119"/>
      <c r="FO39" s="119"/>
      <c r="FP39" s="119"/>
      <c r="FQ39" s="119"/>
      <c r="FR39" s="119"/>
      <c r="FS39" s="119"/>
      <c r="FT39" s="119"/>
      <c r="FU39" s="119"/>
      <c r="FV39" s="119"/>
      <c r="FW39" s="119"/>
      <c r="FX39" s="119"/>
      <c r="FY39" s="119"/>
      <c r="FZ39" s="119"/>
      <c r="GA39" s="119"/>
      <c r="GB39" s="119"/>
      <c r="GC39" s="119"/>
      <c r="GD39" s="119"/>
      <c r="GE39" s="119"/>
      <c r="GF39" s="119"/>
      <c r="GG39" s="119"/>
      <c r="GH39" s="119"/>
      <c r="GI39" s="119"/>
      <c r="GJ39" s="119"/>
      <c r="GK39" s="119"/>
      <c r="GL39" s="119"/>
      <c r="GM39" s="119"/>
      <c r="GN39" s="119"/>
      <c r="GO39" s="119"/>
      <c r="GP39" s="119"/>
      <c r="GQ39" s="119"/>
      <c r="GR39" s="119"/>
      <c r="GS39" s="119"/>
      <c r="GT39" s="119"/>
      <c r="GU39" s="119"/>
      <c r="GV39" s="119"/>
      <c r="GW39" s="119"/>
      <c r="GX39" s="119"/>
      <c r="GY39" s="119"/>
      <c r="GZ39" s="119"/>
      <c r="HA39" s="119"/>
      <c r="HB39" s="119"/>
      <c r="HC39" s="119"/>
      <c r="HD39" s="119"/>
      <c r="HE39" s="119"/>
      <c r="HF39" s="119"/>
      <c r="HG39" s="119"/>
      <c r="HH39" s="119"/>
      <c r="HI39" s="119"/>
      <c r="HJ39" s="119"/>
      <c r="HK39" s="119"/>
      <c r="HL39" s="119"/>
      <c r="HM39" s="119"/>
      <c r="HN39" s="119"/>
      <c r="HO39" s="119"/>
      <c r="HP39" s="119"/>
      <c r="HQ39" s="119"/>
      <c r="HR39" s="119"/>
      <c r="HS39" s="119"/>
      <c r="HT39" s="119"/>
      <c r="HU39" s="119"/>
      <c r="HV39" s="119"/>
      <c r="HW39" s="119"/>
      <c r="HX39" s="119"/>
      <c r="HY39" s="119"/>
      <c r="HZ39" s="119"/>
      <c r="IA39" s="119"/>
      <c r="IB39" s="119"/>
      <c r="IC39" s="119"/>
      <c r="ID39" s="119"/>
      <c r="IE39" s="119"/>
      <c r="IF39" s="119"/>
      <c r="IG39" s="119"/>
      <c r="IH39" s="119"/>
      <c r="II39" s="119"/>
      <c r="IJ39" s="119"/>
      <c r="IK39" s="119"/>
      <c r="IL39" s="119"/>
      <c r="IM39" s="119"/>
      <c r="IN39" s="119"/>
      <c r="IO39" s="119"/>
      <c r="IP39" s="119"/>
      <c r="IQ39" s="119"/>
      <c r="IR39" s="119"/>
      <c r="IS39" s="119"/>
      <c r="IT39" s="119"/>
      <c r="IU39" s="119"/>
    </row>
    <row r="40" spans="1:255" x14ac:dyDescent="0.2">
      <c r="F40" s="110"/>
      <c r="G40" s="110"/>
      <c r="H40" s="110"/>
      <c r="I40" s="110"/>
      <c r="J40" s="110"/>
      <c r="K40" s="110"/>
      <c r="L40" s="119"/>
      <c r="M40" s="119"/>
      <c r="N40" s="119"/>
      <c r="O40" s="119"/>
      <c r="P40" s="119"/>
      <c r="Q40" s="119"/>
      <c r="R40" s="119"/>
      <c r="S40" s="119"/>
      <c r="T40" s="119"/>
      <c r="U40" s="119"/>
      <c r="V40" s="119"/>
      <c r="W40" s="119"/>
      <c r="X40" s="119"/>
      <c r="Y40" s="119"/>
      <c r="Z40" s="119"/>
      <c r="AA40" s="119"/>
      <c r="AB40" s="119"/>
      <c r="AC40" s="119"/>
      <c r="AD40" s="119"/>
      <c r="AE40" s="119"/>
      <c r="AF40" s="119"/>
      <c r="AG40" s="119"/>
      <c r="AH40" s="119"/>
      <c r="AI40" s="119"/>
      <c r="AJ40" s="119"/>
      <c r="AK40" s="119"/>
      <c r="AL40" s="119"/>
      <c r="AM40" s="119"/>
      <c r="AN40" s="119"/>
      <c r="AO40" s="119"/>
      <c r="AP40" s="119"/>
      <c r="AQ40" s="119"/>
      <c r="AR40" s="119"/>
      <c r="AS40" s="119"/>
      <c r="AT40" s="119"/>
      <c r="AU40" s="119"/>
      <c r="AV40" s="119"/>
      <c r="AW40" s="119"/>
      <c r="AX40" s="119"/>
      <c r="AY40" s="119"/>
      <c r="AZ40" s="119"/>
      <c r="BA40" s="119"/>
      <c r="BB40" s="119"/>
      <c r="BC40" s="119"/>
      <c r="BD40" s="119"/>
      <c r="BE40" s="119"/>
      <c r="BF40" s="119"/>
      <c r="BG40" s="119"/>
      <c r="BH40" s="119"/>
      <c r="BI40" s="119"/>
      <c r="BJ40" s="119"/>
      <c r="BK40" s="119"/>
      <c r="BL40" s="119"/>
      <c r="BM40" s="119"/>
      <c r="BN40" s="119"/>
      <c r="BO40" s="119"/>
      <c r="BP40" s="119"/>
      <c r="BQ40" s="119"/>
      <c r="BR40" s="119"/>
      <c r="BS40" s="119"/>
      <c r="BT40" s="119"/>
      <c r="BU40" s="119"/>
      <c r="BV40" s="119"/>
      <c r="BW40" s="119"/>
      <c r="BX40" s="119"/>
      <c r="BY40" s="119"/>
      <c r="BZ40" s="119"/>
      <c r="CA40" s="119"/>
      <c r="CB40" s="119"/>
      <c r="CC40" s="119"/>
      <c r="CD40" s="119"/>
      <c r="CE40" s="119"/>
      <c r="CF40" s="119"/>
      <c r="CG40" s="119"/>
      <c r="CH40" s="119"/>
      <c r="CI40" s="119"/>
      <c r="CJ40" s="119"/>
      <c r="CK40" s="119"/>
      <c r="CL40" s="119"/>
      <c r="CM40" s="119"/>
      <c r="CN40" s="119"/>
      <c r="CO40" s="119"/>
      <c r="CP40" s="119"/>
      <c r="CQ40" s="119"/>
      <c r="CR40" s="119"/>
      <c r="CS40" s="119"/>
      <c r="CT40" s="119"/>
      <c r="CU40" s="119"/>
      <c r="CV40" s="119"/>
      <c r="CW40" s="119"/>
      <c r="CX40" s="119"/>
      <c r="CY40" s="119"/>
      <c r="CZ40" s="119"/>
      <c r="DA40" s="119"/>
      <c r="DB40" s="119"/>
      <c r="DC40" s="119"/>
      <c r="DD40" s="119"/>
      <c r="DE40" s="119"/>
      <c r="DF40" s="119"/>
      <c r="DG40" s="119"/>
      <c r="DH40" s="119"/>
      <c r="DI40" s="119"/>
      <c r="DJ40" s="119"/>
      <c r="DK40" s="119"/>
      <c r="DL40" s="119"/>
      <c r="DM40" s="119"/>
      <c r="DN40" s="119"/>
      <c r="DO40" s="119"/>
      <c r="DP40" s="119"/>
      <c r="DQ40" s="119"/>
      <c r="DR40" s="119"/>
      <c r="DS40" s="119"/>
      <c r="DT40" s="119"/>
      <c r="DU40" s="119"/>
      <c r="DV40" s="119"/>
      <c r="DW40" s="119"/>
      <c r="DX40" s="119"/>
      <c r="DY40" s="119"/>
      <c r="DZ40" s="119"/>
      <c r="EA40" s="119"/>
      <c r="EB40" s="119"/>
      <c r="EC40" s="119"/>
      <c r="ED40" s="119"/>
      <c r="EE40" s="119"/>
      <c r="EF40" s="119"/>
      <c r="EG40" s="119"/>
      <c r="EH40" s="119"/>
      <c r="EI40" s="119"/>
      <c r="EJ40" s="119"/>
      <c r="EK40" s="119"/>
      <c r="EL40" s="119"/>
      <c r="EM40" s="119"/>
      <c r="EN40" s="119"/>
      <c r="EO40" s="119"/>
      <c r="EP40" s="119"/>
      <c r="EQ40" s="119"/>
      <c r="ER40" s="119"/>
      <c r="ES40" s="119"/>
      <c r="ET40" s="119"/>
      <c r="EU40" s="119"/>
      <c r="EV40" s="119"/>
      <c r="EW40" s="119"/>
      <c r="EX40" s="119"/>
      <c r="EY40" s="119"/>
      <c r="EZ40" s="119"/>
      <c r="FA40" s="119"/>
      <c r="FB40" s="119"/>
      <c r="FC40" s="119"/>
      <c r="FD40" s="119"/>
      <c r="FE40" s="119"/>
      <c r="FF40" s="119"/>
      <c r="FG40" s="119"/>
      <c r="FH40" s="119"/>
      <c r="FI40" s="119"/>
      <c r="FJ40" s="119"/>
      <c r="FK40" s="119"/>
      <c r="FL40" s="119"/>
      <c r="FM40" s="119"/>
      <c r="FN40" s="119"/>
      <c r="FO40" s="119"/>
      <c r="FP40" s="119"/>
      <c r="FQ40" s="119"/>
      <c r="FR40" s="119"/>
      <c r="FS40" s="119"/>
      <c r="FT40" s="119"/>
      <c r="FU40" s="119"/>
      <c r="FV40" s="119"/>
      <c r="FW40" s="119"/>
      <c r="FX40" s="119"/>
      <c r="FY40" s="119"/>
      <c r="FZ40" s="119"/>
      <c r="GA40" s="119"/>
      <c r="GB40" s="119"/>
      <c r="GC40" s="119"/>
      <c r="GD40" s="119"/>
      <c r="GE40" s="119"/>
      <c r="GF40" s="119"/>
      <c r="GG40" s="119"/>
      <c r="GH40" s="119"/>
      <c r="GI40" s="119"/>
      <c r="GJ40" s="119"/>
      <c r="GK40" s="119"/>
      <c r="GL40" s="119"/>
      <c r="GM40" s="119"/>
      <c r="GN40" s="119"/>
      <c r="GO40" s="119"/>
      <c r="GP40" s="119"/>
      <c r="GQ40" s="119"/>
      <c r="GR40" s="119"/>
      <c r="GS40" s="119"/>
      <c r="GT40" s="119"/>
      <c r="GU40" s="119"/>
      <c r="GV40" s="119"/>
      <c r="GW40" s="119"/>
      <c r="GX40" s="119"/>
      <c r="GY40" s="119"/>
      <c r="GZ40" s="119"/>
      <c r="HA40" s="119"/>
      <c r="HB40" s="119"/>
      <c r="HC40" s="119"/>
      <c r="HD40" s="119"/>
      <c r="HE40" s="119"/>
      <c r="HF40" s="119"/>
      <c r="HG40" s="119"/>
      <c r="HH40" s="119"/>
      <c r="HI40" s="119"/>
      <c r="HJ40" s="119"/>
      <c r="HK40" s="119"/>
      <c r="HL40" s="119"/>
      <c r="HM40" s="119"/>
      <c r="HN40" s="119"/>
      <c r="HO40" s="119"/>
      <c r="HP40" s="119"/>
      <c r="HQ40" s="119"/>
      <c r="HR40" s="119"/>
      <c r="HS40" s="119"/>
      <c r="HT40" s="119"/>
      <c r="HU40" s="119"/>
      <c r="HV40" s="119"/>
      <c r="HW40" s="119"/>
      <c r="HX40" s="119"/>
      <c r="HY40" s="119"/>
      <c r="HZ40" s="119"/>
      <c r="IA40" s="119"/>
      <c r="IB40" s="119"/>
      <c r="IC40" s="119"/>
      <c r="ID40" s="119"/>
      <c r="IE40" s="119"/>
      <c r="IF40" s="119"/>
      <c r="IG40" s="119"/>
      <c r="IH40" s="119"/>
      <c r="II40" s="119"/>
      <c r="IJ40" s="119"/>
      <c r="IK40" s="119"/>
      <c r="IL40" s="119"/>
      <c r="IM40" s="119"/>
      <c r="IN40" s="119"/>
      <c r="IO40" s="119"/>
      <c r="IP40" s="119"/>
      <c r="IQ40" s="119"/>
      <c r="IR40" s="119"/>
      <c r="IS40" s="119"/>
      <c r="IT40" s="119"/>
      <c r="IU40" s="119"/>
    </row>
    <row r="41" spans="1:255" ht="15" customHeight="1" x14ac:dyDescent="0.25">
      <c r="A41" s="153" t="s">
        <v>44</v>
      </c>
      <c r="B41" s="119"/>
      <c r="C41" s="119"/>
      <c r="D41" s="119"/>
      <c r="E41" s="119"/>
      <c r="F41" s="122"/>
      <c r="G41" s="122"/>
      <c r="H41" s="122"/>
      <c r="I41" s="122"/>
      <c r="J41" s="122"/>
      <c r="K41" s="131"/>
    </row>
    <row r="42" spans="1:255" ht="12" customHeight="1" x14ac:dyDescent="0.2">
      <c r="B42" s="119"/>
      <c r="C42" s="119"/>
      <c r="D42" s="119"/>
      <c r="E42" s="119"/>
      <c r="F42" s="122"/>
      <c r="G42" s="122"/>
      <c r="H42" s="122"/>
      <c r="I42" s="122"/>
      <c r="J42" s="122"/>
      <c r="K42" s="131"/>
    </row>
    <row r="43" spans="1:255" ht="12" customHeight="1" x14ac:dyDescent="0.2">
      <c r="A43" s="140" t="s">
        <v>73</v>
      </c>
      <c r="B43" s="119"/>
      <c r="C43" s="119"/>
      <c r="D43" s="119"/>
      <c r="E43" s="119"/>
      <c r="F43" s="122"/>
      <c r="G43" s="122"/>
      <c r="H43" s="122"/>
      <c r="I43" s="122"/>
      <c r="J43" s="122"/>
      <c r="K43" s="131"/>
    </row>
    <row r="44" spans="1:255" ht="12" customHeight="1" x14ac:dyDescent="0.2">
      <c r="B44" s="119"/>
      <c r="C44" s="119"/>
      <c r="D44" s="119"/>
      <c r="E44" s="119"/>
      <c r="F44" s="122"/>
      <c r="G44" s="122"/>
      <c r="H44" s="122"/>
      <c r="I44" s="122"/>
      <c r="J44" s="122"/>
      <c r="K44" s="131"/>
    </row>
    <row r="45" spans="1:255" ht="12" customHeight="1" x14ac:dyDescent="0.2">
      <c r="A45" s="114" t="s">
        <v>74</v>
      </c>
      <c r="B45" s="119">
        <v>49.276878689999997</v>
      </c>
      <c r="C45" s="119">
        <v>42.4</v>
      </c>
      <c r="D45" s="125">
        <v>63.725400189999995</v>
      </c>
      <c r="E45" s="119">
        <v>113.36</v>
      </c>
      <c r="F45" s="128"/>
      <c r="G45" s="128">
        <v>31.03</v>
      </c>
      <c r="H45" s="128">
        <v>104.655</v>
      </c>
      <c r="I45" s="128">
        <v>144.90594816999999</v>
      </c>
      <c r="J45" s="119">
        <v>342.12343279999999</v>
      </c>
      <c r="K45" s="131">
        <f t="shared" ref="K45:K54" si="3">SUM(B45:J45)</f>
        <v>891.47665985000003</v>
      </c>
    </row>
    <row r="46" spans="1:255" ht="12" customHeight="1" x14ac:dyDescent="0.2">
      <c r="A46" s="114" t="s">
        <v>75</v>
      </c>
      <c r="B46" s="119">
        <v>8.0236394099999995</v>
      </c>
      <c r="C46" s="119"/>
      <c r="D46" s="119"/>
      <c r="E46" s="119"/>
      <c r="F46" s="128"/>
      <c r="G46" s="128">
        <v>7.91</v>
      </c>
      <c r="H46" s="128"/>
      <c r="I46" s="128">
        <v>103.95900136</v>
      </c>
      <c r="J46" s="119">
        <v>31.077767469999998</v>
      </c>
      <c r="K46" s="131">
        <f t="shared" si="3"/>
        <v>150.97040823999998</v>
      </c>
    </row>
    <row r="47" spans="1:255" ht="12" customHeight="1" x14ac:dyDescent="0.2">
      <c r="A47" s="114" t="s">
        <v>105</v>
      </c>
      <c r="B47" s="119"/>
      <c r="C47" s="119">
        <v>239.56</v>
      </c>
      <c r="D47" s="119"/>
      <c r="E47" s="119">
        <v>282.83999999999997</v>
      </c>
      <c r="F47" s="128"/>
      <c r="G47" s="128">
        <v>1113.8</v>
      </c>
      <c r="H47" s="128"/>
      <c r="I47" s="128">
        <v>37.237520150000002</v>
      </c>
      <c r="J47" s="122"/>
      <c r="K47" s="131">
        <f t="shared" si="3"/>
        <v>1673.4375201499997</v>
      </c>
    </row>
    <row r="48" spans="1:255" ht="12" customHeight="1" x14ac:dyDescent="0.2">
      <c r="A48" s="114" t="s">
        <v>107</v>
      </c>
      <c r="B48" s="119">
        <v>2.0729704799999999</v>
      </c>
      <c r="C48" s="119">
        <v>16.760000000000002</v>
      </c>
      <c r="D48" s="119">
        <v>1213.46966</v>
      </c>
      <c r="E48" s="119">
        <v>4.96</v>
      </c>
      <c r="F48" s="128"/>
      <c r="G48" s="128">
        <v>145.69999999999999</v>
      </c>
      <c r="H48" s="128">
        <v>72.153999999999996</v>
      </c>
      <c r="I48" s="128"/>
      <c r="J48" s="122">
        <v>4.3129824499999998</v>
      </c>
      <c r="K48" s="131">
        <f t="shared" si="3"/>
        <v>1459.4296129300001</v>
      </c>
    </row>
    <row r="49" spans="1:11" ht="12" customHeight="1" x14ac:dyDescent="0.2">
      <c r="A49" s="114" t="s">
        <v>106</v>
      </c>
      <c r="B49" s="119"/>
      <c r="C49" s="119"/>
      <c r="D49" s="125">
        <v>1386.6884619699999</v>
      </c>
      <c r="E49" s="119"/>
      <c r="F49" s="128"/>
      <c r="G49" s="128"/>
      <c r="H49" s="128"/>
      <c r="I49" s="128">
        <v>1.9772048400000002</v>
      </c>
      <c r="J49" s="122"/>
      <c r="K49" s="131">
        <f t="shared" si="3"/>
        <v>1388.6656668099999</v>
      </c>
    </row>
    <row r="50" spans="1:11" ht="12" customHeight="1" x14ac:dyDescent="0.2">
      <c r="A50" s="114" t="s">
        <v>108</v>
      </c>
      <c r="B50" s="119"/>
      <c r="C50" s="119">
        <v>132.81</v>
      </c>
      <c r="D50" s="119">
        <v>645.83469786000001</v>
      </c>
      <c r="E50" s="119">
        <v>547.47</v>
      </c>
      <c r="F50" s="128"/>
      <c r="G50" s="128">
        <v>468.63</v>
      </c>
      <c r="H50" s="128">
        <v>77.465000000000003</v>
      </c>
      <c r="I50" s="128"/>
      <c r="J50" s="119">
        <v>628.76754301999995</v>
      </c>
      <c r="K50" s="131">
        <f t="shared" si="3"/>
        <v>2500.97724088</v>
      </c>
    </row>
    <row r="51" spans="1:11" ht="12" customHeight="1" x14ac:dyDescent="0.2">
      <c r="A51" s="114" t="s">
        <v>78</v>
      </c>
      <c r="B51" s="119"/>
      <c r="C51" s="119"/>
      <c r="D51" s="119"/>
      <c r="E51" s="119"/>
      <c r="F51" s="128"/>
      <c r="G51" s="128">
        <v>3.5</v>
      </c>
      <c r="H51" s="128">
        <v>7.0979999999999999</v>
      </c>
      <c r="I51" s="128"/>
      <c r="J51" s="122">
        <v>3.2254013800000001</v>
      </c>
      <c r="K51" s="131">
        <f t="shared" si="3"/>
        <v>13.82340138</v>
      </c>
    </row>
    <row r="52" spans="1:11" ht="12" customHeight="1" x14ac:dyDescent="0.2">
      <c r="A52" s="114" t="s">
        <v>79</v>
      </c>
      <c r="B52" s="119"/>
      <c r="C52" s="119"/>
      <c r="D52" s="119"/>
      <c r="E52" s="119"/>
      <c r="F52" s="128"/>
      <c r="G52" s="128">
        <v>4.18</v>
      </c>
      <c r="H52" s="128"/>
      <c r="I52" s="128"/>
      <c r="J52" s="122">
        <v>3.3079219900000001</v>
      </c>
      <c r="K52" s="131">
        <f t="shared" si="3"/>
        <v>7.4879219900000002</v>
      </c>
    </row>
    <row r="53" spans="1:11" ht="12" customHeight="1" x14ac:dyDescent="0.2">
      <c r="B53" s="119"/>
      <c r="C53" s="119"/>
      <c r="D53" s="119"/>
      <c r="E53" s="119"/>
      <c r="F53" s="122"/>
      <c r="G53" s="122"/>
      <c r="H53" s="122"/>
      <c r="I53" s="122"/>
      <c r="J53" s="122"/>
      <c r="K53" s="131"/>
    </row>
    <row r="54" spans="1:11" s="140" customFormat="1" ht="12" customHeight="1" x14ac:dyDescent="0.2">
      <c r="A54" s="155" t="s">
        <v>12</v>
      </c>
      <c r="B54" s="131">
        <f>SUM(B45:B52)</f>
        <v>59.37348858</v>
      </c>
      <c r="C54" s="131">
        <f>SUM(C45:C52)</f>
        <v>431.53</v>
      </c>
      <c r="D54" s="131">
        <f>SUM(D45:D52)</f>
        <v>3309.7182200200004</v>
      </c>
      <c r="E54" s="131">
        <f>SUM(E45:E52)</f>
        <v>948.63</v>
      </c>
      <c r="F54" s="132">
        <f>SUM(F44:F52)</f>
        <v>0</v>
      </c>
      <c r="G54" s="132">
        <f>SUM(G45:G52)</f>
        <v>1774.7500000000002</v>
      </c>
      <c r="H54" s="132">
        <f>SUM(H45:H52)</f>
        <v>261.37200000000001</v>
      </c>
      <c r="I54" s="132">
        <f>SUM(I45:I52)</f>
        <v>288.07967452000003</v>
      </c>
      <c r="J54" s="132">
        <f>SUM(J45:J52)</f>
        <v>1012.8150491099999</v>
      </c>
      <c r="K54" s="131">
        <f t="shared" si="3"/>
        <v>8086.2684322300001</v>
      </c>
    </row>
    <row r="55" spans="1:11" ht="12" customHeight="1" x14ac:dyDescent="0.2">
      <c r="B55" s="119"/>
      <c r="C55" s="119"/>
      <c r="D55" s="119"/>
      <c r="E55" s="119"/>
      <c r="F55" s="122"/>
      <c r="G55" s="122"/>
      <c r="H55" s="122"/>
      <c r="I55" s="122"/>
      <c r="J55" s="122"/>
      <c r="K55" s="131"/>
    </row>
    <row r="56" spans="1:11" ht="12" customHeight="1" x14ac:dyDescent="0.2">
      <c r="A56" s="140" t="s">
        <v>45</v>
      </c>
      <c r="B56" s="119"/>
      <c r="C56" s="119"/>
      <c r="D56" s="119"/>
      <c r="E56" s="119"/>
      <c r="F56" s="122"/>
      <c r="G56" s="122"/>
      <c r="H56" s="122"/>
      <c r="I56" s="122"/>
      <c r="J56" s="122"/>
      <c r="K56" s="131"/>
    </row>
    <row r="57" spans="1:11" ht="12" customHeight="1" x14ac:dyDescent="0.2">
      <c r="B57" s="119"/>
      <c r="C57" s="119"/>
      <c r="D57" s="119"/>
      <c r="E57" s="119"/>
      <c r="F57" s="122"/>
      <c r="G57" s="122"/>
      <c r="H57" s="122"/>
      <c r="I57" s="122"/>
      <c r="J57" s="122"/>
      <c r="K57" s="131"/>
    </row>
    <row r="58" spans="1:11" ht="12" customHeight="1" x14ac:dyDescent="0.2">
      <c r="A58" s="114" t="s">
        <v>46</v>
      </c>
      <c r="B58" s="119">
        <v>909.60187266999992</v>
      </c>
      <c r="C58" s="119">
        <v>1639.43</v>
      </c>
      <c r="D58" s="125">
        <v>1388.4143312399999</v>
      </c>
      <c r="E58" s="119">
        <v>756.34</v>
      </c>
      <c r="F58" s="119">
        <f>1992.498884+408.939574</f>
        <v>2401.4384580000001</v>
      </c>
      <c r="G58" s="119">
        <v>2727.16</v>
      </c>
      <c r="H58" s="119">
        <v>3058.98</v>
      </c>
      <c r="I58" s="119">
        <v>1494.1122285500001</v>
      </c>
      <c r="J58" s="119">
        <v>3995.8366333000004</v>
      </c>
      <c r="K58" s="131">
        <f>SUM(B58:J58)</f>
        <v>18371.31352376</v>
      </c>
    </row>
    <row r="59" spans="1:11" ht="12" customHeight="1" x14ac:dyDescent="0.2">
      <c r="A59" s="114" t="s">
        <v>47</v>
      </c>
      <c r="B59" s="119">
        <v>131.04642928000001</v>
      </c>
      <c r="C59" s="119"/>
      <c r="D59" s="119"/>
      <c r="E59" s="119"/>
      <c r="F59" s="119">
        <v>101.89272699999999</v>
      </c>
      <c r="G59" s="119">
        <v>198.29</v>
      </c>
      <c r="H59" s="119">
        <v>7.2220000000000004</v>
      </c>
      <c r="I59" s="119">
        <v>166.64350073</v>
      </c>
      <c r="J59" s="119">
        <v>532.77813100000003</v>
      </c>
      <c r="K59" s="131">
        <f>SUM(B59:J59)</f>
        <v>1137.87278801</v>
      </c>
    </row>
    <row r="60" spans="1:11" ht="12" customHeight="1" x14ac:dyDescent="0.2">
      <c r="B60" s="119"/>
      <c r="C60" s="119"/>
      <c r="D60" s="119"/>
      <c r="E60" s="119"/>
      <c r="F60" s="122"/>
      <c r="G60" s="122"/>
      <c r="H60" s="122"/>
      <c r="I60" s="122"/>
      <c r="J60" s="122"/>
      <c r="K60" s="131"/>
    </row>
    <row r="61" spans="1:11" s="140" customFormat="1" ht="12" customHeight="1" x14ac:dyDescent="0.2">
      <c r="A61" s="140" t="s">
        <v>12</v>
      </c>
      <c r="B61" s="131">
        <f>SUM(B58:B59)</f>
        <v>1040.6483019499999</v>
      </c>
      <c r="C61" s="131">
        <f>SUM(C58:C59)</f>
        <v>1639.43</v>
      </c>
      <c r="D61" s="131">
        <f>SUM(D58:D59)</f>
        <v>1388.4143312399999</v>
      </c>
      <c r="E61" s="131">
        <f t="shared" ref="E61:J61" si="4">SUM(E58:E59)</f>
        <v>756.34</v>
      </c>
      <c r="F61" s="132">
        <f t="shared" si="4"/>
        <v>2503.331185</v>
      </c>
      <c r="G61" s="132">
        <f t="shared" si="4"/>
        <v>2925.45</v>
      </c>
      <c r="H61" s="132">
        <f t="shared" si="4"/>
        <v>3066.2020000000002</v>
      </c>
      <c r="I61" s="132">
        <f t="shared" si="4"/>
        <v>1660.75572928</v>
      </c>
      <c r="J61" s="132">
        <f t="shared" si="4"/>
        <v>4528.6147643000004</v>
      </c>
      <c r="K61" s="131">
        <f>SUM(B61:J61)</f>
        <v>19509.186311769998</v>
      </c>
    </row>
    <row r="62" spans="1:11" ht="12" customHeight="1" x14ac:dyDescent="0.2">
      <c r="B62" s="119"/>
      <c r="C62" s="119"/>
      <c r="D62" s="119"/>
      <c r="E62" s="119"/>
      <c r="F62" s="122"/>
      <c r="G62" s="122"/>
      <c r="H62" s="122"/>
      <c r="I62" s="122"/>
      <c r="J62" s="122"/>
      <c r="K62" s="131"/>
    </row>
    <row r="63" spans="1:11" ht="12" customHeight="1" x14ac:dyDescent="0.2">
      <c r="A63" s="140" t="s">
        <v>53</v>
      </c>
      <c r="B63" s="119">
        <v>31.04643823</v>
      </c>
      <c r="C63" s="119">
        <v>83.83</v>
      </c>
      <c r="D63" s="119">
        <v>27.212828040000005</v>
      </c>
      <c r="E63" s="119">
        <v>15.28</v>
      </c>
      <c r="F63" s="119">
        <v>128.829881</v>
      </c>
      <c r="G63" s="119">
        <v>269.77</v>
      </c>
      <c r="H63" s="119">
        <v>189.34399999999999</v>
      </c>
      <c r="I63" s="119">
        <v>163.33759652000001</v>
      </c>
      <c r="J63" s="119">
        <v>166.77875713999998</v>
      </c>
      <c r="K63" s="131">
        <f>SUM(B63:J63)</f>
        <v>1075.4295009299999</v>
      </c>
    </row>
    <row r="64" spans="1:11" s="140" customFormat="1" ht="12" customHeight="1" x14ac:dyDescent="0.2">
      <c r="A64" s="155" t="s">
        <v>123</v>
      </c>
      <c r="B64" s="119"/>
      <c r="C64" s="119"/>
      <c r="D64" s="119"/>
      <c r="F64" s="122"/>
      <c r="G64" s="122"/>
      <c r="H64" s="122"/>
      <c r="I64" s="122"/>
      <c r="J64" s="122"/>
      <c r="K64" s="131"/>
    </row>
    <row r="65" spans="1:11" s="140" customFormat="1" ht="12" customHeight="1" x14ac:dyDescent="0.2">
      <c r="A65" s="155" t="s">
        <v>210</v>
      </c>
      <c r="B65" s="119"/>
      <c r="C65" s="119">
        <v>47.19</v>
      </c>
      <c r="D65" s="119"/>
      <c r="E65" s="119"/>
      <c r="F65" s="122"/>
      <c r="G65" s="122">
        <v>56.81</v>
      </c>
      <c r="H65" s="122"/>
      <c r="I65" s="122"/>
      <c r="J65" s="122"/>
      <c r="K65" s="131">
        <f>SUM(B65:J65)</f>
        <v>104</v>
      </c>
    </row>
    <row r="66" spans="1:11" s="140" customFormat="1" ht="12" customHeight="1" x14ac:dyDescent="0.2">
      <c r="A66" s="155" t="s">
        <v>125</v>
      </c>
      <c r="B66" s="119"/>
      <c r="C66" s="119"/>
      <c r="D66" s="119"/>
      <c r="E66" s="119"/>
      <c r="F66" s="122"/>
      <c r="G66" s="122">
        <v>0</v>
      </c>
      <c r="H66" s="122"/>
      <c r="I66" s="122"/>
      <c r="J66" s="122"/>
      <c r="K66" s="131">
        <f>SUM(B66:J66)</f>
        <v>0</v>
      </c>
    </row>
    <row r="67" spans="1:11" ht="12" customHeight="1" x14ac:dyDescent="0.2">
      <c r="A67" s="155"/>
      <c r="C67" s="146"/>
    </row>
    <row r="68" spans="1:11" ht="12" customHeight="1" x14ac:dyDescent="0.2">
      <c r="A68" s="156" t="s">
        <v>231</v>
      </c>
      <c r="C68" s="147"/>
    </row>
    <row r="69" spans="1:11" ht="12" customHeight="1" x14ac:dyDescent="0.2">
      <c r="A69" s="156" t="s">
        <v>212</v>
      </c>
      <c r="C69" s="147"/>
    </row>
    <row r="70" spans="1:11" ht="12" customHeight="1" x14ac:dyDescent="0.2">
      <c r="A70" s="156"/>
      <c r="C70" s="147"/>
    </row>
    <row r="71" spans="1:11" ht="12" customHeight="1" x14ac:dyDescent="0.2">
      <c r="A71" s="143"/>
      <c r="C71" s="147"/>
    </row>
    <row r="72" spans="1:11" ht="12" customHeight="1" x14ac:dyDescent="0.2">
      <c r="A72" s="143" t="s">
        <v>207</v>
      </c>
    </row>
    <row r="73" spans="1:11" ht="12" customHeight="1" x14ac:dyDescent="0.2">
      <c r="A73" s="143" t="s">
        <v>208</v>
      </c>
    </row>
    <row r="74" spans="1:11" x14ac:dyDescent="0.2">
      <c r="A74" s="155"/>
    </row>
    <row r="75" spans="1:11" x14ac:dyDescent="0.2">
      <c r="A75" s="143"/>
    </row>
    <row r="77" spans="1:11" x14ac:dyDescent="0.2">
      <c r="A77" s="157"/>
    </row>
  </sheetData>
  <pageMargins left="0.19685039370078741" right="0.35433070866141736" top="0.59055118110236227" bottom="0.27559055118110237" header="0.31496062992125984" footer="0.31496062992125984"/>
  <pageSetup paperSize="9" scale="90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U77"/>
  <sheetViews>
    <sheetView zoomScaleNormal="100" workbookViewId="0">
      <pane xSplit="1" ySplit="4" topLeftCell="B5" activePane="bottomRight" state="frozen"/>
      <selection activeCell="B5" sqref="B5"/>
      <selection pane="topRight" activeCell="B5" sqref="B5"/>
      <selection pane="bottomLeft" activeCell="B5" sqref="B5"/>
      <selection pane="bottomRight" activeCell="B5" sqref="B5"/>
    </sheetView>
  </sheetViews>
  <sheetFormatPr baseColWidth="10" defaultRowHeight="12.75" x14ac:dyDescent="0.2"/>
  <cols>
    <col min="1" max="1" width="41.28515625" style="114" customWidth="1"/>
    <col min="2" max="5" width="11.5703125" style="110" customWidth="1"/>
    <col min="6" max="10" width="11.5703125" style="111" customWidth="1"/>
    <col min="11" max="11" width="11.5703125" style="136" customWidth="1"/>
    <col min="12" max="16384" width="11.42578125" style="114"/>
  </cols>
  <sheetData>
    <row r="1" spans="1:11" x14ac:dyDescent="0.2">
      <c r="A1" s="140" t="s">
        <v>232</v>
      </c>
    </row>
    <row r="2" spans="1:11" x14ac:dyDescent="0.2">
      <c r="A2" s="114" t="s">
        <v>184</v>
      </c>
    </row>
    <row r="4" spans="1:11" s="110" customFormat="1" x14ac:dyDescent="0.2">
      <c r="A4" s="152"/>
      <c r="B4" s="110" t="s">
        <v>3</v>
      </c>
      <c r="C4" s="110" t="s">
        <v>4</v>
      </c>
      <c r="D4" s="110" t="s">
        <v>5</v>
      </c>
      <c r="E4" s="110" t="s">
        <v>6</v>
      </c>
      <c r="F4" s="116" t="s">
        <v>7</v>
      </c>
      <c r="G4" s="116" t="s">
        <v>8</v>
      </c>
      <c r="H4" s="116" t="s">
        <v>9</v>
      </c>
      <c r="I4" s="116" t="s">
        <v>198</v>
      </c>
      <c r="J4" s="116" t="s">
        <v>11</v>
      </c>
      <c r="K4" s="136" t="s">
        <v>12</v>
      </c>
    </row>
    <row r="5" spans="1:11" x14ac:dyDescent="0.2">
      <c r="C5" s="119"/>
      <c r="D5" s="119"/>
      <c r="E5" s="119"/>
      <c r="F5" s="119"/>
      <c r="G5" s="119"/>
      <c r="H5" s="119"/>
      <c r="I5" s="122"/>
      <c r="J5" s="122"/>
      <c r="K5" s="122"/>
    </row>
    <row r="6" spans="1:11" ht="15.75" x14ac:dyDescent="0.25">
      <c r="A6" s="153" t="s">
        <v>42</v>
      </c>
      <c r="C6" s="119"/>
      <c r="D6" s="119"/>
      <c r="E6" s="119"/>
      <c r="F6" s="119"/>
      <c r="G6" s="119"/>
      <c r="H6" s="119"/>
      <c r="I6" s="119"/>
      <c r="J6" s="119"/>
      <c r="K6" s="119"/>
    </row>
    <row r="7" spans="1:11" x14ac:dyDescent="0.2">
      <c r="C7" s="127"/>
      <c r="D7" s="127"/>
      <c r="E7" s="127"/>
      <c r="F7" s="127"/>
      <c r="G7" s="127"/>
      <c r="H7" s="127"/>
      <c r="I7" s="128"/>
      <c r="J7" s="128"/>
      <c r="K7" s="128"/>
    </row>
    <row r="8" spans="1:11" x14ac:dyDescent="0.2">
      <c r="A8" s="140" t="s">
        <v>13</v>
      </c>
      <c r="B8" s="119"/>
      <c r="C8" s="119"/>
      <c r="D8" s="119"/>
      <c r="E8" s="119"/>
      <c r="F8" s="119"/>
      <c r="G8" s="119"/>
      <c r="H8" s="119"/>
      <c r="I8" s="119"/>
      <c r="J8" s="119"/>
      <c r="K8" s="119"/>
    </row>
    <row r="9" spans="1:11" x14ac:dyDescent="0.2">
      <c r="B9" s="119"/>
      <c r="C9" s="119"/>
      <c r="D9" s="119"/>
      <c r="E9" s="119"/>
      <c r="F9" s="122"/>
      <c r="G9" s="119"/>
      <c r="H9" s="119"/>
      <c r="I9" s="119"/>
      <c r="J9" s="119"/>
      <c r="K9" s="119"/>
    </row>
    <row r="10" spans="1:11" x14ac:dyDescent="0.2">
      <c r="A10" s="114" t="s">
        <v>72</v>
      </c>
      <c r="B10" s="119">
        <v>43.207172999999997</v>
      </c>
      <c r="C10" s="119">
        <v>34.28</v>
      </c>
      <c r="D10" s="119">
        <v>75.525334659999999</v>
      </c>
      <c r="E10" s="119">
        <v>120.66</v>
      </c>
      <c r="F10" s="122">
        <v>9.1662809999999997</v>
      </c>
      <c r="G10" s="119">
        <v>7.2999999999999995E-2</v>
      </c>
      <c r="H10" s="119">
        <v>121.998</v>
      </c>
      <c r="I10" s="119">
        <v>108.30616318</v>
      </c>
      <c r="J10" s="119">
        <v>202.62834981</v>
      </c>
      <c r="K10" s="131">
        <f t="shared" ref="K10:K16" si="0">SUM(B10:J10)</f>
        <v>715.84430164999992</v>
      </c>
    </row>
    <row r="11" spans="1:11" x14ac:dyDescent="0.2">
      <c r="A11" s="114" t="s">
        <v>67</v>
      </c>
      <c r="B11" s="119">
        <v>7.9974000000000003E-2</v>
      </c>
      <c r="C11" s="119">
        <v>0.06</v>
      </c>
      <c r="D11" s="119"/>
      <c r="E11" s="119"/>
      <c r="F11" s="119"/>
      <c r="G11" s="119"/>
      <c r="H11" s="119"/>
      <c r="I11" s="119"/>
      <c r="J11" s="119">
        <v>11.580263</v>
      </c>
      <c r="K11" s="131">
        <f t="shared" si="0"/>
        <v>11.720237000000001</v>
      </c>
    </row>
    <row r="12" spans="1:11" x14ac:dyDescent="0.2">
      <c r="A12" s="114" t="s">
        <v>104</v>
      </c>
      <c r="B12" s="119"/>
      <c r="C12" s="119">
        <v>28.35</v>
      </c>
      <c r="D12" s="119">
        <v>42.193046250000002</v>
      </c>
      <c r="E12" s="119">
        <v>20.59</v>
      </c>
      <c r="F12" s="122">
        <v>7.7548830000000004</v>
      </c>
      <c r="G12" s="119">
        <v>140.16900000000001</v>
      </c>
      <c r="H12" s="119"/>
      <c r="I12" s="119">
        <v>2.6195483900000003</v>
      </c>
      <c r="J12" s="119"/>
      <c r="K12" s="131">
        <f t="shared" si="0"/>
        <v>241.67647764000003</v>
      </c>
    </row>
    <row r="13" spans="1:11" x14ac:dyDescent="0.2">
      <c r="A13" s="114" t="s">
        <v>109</v>
      </c>
      <c r="B13" s="119"/>
      <c r="C13" s="119">
        <v>6.17</v>
      </c>
      <c r="D13" s="119">
        <v>120.28017875</v>
      </c>
      <c r="E13" s="119">
        <v>1.49</v>
      </c>
      <c r="F13" s="122">
        <v>4.1949999999999999E-3</v>
      </c>
      <c r="G13" s="119">
        <v>4.6970000000000001</v>
      </c>
      <c r="H13" s="119">
        <v>22.838999999999999</v>
      </c>
      <c r="I13" s="119"/>
      <c r="J13" s="119">
        <v>1.10930058</v>
      </c>
      <c r="K13" s="131">
        <f t="shared" si="0"/>
        <v>156.58967432999998</v>
      </c>
    </row>
    <row r="14" spans="1:11" x14ac:dyDescent="0.2">
      <c r="A14" s="147" t="s">
        <v>69</v>
      </c>
      <c r="B14" s="119">
        <v>1.1317183400000002</v>
      </c>
      <c r="C14" s="119"/>
      <c r="D14" s="119">
        <v>0.56899999999999995</v>
      </c>
      <c r="E14" s="119">
        <v>0.69</v>
      </c>
      <c r="F14" s="122">
        <v>76.699494999999999</v>
      </c>
      <c r="G14" s="119">
        <v>9.2579999999999991</v>
      </c>
      <c r="H14" s="119">
        <v>27.361999999999998</v>
      </c>
      <c r="I14" s="119">
        <v>4.1210259999999996</v>
      </c>
      <c r="J14" s="119">
        <v>26.14132888</v>
      </c>
      <c r="K14" s="131">
        <f t="shared" si="0"/>
        <v>145.97256822</v>
      </c>
    </row>
    <row r="15" spans="1:11" x14ac:dyDescent="0.2">
      <c r="A15" s="114" t="s">
        <v>70</v>
      </c>
      <c r="B15" s="119"/>
      <c r="C15" s="119"/>
      <c r="D15" s="119"/>
      <c r="E15" s="119"/>
      <c r="F15" s="119"/>
      <c r="G15" s="119"/>
      <c r="H15" s="119"/>
      <c r="I15" s="119"/>
      <c r="J15" s="119"/>
      <c r="K15" s="131">
        <f t="shared" si="0"/>
        <v>0</v>
      </c>
    </row>
    <row r="16" spans="1:11" x14ac:dyDescent="0.2">
      <c r="A16" s="114" t="s">
        <v>71</v>
      </c>
      <c r="B16" s="119">
        <v>0.89117999999999997</v>
      </c>
      <c r="C16" s="119"/>
      <c r="D16" s="119">
        <v>34.151755394498601</v>
      </c>
      <c r="E16" s="119"/>
      <c r="F16" s="122">
        <v>26.446439000000002</v>
      </c>
      <c r="G16" s="119"/>
      <c r="H16" s="119">
        <v>13.294</v>
      </c>
      <c r="I16" s="119">
        <v>27.247852160000001</v>
      </c>
      <c r="J16" s="122">
        <v>14.5528666</v>
      </c>
      <c r="K16" s="131">
        <f t="shared" si="0"/>
        <v>116.5840931544986</v>
      </c>
    </row>
    <row r="17" spans="1:13" x14ac:dyDescent="0.2">
      <c r="B17" s="119"/>
      <c r="C17" s="119"/>
      <c r="D17" s="119"/>
      <c r="E17" s="119"/>
      <c r="F17" s="122"/>
      <c r="G17" s="122"/>
      <c r="H17" s="122"/>
      <c r="I17" s="122"/>
      <c r="J17" s="122"/>
      <c r="K17" s="131"/>
    </row>
    <row r="18" spans="1:13" s="155" customFormat="1" x14ac:dyDescent="0.2">
      <c r="A18" s="155" t="s">
        <v>12</v>
      </c>
      <c r="B18" s="127">
        <f>SUM(B10:B16)</f>
        <v>45.310045339999995</v>
      </c>
      <c r="C18" s="127">
        <f>SUM(C10:C16)</f>
        <v>68.86</v>
      </c>
      <c r="D18" s="127">
        <f>SUM(D10:D17)</f>
        <v>272.71931505449862</v>
      </c>
      <c r="E18" s="127">
        <f>SUM(E10:E17)</f>
        <v>143.43</v>
      </c>
      <c r="F18" s="128">
        <f>SUM(F10:F16)</f>
        <v>120.071293</v>
      </c>
      <c r="G18" s="127">
        <f>SUM(G10:G16)</f>
        <v>154.19700000000003</v>
      </c>
      <c r="H18" s="127">
        <f>SUM(H10:H17)</f>
        <v>185.49299999999999</v>
      </c>
      <c r="I18" s="127">
        <f>SUM(I10:I17)</f>
        <v>142.29458973000001</v>
      </c>
      <c r="J18" s="128">
        <f>SUM(J10:J17)</f>
        <v>256.01210887000002</v>
      </c>
      <c r="K18" s="131">
        <f>SUM(B18:J18)</f>
        <v>1388.3873519944987</v>
      </c>
    </row>
    <row r="19" spans="1:13" x14ac:dyDescent="0.2">
      <c r="B19" s="159"/>
      <c r="C19" s="159"/>
      <c r="D19" s="159"/>
      <c r="E19" s="159"/>
      <c r="F19" s="160"/>
      <c r="G19" s="160"/>
      <c r="H19" s="160"/>
      <c r="I19" s="160"/>
      <c r="J19" s="160"/>
      <c r="K19" s="160"/>
    </row>
    <row r="20" spans="1:13" x14ac:dyDescent="0.2">
      <c r="B20" s="161"/>
      <c r="C20" s="161"/>
      <c r="D20" s="161"/>
      <c r="E20" s="161"/>
      <c r="F20" s="161"/>
      <c r="G20" s="161"/>
      <c r="H20" s="161"/>
      <c r="I20" s="161"/>
      <c r="J20" s="122"/>
      <c r="K20" s="131"/>
    </row>
    <row r="21" spans="1:13" x14ac:dyDescent="0.2">
      <c r="A21" s="140" t="s">
        <v>14</v>
      </c>
      <c r="B21" s="161"/>
      <c r="C21" s="161"/>
      <c r="D21" s="161"/>
      <c r="E21" s="161"/>
      <c r="F21" s="161"/>
      <c r="G21" s="161"/>
      <c r="H21" s="161"/>
      <c r="I21" s="161"/>
      <c r="J21" s="122"/>
      <c r="K21" s="131"/>
    </row>
    <row r="22" spans="1:13" x14ac:dyDescent="0.2">
      <c r="B22" s="119"/>
      <c r="C22" s="119"/>
      <c r="D22" s="119"/>
      <c r="E22" s="119"/>
      <c r="F22" s="122"/>
      <c r="G22" s="122"/>
      <c r="H22" s="122"/>
      <c r="I22" s="122"/>
      <c r="J22" s="122"/>
      <c r="K22" s="131"/>
    </row>
    <row r="23" spans="1:13" x14ac:dyDescent="0.2">
      <c r="A23" s="114" t="s">
        <v>72</v>
      </c>
      <c r="B23" s="119">
        <v>6.1232769999999999</v>
      </c>
      <c r="C23" s="119"/>
      <c r="D23" s="119"/>
      <c r="E23" s="119"/>
      <c r="F23" s="119"/>
      <c r="G23" s="119">
        <v>8.1199999999999992</v>
      </c>
      <c r="H23" s="119"/>
      <c r="I23" s="119">
        <v>7.1512826600000006</v>
      </c>
      <c r="J23" s="154">
        <v>40.11714147</v>
      </c>
      <c r="K23" s="131">
        <f t="shared" ref="K23:K28" si="1">SUM(B23:J23)</f>
        <v>61.511701129999999</v>
      </c>
      <c r="M23" s="119"/>
    </row>
    <row r="24" spans="1:13" x14ac:dyDescent="0.2">
      <c r="A24" s="114" t="s">
        <v>104</v>
      </c>
      <c r="B24" s="119"/>
      <c r="C24" s="119"/>
      <c r="D24" s="119">
        <v>4.9050009699999997</v>
      </c>
      <c r="E24" s="119"/>
      <c r="F24" s="122"/>
      <c r="G24" s="122">
        <v>6.4000000000000001E-2</v>
      </c>
      <c r="H24" s="122"/>
      <c r="I24" s="122"/>
      <c r="J24" s="122"/>
      <c r="K24" s="131">
        <f t="shared" si="1"/>
        <v>4.9690009699999997</v>
      </c>
    </row>
    <row r="25" spans="1:13" x14ac:dyDescent="0.2">
      <c r="A25" s="114" t="s">
        <v>109</v>
      </c>
      <c r="B25" s="119"/>
      <c r="C25" s="119"/>
      <c r="D25" s="119">
        <v>98.801050469999993</v>
      </c>
      <c r="E25" s="119">
        <v>64.099999999999994</v>
      </c>
      <c r="F25" s="119"/>
      <c r="G25" s="119">
        <v>54.691000000000003</v>
      </c>
      <c r="H25" s="119">
        <v>14.542999999999999</v>
      </c>
      <c r="I25" s="119">
        <v>1.1532671799999998</v>
      </c>
      <c r="J25" s="119">
        <v>81.882417140000001</v>
      </c>
      <c r="K25" s="131">
        <f t="shared" si="1"/>
        <v>315.17073478999998</v>
      </c>
    </row>
    <row r="26" spans="1:13" x14ac:dyDescent="0.2">
      <c r="A26" s="147" t="s">
        <v>69</v>
      </c>
      <c r="B26" s="119">
        <v>1.0699578999999999</v>
      </c>
      <c r="C26" s="119">
        <v>29.4</v>
      </c>
      <c r="D26" s="119">
        <v>10.98231762</v>
      </c>
      <c r="E26" s="119">
        <v>3.86</v>
      </c>
      <c r="F26" s="122">
        <v>5.6619820000000001</v>
      </c>
      <c r="G26" s="119">
        <v>2.37</v>
      </c>
      <c r="H26" s="119">
        <v>27.327999999999999</v>
      </c>
      <c r="I26" s="119">
        <v>4.5006353399999997</v>
      </c>
      <c r="J26" s="119">
        <v>25.809179920000002</v>
      </c>
      <c r="K26" s="131">
        <f t="shared" si="1"/>
        <v>110.98207278000001</v>
      </c>
    </row>
    <row r="27" spans="1:13" x14ac:dyDescent="0.2">
      <c r="A27" s="114" t="s">
        <v>70</v>
      </c>
      <c r="B27" s="119"/>
      <c r="C27" s="119"/>
      <c r="D27" s="119"/>
      <c r="E27" s="119"/>
      <c r="F27" s="122"/>
      <c r="G27" s="122"/>
      <c r="H27" s="122"/>
      <c r="I27" s="122"/>
      <c r="J27" s="122"/>
      <c r="K27" s="131">
        <f t="shared" si="1"/>
        <v>0</v>
      </c>
    </row>
    <row r="28" spans="1:13" x14ac:dyDescent="0.2">
      <c r="A28" s="114" t="s">
        <v>71</v>
      </c>
      <c r="B28" s="119"/>
      <c r="C28" s="119"/>
      <c r="D28" s="119">
        <v>6.2417583955014031</v>
      </c>
      <c r="E28" s="119"/>
      <c r="F28" s="122"/>
      <c r="G28" s="122"/>
      <c r="H28" s="122"/>
      <c r="I28" s="122"/>
      <c r="J28" s="122">
        <v>1.8083042600000001</v>
      </c>
      <c r="K28" s="131">
        <f t="shared" si="1"/>
        <v>8.050062655501403</v>
      </c>
    </row>
    <row r="29" spans="1:13" x14ac:dyDescent="0.2">
      <c r="B29" s="119"/>
      <c r="C29" s="119"/>
      <c r="D29" s="119"/>
      <c r="E29" s="119"/>
      <c r="F29" s="122"/>
      <c r="G29" s="122"/>
      <c r="H29" s="122"/>
      <c r="I29" s="122"/>
      <c r="J29" s="122"/>
      <c r="K29" s="131"/>
    </row>
    <row r="30" spans="1:13" s="155" customFormat="1" x14ac:dyDescent="0.2">
      <c r="A30" s="155" t="s">
        <v>12</v>
      </c>
      <c r="B30" s="119">
        <f>SUM(B23:B28)</f>
        <v>7.1932349000000002</v>
      </c>
      <c r="C30" s="127">
        <f>SUM(C23:C28)</f>
        <v>29.4</v>
      </c>
      <c r="D30" s="127">
        <f>SUM(D23:D28)</f>
        <v>120.93012745550141</v>
      </c>
      <c r="E30" s="127">
        <f>SUM(E23:E28)</f>
        <v>67.959999999999994</v>
      </c>
      <c r="F30" s="128">
        <f>SUM(F23:F28)</f>
        <v>5.6619820000000001</v>
      </c>
      <c r="G30" s="128">
        <f>SUM(G23:G29)</f>
        <v>65.245000000000005</v>
      </c>
      <c r="H30" s="128">
        <f>SUM(H23:H29)</f>
        <v>41.870999999999995</v>
      </c>
      <c r="I30" s="128">
        <f>SUM(I23:I29)</f>
        <v>12.805185179999999</v>
      </c>
      <c r="J30" s="128">
        <f>SUM(J23:J29)</f>
        <v>149.61704279</v>
      </c>
      <c r="K30" s="131">
        <f>SUM(B30:J30)</f>
        <v>500.68357232550136</v>
      </c>
    </row>
    <row r="31" spans="1:13" s="155" customFormat="1" x14ac:dyDescent="0.2">
      <c r="B31" s="162"/>
      <c r="C31" s="162"/>
      <c r="D31" s="162"/>
      <c r="E31" s="162"/>
      <c r="F31" s="162"/>
      <c r="G31" s="162"/>
      <c r="H31" s="162"/>
      <c r="I31" s="162"/>
      <c r="J31" s="162"/>
      <c r="K31" s="162"/>
    </row>
    <row r="32" spans="1:13" s="140" customFormat="1" x14ac:dyDescent="0.2">
      <c r="A32" s="140" t="s">
        <v>43</v>
      </c>
      <c r="B32" s="131">
        <f t="shared" ref="B32:G32" si="2">B18+B30</f>
        <v>52.503280239999995</v>
      </c>
      <c r="C32" s="131">
        <f t="shared" si="2"/>
        <v>98.259999999999991</v>
      </c>
      <c r="D32" s="131">
        <f t="shared" si="2"/>
        <v>393.64944251000003</v>
      </c>
      <c r="E32" s="131">
        <f t="shared" si="2"/>
        <v>211.39</v>
      </c>
      <c r="F32" s="132">
        <f t="shared" si="2"/>
        <v>125.73327499999999</v>
      </c>
      <c r="G32" s="132">
        <f t="shared" si="2"/>
        <v>219.44200000000004</v>
      </c>
      <c r="H32" s="132">
        <f>H30+H18</f>
        <v>227.36399999999998</v>
      </c>
      <c r="I32" s="132">
        <f>I18+I30</f>
        <v>155.09977491000001</v>
      </c>
      <c r="J32" s="132">
        <f>J18+J30</f>
        <v>405.62915166000005</v>
      </c>
      <c r="K32" s="131">
        <f>SUM(B32:J32)</f>
        <v>1889.0709243199999</v>
      </c>
    </row>
    <row r="33" spans="1:255" s="140" customFormat="1" x14ac:dyDescent="0.2">
      <c r="B33" s="131"/>
      <c r="C33" s="131"/>
      <c r="D33" s="131"/>
      <c r="E33" s="131"/>
      <c r="F33" s="131"/>
      <c r="G33" s="131"/>
      <c r="H33" s="131"/>
      <c r="I33" s="131"/>
      <c r="J33" s="131"/>
      <c r="K33" s="131"/>
    </row>
    <row r="34" spans="1:255" s="155" customFormat="1" ht="14.25" x14ac:dyDescent="0.2">
      <c r="A34" s="140" t="s">
        <v>199</v>
      </c>
      <c r="B34" s="119"/>
      <c r="C34" s="127">
        <v>25.62</v>
      </c>
      <c r="D34" s="127"/>
      <c r="E34" s="127">
        <v>56.42</v>
      </c>
      <c r="F34" s="128"/>
      <c r="G34" s="158"/>
      <c r="H34" s="128">
        <v>19.004999999999999</v>
      </c>
      <c r="I34" s="128"/>
      <c r="J34" s="128">
        <v>47.597677930000003</v>
      </c>
      <c r="K34" s="131">
        <f>SUM(B34:J34)</f>
        <v>148.64267792999999</v>
      </c>
    </row>
    <row r="35" spans="1:255" x14ac:dyDescent="0.2">
      <c r="B35" s="119"/>
      <c r="C35" s="119"/>
      <c r="D35" s="119"/>
      <c r="E35" s="119"/>
      <c r="F35" s="122"/>
      <c r="G35" s="122"/>
      <c r="H35" s="122"/>
      <c r="I35" s="122"/>
      <c r="J35" s="122"/>
      <c r="K35" s="119"/>
      <c r="L35" s="119"/>
      <c r="M35" s="119"/>
      <c r="N35" s="119"/>
      <c r="O35" s="119"/>
      <c r="P35" s="119"/>
      <c r="Q35" s="119"/>
      <c r="R35" s="119"/>
      <c r="S35" s="119"/>
      <c r="T35" s="119"/>
      <c r="U35" s="119"/>
      <c r="V35" s="119"/>
      <c r="W35" s="119"/>
      <c r="X35" s="119"/>
      <c r="Y35" s="119"/>
      <c r="Z35" s="119"/>
      <c r="AA35" s="119"/>
      <c r="AB35" s="119"/>
      <c r="AC35" s="119"/>
      <c r="AD35" s="119"/>
      <c r="AE35" s="119"/>
      <c r="AF35" s="119"/>
      <c r="AG35" s="119"/>
      <c r="AH35" s="119"/>
      <c r="AI35" s="119"/>
      <c r="AJ35" s="119"/>
      <c r="AK35" s="119"/>
      <c r="AL35" s="119"/>
      <c r="AM35" s="119"/>
      <c r="AN35" s="119"/>
      <c r="AO35" s="119"/>
      <c r="AP35" s="119"/>
      <c r="AQ35" s="119"/>
      <c r="AR35" s="119"/>
      <c r="AS35" s="119"/>
      <c r="AT35" s="119"/>
      <c r="AU35" s="119"/>
      <c r="AV35" s="119"/>
      <c r="AW35" s="119"/>
      <c r="AX35" s="119"/>
      <c r="AY35" s="119"/>
      <c r="AZ35" s="119"/>
      <c r="BA35" s="119"/>
      <c r="BB35" s="119"/>
      <c r="BC35" s="119"/>
      <c r="BD35" s="119"/>
      <c r="BE35" s="119"/>
      <c r="BF35" s="119"/>
      <c r="BG35" s="119"/>
      <c r="BH35" s="119"/>
      <c r="BI35" s="119"/>
      <c r="BJ35" s="119"/>
      <c r="BK35" s="119"/>
      <c r="BL35" s="119"/>
      <c r="BM35" s="119"/>
      <c r="BN35" s="119"/>
      <c r="BO35" s="119"/>
      <c r="BP35" s="119"/>
      <c r="BQ35" s="119"/>
      <c r="BR35" s="119"/>
      <c r="BS35" s="119"/>
      <c r="BT35" s="119"/>
      <c r="BU35" s="119"/>
      <c r="BV35" s="119"/>
      <c r="BW35" s="119"/>
      <c r="BX35" s="119"/>
      <c r="BY35" s="119"/>
      <c r="BZ35" s="119"/>
      <c r="CA35" s="119"/>
      <c r="CB35" s="119"/>
      <c r="CC35" s="119"/>
      <c r="CD35" s="119"/>
      <c r="CE35" s="119"/>
      <c r="CF35" s="119"/>
      <c r="CG35" s="119"/>
      <c r="CH35" s="119"/>
      <c r="CI35" s="119"/>
      <c r="CJ35" s="119"/>
      <c r="CK35" s="119"/>
      <c r="CL35" s="119"/>
      <c r="CM35" s="119"/>
      <c r="CN35" s="119"/>
      <c r="CO35" s="119"/>
      <c r="CP35" s="119"/>
      <c r="CQ35" s="119"/>
      <c r="CR35" s="119"/>
      <c r="CS35" s="119"/>
      <c r="CT35" s="119"/>
      <c r="CU35" s="119"/>
      <c r="CV35" s="119"/>
      <c r="CW35" s="119"/>
      <c r="CX35" s="119"/>
      <c r="CY35" s="119"/>
      <c r="CZ35" s="119"/>
      <c r="DA35" s="119"/>
      <c r="DB35" s="119"/>
      <c r="DC35" s="119"/>
      <c r="DD35" s="119"/>
      <c r="DE35" s="119"/>
      <c r="DF35" s="119"/>
      <c r="DG35" s="119"/>
      <c r="DH35" s="119"/>
      <c r="DI35" s="119"/>
      <c r="DJ35" s="119"/>
      <c r="DK35" s="119"/>
      <c r="DL35" s="119"/>
      <c r="DM35" s="119"/>
      <c r="DN35" s="119"/>
      <c r="DO35" s="119"/>
      <c r="DP35" s="119"/>
      <c r="DQ35" s="119"/>
      <c r="DR35" s="119"/>
      <c r="DS35" s="119"/>
      <c r="DT35" s="119"/>
      <c r="DU35" s="119"/>
      <c r="DV35" s="119"/>
      <c r="DW35" s="119"/>
      <c r="DX35" s="119"/>
      <c r="DY35" s="119"/>
      <c r="DZ35" s="119"/>
      <c r="EA35" s="119"/>
      <c r="EB35" s="119"/>
      <c r="EC35" s="119"/>
      <c r="ED35" s="119"/>
      <c r="EE35" s="119"/>
      <c r="EF35" s="119"/>
      <c r="EG35" s="119"/>
      <c r="EH35" s="119"/>
      <c r="EI35" s="119"/>
      <c r="EJ35" s="119"/>
      <c r="EK35" s="119"/>
      <c r="EL35" s="119"/>
      <c r="EM35" s="119"/>
      <c r="EN35" s="119"/>
      <c r="EO35" s="119"/>
      <c r="EP35" s="119"/>
      <c r="EQ35" s="119"/>
      <c r="ER35" s="119"/>
      <c r="ES35" s="119"/>
      <c r="ET35" s="119"/>
      <c r="EU35" s="119"/>
      <c r="EV35" s="119"/>
      <c r="EW35" s="119"/>
      <c r="EX35" s="119"/>
      <c r="EY35" s="119"/>
      <c r="EZ35" s="119"/>
      <c r="FA35" s="119"/>
      <c r="FB35" s="119"/>
      <c r="FC35" s="119"/>
      <c r="FD35" s="119"/>
      <c r="FE35" s="119"/>
      <c r="FF35" s="119"/>
      <c r="FG35" s="119"/>
      <c r="FH35" s="119"/>
      <c r="FI35" s="119"/>
      <c r="FJ35" s="119"/>
      <c r="FK35" s="119"/>
      <c r="FL35" s="119"/>
      <c r="FM35" s="119"/>
      <c r="FN35" s="119"/>
      <c r="FO35" s="119"/>
      <c r="FP35" s="119"/>
      <c r="FQ35" s="119"/>
      <c r="FR35" s="119"/>
      <c r="FS35" s="119"/>
      <c r="FT35" s="119"/>
      <c r="FU35" s="119"/>
      <c r="FV35" s="119"/>
      <c r="FW35" s="119"/>
      <c r="FX35" s="119"/>
      <c r="FY35" s="119"/>
      <c r="FZ35" s="119"/>
      <c r="GA35" s="119"/>
      <c r="GB35" s="119"/>
      <c r="GC35" s="119"/>
      <c r="GD35" s="119"/>
      <c r="GE35" s="119"/>
      <c r="GF35" s="119"/>
      <c r="GG35" s="119"/>
      <c r="GH35" s="119"/>
      <c r="GI35" s="119"/>
      <c r="GJ35" s="119"/>
      <c r="GK35" s="119"/>
      <c r="GL35" s="119"/>
      <c r="GM35" s="119"/>
      <c r="GN35" s="119"/>
      <c r="GO35" s="119"/>
      <c r="GP35" s="119"/>
      <c r="GQ35" s="119"/>
      <c r="GR35" s="119"/>
      <c r="GS35" s="119"/>
      <c r="GT35" s="119"/>
      <c r="GU35" s="119"/>
      <c r="GV35" s="119"/>
      <c r="GW35" s="119"/>
      <c r="GX35" s="119"/>
      <c r="GY35" s="119"/>
      <c r="GZ35" s="119"/>
      <c r="HA35" s="119"/>
      <c r="HB35" s="119"/>
      <c r="HC35" s="119"/>
      <c r="HD35" s="119"/>
      <c r="HE35" s="119"/>
      <c r="HF35" s="119"/>
      <c r="HG35" s="119"/>
      <c r="HH35" s="119"/>
      <c r="HI35" s="119"/>
      <c r="HJ35" s="119"/>
      <c r="HK35" s="119"/>
      <c r="HL35" s="119"/>
      <c r="HM35" s="119"/>
      <c r="HN35" s="119"/>
      <c r="HO35" s="119"/>
      <c r="HP35" s="119"/>
      <c r="HQ35" s="119"/>
      <c r="HR35" s="119"/>
      <c r="HS35" s="119"/>
      <c r="HT35" s="119"/>
      <c r="HU35" s="119"/>
      <c r="HV35" s="119"/>
      <c r="HW35" s="119"/>
      <c r="HX35" s="119"/>
      <c r="HY35" s="119"/>
      <c r="HZ35" s="119"/>
      <c r="IA35" s="119"/>
      <c r="IB35" s="119"/>
      <c r="IC35" s="119"/>
      <c r="ID35" s="119"/>
      <c r="IE35" s="119"/>
      <c r="IF35" s="119"/>
      <c r="IG35" s="119"/>
      <c r="IH35" s="119"/>
      <c r="II35" s="119"/>
      <c r="IJ35" s="119"/>
      <c r="IK35" s="119"/>
      <c r="IL35" s="119"/>
      <c r="IM35" s="119"/>
      <c r="IN35" s="119"/>
      <c r="IO35" s="119"/>
      <c r="IP35" s="119"/>
      <c r="IQ35" s="119"/>
      <c r="IR35" s="119"/>
      <c r="IS35" s="119"/>
      <c r="IT35" s="119"/>
      <c r="IU35" s="119"/>
    </row>
    <row r="36" spans="1:255" ht="14.25" x14ac:dyDescent="0.2">
      <c r="A36" s="140" t="s">
        <v>200</v>
      </c>
      <c r="F36" s="110"/>
      <c r="G36" s="110"/>
      <c r="H36" s="110"/>
      <c r="I36" s="110"/>
      <c r="J36" s="110"/>
      <c r="K36" s="110"/>
      <c r="L36" s="119"/>
      <c r="M36" s="119"/>
      <c r="N36" s="119"/>
      <c r="O36" s="119"/>
      <c r="P36" s="119"/>
      <c r="Q36" s="119"/>
      <c r="R36" s="119"/>
      <c r="S36" s="119"/>
      <c r="T36" s="119"/>
      <c r="U36" s="119"/>
      <c r="V36" s="119"/>
      <c r="W36" s="119"/>
      <c r="X36" s="119"/>
      <c r="Y36" s="119"/>
      <c r="Z36" s="119"/>
      <c r="AA36" s="119"/>
      <c r="AB36" s="119"/>
      <c r="AC36" s="119"/>
      <c r="AD36" s="119"/>
      <c r="AE36" s="119"/>
      <c r="AF36" s="119"/>
      <c r="AG36" s="119"/>
      <c r="AH36" s="119"/>
      <c r="AI36" s="119"/>
      <c r="AJ36" s="119"/>
      <c r="AK36" s="119"/>
      <c r="AL36" s="119"/>
      <c r="AM36" s="119"/>
      <c r="AN36" s="119"/>
      <c r="AO36" s="119"/>
      <c r="AP36" s="119"/>
      <c r="AQ36" s="119"/>
      <c r="AR36" s="119"/>
      <c r="AS36" s="119"/>
      <c r="AT36" s="119"/>
      <c r="AU36" s="119"/>
      <c r="AV36" s="119"/>
      <c r="AW36" s="119"/>
      <c r="AX36" s="119"/>
      <c r="AY36" s="119"/>
      <c r="AZ36" s="119"/>
      <c r="BA36" s="119"/>
      <c r="BB36" s="119"/>
      <c r="BC36" s="119"/>
      <c r="BD36" s="119"/>
      <c r="BE36" s="119"/>
      <c r="BF36" s="119"/>
      <c r="BG36" s="119"/>
      <c r="BH36" s="119"/>
      <c r="BI36" s="119"/>
      <c r="BJ36" s="119"/>
      <c r="BK36" s="119"/>
      <c r="BL36" s="119"/>
      <c r="BM36" s="119"/>
      <c r="BN36" s="119"/>
      <c r="BO36" s="119"/>
      <c r="BP36" s="119"/>
      <c r="BQ36" s="119"/>
      <c r="BR36" s="119"/>
      <c r="BS36" s="119"/>
      <c r="BT36" s="119"/>
      <c r="BU36" s="119"/>
      <c r="BV36" s="119"/>
      <c r="BW36" s="119"/>
      <c r="BX36" s="119"/>
      <c r="BY36" s="119"/>
      <c r="BZ36" s="119"/>
      <c r="CA36" s="119"/>
      <c r="CB36" s="119"/>
      <c r="CC36" s="119"/>
      <c r="CD36" s="119"/>
      <c r="CE36" s="119"/>
      <c r="CF36" s="119"/>
      <c r="CG36" s="119"/>
      <c r="CH36" s="119"/>
      <c r="CI36" s="119"/>
      <c r="CJ36" s="119"/>
      <c r="CK36" s="119"/>
      <c r="CL36" s="119"/>
      <c r="CM36" s="119"/>
      <c r="CN36" s="119"/>
      <c r="CO36" s="119"/>
      <c r="CP36" s="119"/>
      <c r="CQ36" s="119"/>
      <c r="CR36" s="119"/>
      <c r="CS36" s="119"/>
      <c r="CT36" s="119"/>
      <c r="CU36" s="119"/>
      <c r="CV36" s="119"/>
      <c r="CW36" s="119"/>
      <c r="CX36" s="119"/>
      <c r="CY36" s="119"/>
      <c r="CZ36" s="119"/>
      <c r="DA36" s="119"/>
      <c r="DB36" s="119"/>
      <c r="DC36" s="119"/>
      <c r="DD36" s="119"/>
      <c r="DE36" s="119"/>
      <c r="DF36" s="119"/>
      <c r="DG36" s="119"/>
      <c r="DH36" s="119"/>
      <c r="DI36" s="119"/>
      <c r="DJ36" s="119"/>
      <c r="DK36" s="119"/>
      <c r="DL36" s="119"/>
      <c r="DM36" s="119"/>
      <c r="DN36" s="119"/>
      <c r="DO36" s="119"/>
      <c r="DP36" s="119"/>
      <c r="DQ36" s="119"/>
      <c r="DR36" s="119"/>
      <c r="DS36" s="119"/>
      <c r="DT36" s="119"/>
      <c r="DU36" s="119"/>
      <c r="DV36" s="119"/>
      <c r="DW36" s="119"/>
      <c r="DX36" s="119"/>
      <c r="DY36" s="119"/>
      <c r="DZ36" s="119"/>
      <c r="EA36" s="119"/>
      <c r="EB36" s="119"/>
      <c r="EC36" s="119"/>
      <c r="ED36" s="119"/>
      <c r="EE36" s="119"/>
      <c r="EF36" s="119"/>
      <c r="EG36" s="119"/>
      <c r="EH36" s="119"/>
      <c r="EI36" s="119"/>
      <c r="EJ36" s="119"/>
      <c r="EK36" s="119"/>
      <c r="EL36" s="119"/>
      <c r="EM36" s="119"/>
      <c r="EN36" s="119"/>
      <c r="EO36" s="119"/>
      <c r="EP36" s="119"/>
      <c r="EQ36" s="119"/>
      <c r="ER36" s="119"/>
      <c r="ES36" s="119"/>
      <c r="ET36" s="119"/>
      <c r="EU36" s="119"/>
      <c r="EV36" s="119"/>
      <c r="EW36" s="119"/>
      <c r="EX36" s="119"/>
      <c r="EY36" s="119"/>
      <c r="EZ36" s="119"/>
      <c r="FA36" s="119"/>
      <c r="FB36" s="119"/>
      <c r="FC36" s="119"/>
      <c r="FD36" s="119"/>
      <c r="FE36" s="119"/>
      <c r="FF36" s="119"/>
      <c r="FG36" s="119"/>
      <c r="FH36" s="119"/>
      <c r="FI36" s="119"/>
      <c r="FJ36" s="119"/>
      <c r="FK36" s="119"/>
      <c r="FL36" s="119"/>
      <c r="FM36" s="119"/>
      <c r="FN36" s="119"/>
      <c r="FO36" s="119"/>
      <c r="FP36" s="119"/>
      <c r="FQ36" s="119"/>
      <c r="FR36" s="119"/>
      <c r="FS36" s="119"/>
      <c r="FT36" s="119"/>
      <c r="FU36" s="119"/>
      <c r="FV36" s="119"/>
      <c r="FW36" s="119"/>
      <c r="FX36" s="119"/>
      <c r="FY36" s="119"/>
      <c r="FZ36" s="119"/>
      <c r="GA36" s="119"/>
      <c r="GB36" s="119"/>
      <c r="GC36" s="119"/>
      <c r="GD36" s="119"/>
      <c r="GE36" s="119"/>
      <c r="GF36" s="119"/>
      <c r="GG36" s="119"/>
      <c r="GH36" s="119"/>
      <c r="GI36" s="119"/>
      <c r="GJ36" s="119"/>
      <c r="GK36" s="119"/>
      <c r="GL36" s="119"/>
      <c r="GM36" s="119"/>
      <c r="GN36" s="119"/>
      <c r="GO36" s="119"/>
      <c r="GP36" s="119"/>
      <c r="GQ36" s="119"/>
      <c r="GR36" s="119"/>
      <c r="GS36" s="119"/>
      <c r="GT36" s="119"/>
      <c r="GU36" s="119"/>
      <c r="GV36" s="119"/>
      <c r="GW36" s="119"/>
      <c r="GX36" s="119"/>
      <c r="GY36" s="119"/>
      <c r="GZ36" s="119"/>
      <c r="HA36" s="119"/>
      <c r="HB36" s="119"/>
      <c r="HC36" s="119"/>
      <c r="HD36" s="119"/>
      <c r="HE36" s="119"/>
      <c r="HF36" s="119"/>
      <c r="HG36" s="119"/>
      <c r="HH36" s="119"/>
      <c r="HI36" s="119"/>
      <c r="HJ36" s="119"/>
      <c r="HK36" s="119"/>
      <c r="HL36" s="119"/>
      <c r="HM36" s="119"/>
      <c r="HN36" s="119"/>
      <c r="HO36" s="119"/>
      <c r="HP36" s="119"/>
      <c r="HQ36" s="119"/>
      <c r="HR36" s="119"/>
      <c r="HS36" s="119"/>
      <c r="HT36" s="119"/>
      <c r="HU36" s="119"/>
      <c r="HV36" s="119"/>
      <c r="HW36" s="119"/>
      <c r="HX36" s="119"/>
      <c r="HY36" s="119"/>
      <c r="HZ36" s="119"/>
      <c r="IA36" s="119"/>
      <c r="IB36" s="119"/>
      <c r="IC36" s="119"/>
      <c r="ID36" s="119"/>
      <c r="IE36" s="119"/>
      <c r="IF36" s="119"/>
      <c r="IG36" s="119"/>
      <c r="IH36" s="119"/>
      <c r="II36" s="119"/>
      <c r="IJ36" s="119"/>
      <c r="IK36" s="119"/>
      <c r="IL36" s="119"/>
      <c r="IM36" s="119"/>
      <c r="IN36" s="119"/>
      <c r="IO36" s="119"/>
      <c r="IP36" s="119"/>
      <c r="IQ36" s="119"/>
      <c r="IR36" s="119"/>
      <c r="IS36" s="119"/>
      <c r="IT36" s="119"/>
      <c r="IU36" s="119"/>
    </row>
    <row r="37" spans="1:255" x14ac:dyDescent="0.2">
      <c r="A37" s="114" t="s">
        <v>46</v>
      </c>
      <c r="B37" s="110">
        <v>639</v>
      </c>
      <c r="D37" s="110">
        <v>17877</v>
      </c>
      <c r="F37" s="134"/>
      <c r="G37" s="110"/>
      <c r="H37" s="110">
        <v>5537</v>
      </c>
      <c r="I37" s="110">
        <v>9382</v>
      </c>
      <c r="J37" s="110">
        <v>7262</v>
      </c>
      <c r="K37" s="136">
        <f>SUM(B37:J37)</f>
        <v>40697</v>
      </c>
      <c r="L37" s="119"/>
      <c r="M37" s="119"/>
      <c r="N37" s="119"/>
      <c r="O37" s="119"/>
      <c r="P37" s="119"/>
      <c r="Q37" s="119"/>
      <c r="R37" s="119"/>
      <c r="S37" s="119"/>
      <c r="T37" s="119"/>
      <c r="U37" s="119"/>
      <c r="V37" s="119"/>
      <c r="W37" s="119"/>
      <c r="X37" s="119"/>
      <c r="Y37" s="119"/>
      <c r="Z37" s="119"/>
      <c r="AA37" s="119"/>
      <c r="AB37" s="119"/>
      <c r="AC37" s="119"/>
      <c r="AD37" s="119"/>
      <c r="AE37" s="119"/>
      <c r="AF37" s="119"/>
      <c r="AG37" s="119"/>
      <c r="AH37" s="119"/>
      <c r="AI37" s="119"/>
      <c r="AJ37" s="119"/>
      <c r="AK37" s="119"/>
      <c r="AL37" s="119"/>
      <c r="AM37" s="119"/>
      <c r="AN37" s="119"/>
      <c r="AO37" s="119"/>
      <c r="AP37" s="119"/>
      <c r="AQ37" s="119"/>
      <c r="AR37" s="119"/>
      <c r="AS37" s="119"/>
      <c r="AT37" s="119"/>
      <c r="AU37" s="119"/>
      <c r="AV37" s="119"/>
      <c r="AW37" s="119"/>
      <c r="AX37" s="119"/>
      <c r="AY37" s="119"/>
      <c r="AZ37" s="119"/>
      <c r="BA37" s="119"/>
      <c r="BB37" s="119"/>
      <c r="BC37" s="119"/>
      <c r="BD37" s="119"/>
      <c r="BE37" s="119"/>
      <c r="BF37" s="119"/>
      <c r="BG37" s="119"/>
      <c r="BH37" s="119"/>
      <c r="BI37" s="119"/>
      <c r="BJ37" s="119"/>
      <c r="BK37" s="119"/>
      <c r="BL37" s="119"/>
      <c r="BM37" s="119"/>
      <c r="BN37" s="119"/>
      <c r="BO37" s="119"/>
      <c r="BP37" s="119"/>
      <c r="BQ37" s="119"/>
      <c r="BR37" s="119"/>
      <c r="BS37" s="119"/>
      <c r="BT37" s="119"/>
      <c r="BU37" s="119"/>
      <c r="BV37" s="119"/>
      <c r="BW37" s="119"/>
      <c r="BX37" s="119"/>
      <c r="BY37" s="119"/>
      <c r="BZ37" s="119"/>
      <c r="CA37" s="119"/>
      <c r="CB37" s="119"/>
      <c r="CC37" s="119"/>
      <c r="CD37" s="119"/>
      <c r="CE37" s="119"/>
      <c r="CF37" s="119"/>
      <c r="CG37" s="119"/>
      <c r="CH37" s="119"/>
      <c r="CI37" s="119"/>
      <c r="CJ37" s="119"/>
      <c r="CK37" s="119"/>
      <c r="CL37" s="119"/>
      <c r="CM37" s="119"/>
      <c r="CN37" s="119"/>
      <c r="CO37" s="119"/>
      <c r="CP37" s="119"/>
      <c r="CQ37" s="119"/>
      <c r="CR37" s="119"/>
      <c r="CS37" s="119"/>
      <c r="CT37" s="119"/>
      <c r="CU37" s="119"/>
      <c r="CV37" s="119"/>
      <c r="CW37" s="119"/>
      <c r="CX37" s="119"/>
      <c r="CY37" s="119"/>
      <c r="CZ37" s="119"/>
      <c r="DA37" s="119"/>
      <c r="DB37" s="119"/>
      <c r="DC37" s="119"/>
      <c r="DD37" s="119"/>
      <c r="DE37" s="119"/>
      <c r="DF37" s="119"/>
      <c r="DG37" s="119"/>
      <c r="DH37" s="119"/>
      <c r="DI37" s="119"/>
      <c r="DJ37" s="119"/>
      <c r="DK37" s="119"/>
      <c r="DL37" s="119"/>
      <c r="DM37" s="119"/>
      <c r="DN37" s="119"/>
      <c r="DO37" s="119"/>
      <c r="DP37" s="119"/>
      <c r="DQ37" s="119"/>
      <c r="DR37" s="119"/>
      <c r="DS37" s="119"/>
      <c r="DT37" s="119"/>
      <c r="DU37" s="119"/>
      <c r="DV37" s="119"/>
      <c r="DW37" s="119"/>
      <c r="DX37" s="119"/>
      <c r="DY37" s="119"/>
      <c r="DZ37" s="119"/>
      <c r="EA37" s="119"/>
      <c r="EB37" s="119"/>
      <c r="EC37" s="119"/>
      <c r="ED37" s="119"/>
      <c r="EE37" s="119"/>
      <c r="EF37" s="119"/>
      <c r="EG37" s="119"/>
      <c r="EH37" s="119"/>
      <c r="EI37" s="119"/>
      <c r="EJ37" s="119"/>
      <c r="EK37" s="119"/>
      <c r="EL37" s="119"/>
      <c r="EM37" s="119"/>
      <c r="EN37" s="119"/>
      <c r="EO37" s="119"/>
      <c r="EP37" s="119"/>
      <c r="EQ37" s="119"/>
      <c r="ER37" s="119"/>
      <c r="ES37" s="119"/>
      <c r="ET37" s="119"/>
      <c r="EU37" s="119"/>
      <c r="EV37" s="119"/>
      <c r="EW37" s="119"/>
      <c r="EX37" s="119"/>
      <c r="EY37" s="119"/>
      <c r="EZ37" s="119"/>
      <c r="FA37" s="119"/>
      <c r="FB37" s="119"/>
      <c r="FC37" s="119"/>
      <c r="FD37" s="119"/>
      <c r="FE37" s="119"/>
      <c r="FF37" s="119"/>
      <c r="FG37" s="119"/>
      <c r="FH37" s="119"/>
      <c r="FI37" s="119"/>
      <c r="FJ37" s="119"/>
      <c r="FK37" s="119"/>
      <c r="FL37" s="119"/>
      <c r="FM37" s="119"/>
      <c r="FN37" s="119"/>
      <c r="FO37" s="119"/>
      <c r="FP37" s="119"/>
      <c r="FQ37" s="119"/>
      <c r="FR37" s="119"/>
      <c r="FS37" s="119"/>
      <c r="FT37" s="119"/>
      <c r="FU37" s="119"/>
      <c r="FV37" s="119"/>
      <c r="FW37" s="119"/>
      <c r="FX37" s="119"/>
      <c r="FY37" s="119"/>
      <c r="FZ37" s="119"/>
      <c r="GA37" s="119"/>
      <c r="GB37" s="119"/>
      <c r="GC37" s="119"/>
      <c r="GD37" s="119"/>
      <c r="GE37" s="119"/>
      <c r="GF37" s="119"/>
      <c r="GG37" s="119"/>
      <c r="GH37" s="119"/>
      <c r="GI37" s="119"/>
      <c r="GJ37" s="119"/>
      <c r="GK37" s="119"/>
      <c r="GL37" s="119"/>
      <c r="GM37" s="119"/>
      <c r="GN37" s="119"/>
      <c r="GO37" s="119"/>
      <c r="GP37" s="119"/>
      <c r="GQ37" s="119"/>
      <c r="GR37" s="119"/>
      <c r="GS37" s="119"/>
      <c r="GT37" s="119"/>
      <c r="GU37" s="119"/>
      <c r="GV37" s="119"/>
      <c r="GW37" s="119"/>
      <c r="GX37" s="119"/>
      <c r="GY37" s="119"/>
      <c r="GZ37" s="119"/>
      <c r="HA37" s="119"/>
      <c r="HB37" s="119"/>
      <c r="HC37" s="119"/>
      <c r="HD37" s="119"/>
      <c r="HE37" s="119"/>
      <c r="HF37" s="119"/>
      <c r="HG37" s="119"/>
      <c r="HH37" s="119"/>
      <c r="HI37" s="119"/>
      <c r="HJ37" s="119"/>
      <c r="HK37" s="119"/>
      <c r="HL37" s="119"/>
      <c r="HM37" s="119"/>
      <c r="HN37" s="119"/>
      <c r="HO37" s="119"/>
      <c r="HP37" s="119"/>
      <c r="HQ37" s="119"/>
      <c r="HR37" s="119"/>
      <c r="HS37" s="119"/>
      <c r="HT37" s="119"/>
      <c r="HU37" s="119"/>
      <c r="HV37" s="119"/>
      <c r="HW37" s="119"/>
      <c r="HX37" s="119"/>
      <c r="HY37" s="119"/>
      <c r="HZ37" s="119"/>
      <c r="IA37" s="119"/>
      <c r="IB37" s="119"/>
      <c r="IC37" s="119"/>
      <c r="ID37" s="119"/>
      <c r="IE37" s="119"/>
      <c r="IF37" s="119"/>
      <c r="IG37" s="119"/>
      <c r="IH37" s="119"/>
      <c r="II37" s="119"/>
      <c r="IJ37" s="119"/>
      <c r="IK37" s="119"/>
      <c r="IL37" s="119"/>
      <c r="IM37" s="119"/>
      <c r="IN37" s="119"/>
      <c r="IO37" s="119"/>
      <c r="IP37" s="119"/>
      <c r="IQ37" s="119"/>
      <c r="IR37" s="119"/>
      <c r="IS37" s="119"/>
      <c r="IT37" s="119"/>
      <c r="IU37" s="119"/>
    </row>
    <row r="38" spans="1:255" x14ac:dyDescent="0.2">
      <c r="A38" s="114" t="s">
        <v>201</v>
      </c>
      <c r="D38" s="110">
        <v>4135</v>
      </c>
      <c r="F38" s="110"/>
      <c r="G38" s="110"/>
      <c r="H38" s="110"/>
      <c r="I38" s="110"/>
      <c r="J38" s="110">
        <v>1484</v>
      </c>
      <c r="K38" s="136">
        <f>SUM(B38:J38)</f>
        <v>5619</v>
      </c>
      <c r="L38" s="119"/>
      <c r="M38" s="119"/>
      <c r="N38" s="119"/>
      <c r="O38" s="119"/>
      <c r="P38" s="119"/>
      <c r="Q38" s="119"/>
      <c r="R38" s="119"/>
      <c r="S38" s="119"/>
      <c r="T38" s="119"/>
      <c r="U38" s="119"/>
      <c r="V38" s="119"/>
      <c r="W38" s="119"/>
      <c r="X38" s="119"/>
      <c r="Y38" s="119"/>
      <c r="Z38" s="119"/>
      <c r="AA38" s="119"/>
      <c r="AB38" s="119"/>
      <c r="AC38" s="119"/>
      <c r="AD38" s="119"/>
      <c r="AE38" s="119"/>
      <c r="AF38" s="119"/>
      <c r="AG38" s="119"/>
      <c r="AH38" s="119"/>
      <c r="AI38" s="119"/>
      <c r="AJ38" s="119"/>
      <c r="AK38" s="119"/>
      <c r="AL38" s="119"/>
      <c r="AM38" s="119"/>
      <c r="AN38" s="119"/>
      <c r="AO38" s="119"/>
      <c r="AP38" s="119"/>
      <c r="AQ38" s="119"/>
      <c r="AR38" s="119"/>
      <c r="AS38" s="119"/>
      <c r="AT38" s="119"/>
      <c r="AU38" s="119"/>
      <c r="AV38" s="119"/>
      <c r="AW38" s="119"/>
      <c r="AX38" s="119"/>
      <c r="AY38" s="119"/>
      <c r="AZ38" s="119"/>
      <c r="BA38" s="119"/>
      <c r="BB38" s="119"/>
      <c r="BC38" s="119"/>
      <c r="BD38" s="119"/>
      <c r="BE38" s="119"/>
      <c r="BF38" s="119"/>
      <c r="BG38" s="119"/>
      <c r="BH38" s="119"/>
      <c r="BI38" s="119"/>
      <c r="BJ38" s="119"/>
      <c r="BK38" s="119"/>
      <c r="BL38" s="119"/>
      <c r="BM38" s="119"/>
      <c r="BN38" s="119"/>
      <c r="BO38" s="119"/>
      <c r="BP38" s="119"/>
      <c r="BQ38" s="119"/>
      <c r="BR38" s="119"/>
      <c r="BS38" s="119"/>
      <c r="BT38" s="119"/>
      <c r="BU38" s="119"/>
      <c r="BV38" s="119"/>
      <c r="BW38" s="119"/>
      <c r="BX38" s="119"/>
      <c r="BY38" s="119"/>
      <c r="BZ38" s="119"/>
      <c r="CA38" s="119"/>
      <c r="CB38" s="119"/>
      <c r="CC38" s="119"/>
      <c r="CD38" s="119"/>
      <c r="CE38" s="119"/>
      <c r="CF38" s="119"/>
      <c r="CG38" s="119"/>
      <c r="CH38" s="119"/>
      <c r="CI38" s="119"/>
      <c r="CJ38" s="119"/>
      <c r="CK38" s="119"/>
      <c r="CL38" s="119"/>
      <c r="CM38" s="119"/>
      <c r="CN38" s="119"/>
      <c r="CO38" s="119"/>
      <c r="CP38" s="119"/>
      <c r="CQ38" s="119"/>
      <c r="CR38" s="119"/>
      <c r="CS38" s="119"/>
      <c r="CT38" s="119"/>
      <c r="CU38" s="119"/>
      <c r="CV38" s="119"/>
      <c r="CW38" s="119"/>
      <c r="CX38" s="119"/>
      <c r="CY38" s="119"/>
      <c r="CZ38" s="119"/>
      <c r="DA38" s="119"/>
      <c r="DB38" s="119"/>
      <c r="DC38" s="119"/>
      <c r="DD38" s="119"/>
      <c r="DE38" s="119"/>
      <c r="DF38" s="119"/>
      <c r="DG38" s="119"/>
      <c r="DH38" s="119"/>
      <c r="DI38" s="119"/>
      <c r="DJ38" s="119"/>
      <c r="DK38" s="119"/>
      <c r="DL38" s="119"/>
      <c r="DM38" s="119"/>
      <c r="DN38" s="119"/>
      <c r="DO38" s="119"/>
      <c r="DP38" s="119"/>
      <c r="DQ38" s="119"/>
      <c r="DR38" s="119"/>
      <c r="DS38" s="119"/>
      <c r="DT38" s="119"/>
      <c r="DU38" s="119"/>
      <c r="DV38" s="119"/>
      <c r="DW38" s="119"/>
      <c r="DX38" s="119"/>
      <c r="DY38" s="119"/>
      <c r="DZ38" s="119"/>
      <c r="EA38" s="119"/>
      <c r="EB38" s="119"/>
      <c r="EC38" s="119"/>
      <c r="ED38" s="119"/>
      <c r="EE38" s="119"/>
      <c r="EF38" s="119"/>
      <c r="EG38" s="119"/>
      <c r="EH38" s="119"/>
      <c r="EI38" s="119"/>
      <c r="EJ38" s="119"/>
      <c r="EK38" s="119"/>
      <c r="EL38" s="119"/>
      <c r="EM38" s="119"/>
      <c r="EN38" s="119"/>
      <c r="EO38" s="119"/>
      <c r="EP38" s="119"/>
      <c r="EQ38" s="119"/>
      <c r="ER38" s="119"/>
      <c r="ES38" s="119"/>
      <c r="ET38" s="119"/>
      <c r="EU38" s="119"/>
      <c r="EV38" s="119"/>
      <c r="EW38" s="119"/>
      <c r="EX38" s="119"/>
      <c r="EY38" s="119"/>
      <c r="EZ38" s="119"/>
      <c r="FA38" s="119"/>
      <c r="FB38" s="119"/>
      <c r="FC38" s="119"/>
      <c r="FD38" s="119"/>
      <c r="FE38" s="119"/>
      <c r="FF38" s="119"/>
      <c r="FG38" s="119"/>
      <c r="FH38" s="119"/>
      <c r="FI38" s="119"/>
      <c r="FJ38" s="119"/>
      <c r="FK38" s="119"/>
      <c r="FL38" s="119"/>
      <c r="FM38" s="119"/>
      <c r="FN38" s="119"/>
      <c r="FO38" s="119"/>
      <c r="FP38" s="119"/>
      <c r="FQ38" s="119"/>
      <c r="FR38" s="119"/>
      <c r="FS38" s="119"/>
      <c r="FT38" s="119"/>
      <c r="FU38" s="119"/>
      <c r="FV38" s="119"/>
      <c r="FW38" s="119"/>
      <c r="FX38" s="119"/>
      <c r="FY38" s="119"/>
      <c r="FZ38" s="119"/>
      <c r="GA38" s="119"/>
      <c r="GB38" s="119"/>
      <c r="GC38" s="119"/>
      <c r="GD38" s="119"/>
      <c r="GE38" s="119"/>
      <c r="GF38" s="119"/>
      <c r="GG38" s="119"/>
      <c r="GH38" s="119"/>
      <c r="GI38" s="119"/>
      <c r="GJ38" s="119"/>
      <c r="GK38" s="119"/>
      <c r="GL38" s="119"/>
      <c r="GM38" s="119"/>
      <c r="GN38" s="119"/>
      <c r="GO38" s="119"/>
      <c r="GP38" s="119"/>
      <c r="GQ38" s="119"/>
      <c r="GR38" s="119"/>
      <c r="GS38" s="119"/>
      <c r="GT38" s="119"/>
      <c r="GU38" s="119"/>
      <c r="GV38" s="119"/>
      <c r="GW38" s="119"/>
      <c r="GX38" s="119"/>
      <c r="GY38" s="119"/>
      <c r="GZ38" s="119"/>
      <c r="HA38" s="119"/>
      <c r="HB38" s="119"/>
      <c r="HC38" s="119"/>
      <c r="HD38" s="119"/>
      <c r="HE38" s="119"/>
      <c r="HF38" s="119"/>
      <c r="HG38" s="119"/>
      <c r="HH38" s="119"/>
      <c r="HI38" s="119"/>
      <c r="HJ38" s="119"/>
      <c r="HK38" s="119"/>
      <c r="HL38" s="119"/>
      <c r="HM38" s="119"/>
      <c r="HN38" s="119"/>
      <c r="HO38" s="119"/>
      <c r="HP38" s="119"/>
      <c r="HQ38" s="119"/>
      <c r="HR38" s="119"/>
      <c r="HS38" s="119"/>
      <c r="HT38" s="119"/>
      <c r="HU38" s="119"/>
      <c r="HV38" s="119"/>
      <c r="HW38" s="119"/>
      <c r="HX38" s="119"/>
      <c r="HY38" s="119"/>
      <c r="HZ38" s="119"/>
      <c r="IA38" s="119"/>
      <c r="IB38" s="119"/>
      <c r="IC38" s="119"/>
      <c r="ID38" s="119"/>
      <c r="IE38" s="119"/>
      <c r="IF38" s="119"/>
      <c r="IG38" s="119"/>
      <c r="IH38" s="119"/>
      <c r="II38" s="119"/>
      <c r="IJ38" s="119"/>
      <c r="IK38" s="119"/>
      <c r="IL38" s="119"/>
      <c r="IM38" s="119"/>
      <c r="IN38" s="119"/>
      <c r="IO38" s="119"/>
      <c r="IP38" s="119"/>
      <c r="IQ38" s="119"/>
      <c r="IR38" s="119"/>
      <c r="IS38" s="119"/>
      <c r="IT38" s="119"/>
      <c r="IU38" s="119"/>
    </row>
    <row r="39" spans="1:255" ht="14.25" x14ac:dyDescent="0.2">
      <c r="A39" s="155" t="s">
        <v>202</v>
      </c>
      <c r="C39" s="110">
        <v>14572</v>
      </c>
      <c r="E39" s="110">
        <v>27647</v>
      </c>
      <c r="F39" s="110"/>
      <c r="G39" s="134"/>
      <c r="H39" s="110">
        <v>9952</v>
      </c>
      <c r="I39" s="110"/>
      <c r="J39" s="110">
        <v>31494</v>
      </c>
      <c r="K39" s="136">
        <f>SUM(B39:J39)</f>
        <v>83665</v>
      </c>
      <c r="L39" s="119"/>
      <c r="M39" s="119"/>
      <c r="N39" s="119"/>
      <c r="O39" s="119"/>
      <c r="P39" s="119"/>
      <c r="Q39" s="119"/>
      <c r="R39" s="119"/>
      <c r="S39" s="119"/>
      <c r="T39" s="119"/>
      <c r="U39" s="119"/>
      <c r="V39" s="119"/>
      <c r="W39" s="119"/>
      <c r="X39" s="119"/>
      <c r="Y39" s="119"/>
      <c r="Z39" s="119"/>
      <c r="AA39" s="119"/>
      <c r="AB39" s="119"/>
      <c r="AC39" s="119"/>
      <c r="AD39" s="119"/>
      <c r="AE39" s="119"/>
      <c r="AF39" s="119"/>
      <c r="AG39" s="119"/>
      <c r="AH39" s="119"/>
      <c r="AI39" s="119"/>
      <c r="AJ39" s="119"/>
      <c r="AK39" s="119"/>
      <c r="AL39" s="119"/>
      <c r="AM39" s="119"/>
      <c r="AN39" s="119"/>
      <c r="AO39" s="119"/>
      <c r="AP39" s="119"/>
      <c r="AQ39" s="119"/>
      <c r="AR39" s="119"/>
      <c r="AS39" s="119"/>
      <c r="AT39" s="119"/>
      <c r="AU39" s="119"/>
      <c r="AV39" s="119"/>
      <c r="AW39" s="119"/>
      <c r="AX39" s="119"/>
      <c r="AY39" s="119"/>
      <c r="AZ39" s="119"/>
      <c r="BA39" s="119"/>
      <c r="BB39" s="119"/>
      <c r="BC39" s="119"/>
      <c r="BD39" s="119"/>
      <c r="BE39" s="119"/>
      <c r="BF39" s="119"/>
      <c r="BG39" s="119"/>
      <c r="BH39" s="119"/>
      <c r="BI39" s="119"/>
      <c r="BJ39" s="119"/>
      <c r="BK39" s="119"/>
      <c r="BL39" s="119"/>
      <c r="BM39" s="119"/>
      <c r="BN39" s="119"/>
      <c r="BO39" s="119"/>
      <c r="BP39" s="119"/>
      <c r="BQ39" s="119"/>
      <c r="BR39" s="119"/>
      <c r="BS39" s="119"/>
      <c r="BT39" s="119"/>
      <c r="BU39" s="119"/>
      <c r="BV39" s="119"/>
      <c r="BW39" s="119"/>
      <c r="BX39" s="119"/>
      <c r="BY39" s="119"/>
      <c r="BZ39" s="119"/>
      <c r="CA39" s="119"/>
      <c r="CB39" s="119"/>
      <c r="CC39" s="119"/>
      <c r="CD39" s="119"/>
      <c r="CE39" s="119"/>
      <c r="CF39" s="119"/>
      <c r="CG39" s="119"/>
      <c r="CH39" s="119"/>
      <c r="CI39" s="119"/>
      <c r="CJ39" s="119"/>
      <c r="CK39" s="119"/>
      <c r="CL39" s="119"/>
      <c r="CM39" s="119"/>
      <c r="CN39" s="119"/>
      <c r="CO39" s="119"/>
      <c r="CP39" s="119"/>
      <c r="CQ39" s="119"/>
      <c r="CR39" s="119"/>
      <c r="CS39" s="119"/>
      <c r="CT39" s="119"/>
      <c r="CU39" s="119"/>
      <c r="CV39" s="119"/>
      <c r="CW39" s="119"/>
      <c r="CX39" s="119"/>
      <c r="CY39" s="119"/>
      <c r="CZ39" s="119"/>
      <c r="DA39" s="119"/>
      <c r="DB39" s="119"/>
      <c r="DC39" s="119"/>
      <c r="DD39" s="119"/>
      <c r="DE39" s="119"/>
      <c r="DF39" s="119"/>
      <c r="DG39" s="119"/>
      <c r="DH39" s="119"/>
      <c r="DI39" s="119"/>
      <c r="DJ39" s="119"/>
      <c r="DK39" s="119"/>
      <c r="DL39" s="119"/>
      <c r="DM39" s="119"/>
      <c r="DN39" s="119"/>
      <c r="DO39" s="119"/>
      <c r="DP39" s="119"/>
      <c r="DQ39" s="119"/>
      <c r="DR39" s="119"/>
      <c r="DS39" s="119"/>
      <c r="DT39" s="119"/>
      <c r="DU39" s="119"/>
      <c r="DV39" s="119"/>
      <c r="DW39" s="119"/>
      <c r="DX39" s="119"/>
      <c r="DY39" s="119"/>
      <c r="DZ39" s="119"/>
      <c r="EA39" s="119"/>
      <c r="EB39" s="119"/>
      <c r="EC39" s="119"/>
      <c r="ED39" s="119"/>
      <c r="EE39" s="119"/>
      <c r="EF39" s="119"/>
      <c r="EG39" s="119"/>
      <c r="EH39" s="119"/>
      <c r="EI39" s="119"/>
      <c r="EJ39" s="119"/>
      <c r="EK39" s="119"/>
      <c r="EL39" s="119"/>
      <c r="EM39" s="119"/>
      <c r="EN39" s="119"/>
      <c r="EO39" s="119"/>
      <c r="EP39" s="119"/>
      <c r="EQ39" s="119"/>
      <c r="ER39" s="119"/>
      <c r="ES39" s="119"/>
      <c r="ET39" s="119"/>
      <c r="EU39" s="119"/>
      <c r="EV39" s="119"/>
      <c r="EW39" s="119"/>
      <c r="EX39" s="119"/>
      <c r="EY39" s="119"/>
      <c r="EZ39" s="119"/>
      <c r="FA39" s="119"/>
      <c r="FB39" s="119"/>
      <c r="FC39" s="119"/>
      <c r="FD39" s="119"/>
      <c r="FE39" s="119"/>
      <c r="FF39" s="119"/>
      <c r="FG39" s="119"/>
      <c r="FH39" s="119"/>
      <c r="FI39" s="119"/>
      <c r="FJ39" s="119"/>
      <c r="FK39" s="119"/>
      <c r="FL39" s="119"/>
      <c r="FM39" s="119"/>
      <c r="FN39" s="119"/>
      <c r="FO39" s="119"/>
      <c r="FP39" s="119"/>
      <c r="FQ39" s="119"/>
      <c r="FR39" s="119"/>
      <c r="FS39" s="119"/>
      <c r="FT39" s="119"/>
      <c r="FU39" s="119"/>
      <c r="FV39" s="119"/>
      <c r="FW39" s="119"/>
      <c r="FX39" s="119"/>
      <c r="FY39" s="119"/>
      <c r="FZ39" s="119"/>
      <c r="GA39" s="119"/>
      <c r="GB39" s="119"/>
      <c r="GC39" s="119"/>
      <c r="GD39" s="119"/>
      <c r="GE39" s="119"/>
      <c r="GF39" s="119"/>
      <c r="GG39" s="119"/>
      <c r="GH39" s="119"/>
      <c r="GI39" s="119"/>
      <c r="GJ39" s="119"/>
      <c r="GK39" s="119"/>
      <c r="GL39" s="119"/>
      <c r="GM39" s="119"/>
      <c r="GN39" s="119"/>
      <c r="GO39" s="119"/>
      <c r="GP39" s="119"/>
      <c r="GQ39" s="119"/>
      <c r="GR39" s="119"/>
      <c r="GS39" s="119"/>
      <c r="GT39" s="119"/>
      <c r="GU39" s="119"/>
      <c r="GV39" s="119"/>
      <c r="GW39" s="119"/>
      <c r="GX39" s="119"/>
      <c r="GY39" s="119"/>
      <c r="GZ39" s="119"/>
      <c r="HA39" s="119"/>
      <c r="HB39" s="119"/>
      <c r="HC39" s="119"/>
      <c r="HD39" s="119"/>
      <c r="HE39" s="119"/>
      <c r="HF39" s="119"/>
      <c r="HG39" s="119"/>
      <c r="HH39" s="119"/>
      <c r="HI39" s="119"/>
      <c r="HJ39" s="119"/>
      <c r="HK39" s="119"/>
      <c r="HL39" s="119"/>
      <c r="HM39" s="119"/>
      <c r="HN39" s="119"/>
      <c r="HO39" s="119"/>
      <c r="HP39" s="119"/>
      <c r="HQ39" s="119"/>
      <c r="HR39" s="119"/>
      <c r="HS39" s="119"/>
      <c r="HT39" s="119"/>
      <c r="HU39" s="119"/>
      <c r="HV39" s="119"/>
      <c r="HW39" s="119"/>
      <c r="HX39" s="119"/>
      <c r="HY39" s="119"/>
      <c r="HZ39" s="119"/>
      <c r="IA39" s="119"/>
      <c r="IB39" s="119"/>
      <c r="IC39" s="119"/>
      <c r="ID39" s="119"/>
      <c r="IE39" s="119"/>
      <c r="IF39" s="119"/>
      <c r="IG39" s="119"/>
      <c r="IH39" s="119"/>
      <c r="II39" s="119"/>
      <c r="IJ39" s="119"/>
      <c r="IK39" s="119"/>
      <c r="IL39" s="119"/>
      <c r="IM39" s="119"/>
      <c r="IN39" s="119"/>
      <c r="IO39" s="119"/>
      <c r="IP39" s="119"/>
      <c r="IQ39" s="119"/>
      <c r="IR39" s="119"/>
      <c r="IS39" s="119"/>
      <c r="IT39" s="119"/>
      <c r="IU39" s="119"/>
    </row>
    <row r="40" spans="1:255" x14ac:dyDescent="0.2">
      <c r="F40" s="110"/>
      <c r="G40" s="110"/>
      <c r="H40" s="110"/>
      <c r="I40" s="110"/>
      <c r="J40" s="110"/>
      <c r="K40" s="110"/>
      <c r="L40" s="119"/>
      <c r="M40" s="119"/>
      <c r="N40" s="119"/>
      <c r="O40" s="119"/>
      <c r="P40" s="119"/>
      <c r="Q40" s="119"/>
      <c r="R40" s="119"/>
      <c r="S40" s="119"/>
      <c r="T40" s="119"/>
      <c r="U40" s="119"/>
      <c r="V40" s="119"/>
      <c r="W40" s="119"/>
      <c r="X40" s="119"/>
      <c r="Y40" s="119"/>
      <c r="Z40" s="119"/>
      <c r="AA40" s="119"/>
      <c r="AB40" s="119"/>
      <c r="AC40" s="119"/>
      <c r="AD40" s="119"/>
      <c r="AE40" s="119"/>
      <c r="AF40" s="119"/>
      <c r="AG40" s="119"/>
      <c r="AH40" s="119"/>
      <c r="AI40" s="119"/>
      <c r="AJ40" s="119"/>
      <c r="AK40" s="119"/>
      <c r="AL40" s="119"/>
      <c r="AM40" s="119"/>
      <c r="AN40" s="119"/>
      <c r="AO40" s="119"/>
      <c r="AP40" s="119"/>
      <c r="AQ40" s="119"/>
      <c r="AR40" s="119"/>
      <c r="AS40" s="119"/>
      <c r="AT40" s="119"/>
      <c r="AU40" s="119"/>
      <c r="AV40" s="119"/>
      <c r="AW40" s="119"/>
      <c r="AX40" s="119"/>
      <c r="AY40" s="119"/>
      <c r="AZ40" s="119"/>
      <c r="BA40" s="119"/>
      <c r="BB40" s="119"/>
      <c r="BC40" s="119"/>
      <c r="BD40" s="119"/>
      <c r="BE40" s="119"/>
      <c r="BF40" s="119"/>
      <c r="BG40" s="119"/>
      <c r="BH40" s="119"/>
      <c r="BI40" s="119"/>
      <c r="BJ40" s="119"/>
      <c r="BK40" s="119"/>
      <c r="BL40" s="119"/>
      <c r="BM40" s="119"/>
      <c r="BN40" s="119"/>
      <c r="BO40" s="119"/>
      <c r="BP40" s="119"/>
      <c r="BQ40" s="119"/>
      <c r="BR40" s="119"/>
      <c r="BS40" s="119"/>
      <c r="BT40" s="119"/>
      <c r="BU40" s="119"/>
      <c r="BV40" s="119"/>
      <c r="BW40" s="119"/>
      <c r="BX40" s="119"/>
      <c r="BY40" s="119"/>
      <c r="BZ40" s="119"/>
      <c r="CA40" s="119"/>
      <c r="CB40" s="119"/>
      <c r="CC40" s="119"/>
      <c r="CD40" s="119"/>
      <c r="CE40" s="119"/>
      <c r="CF40" s="119"/>
      <c r="CG40" s="119"/>
      <c r="CH40" s="119"/>
      <c r="CI40" s="119"/>
      <c r="CJ40" s="119"/>
      <c r="CK40" s="119"/>
      <c r="CL40" s="119"/>
      <c r="CM40" s="119"/>
      <c r="CN40" s="119"/>
      <c r="CO40" s="119"/>
      <c r="CP40" s="119"/>
      <c r="CQ40" s="119"/>
      <c r="CR40" s="119"/>
      <c r="CS40" s="119"/>
      <c r="CT40" s="119"/>
      <c r="CU40" s="119"/>
      <c r="CV40" s="119"/>
      <c r="CW40" s="119"/>
      <c r="CX40" s="119"/>
      <c r="CY40" s="119"/>
      <c r="CZ40" s="119"/>
      <c r="DA40" s="119"/>
      <c r="DB40" s="119"/>
      <c r="DC40" s="119"/>
      <c r="DD40" s="119"/>
      <c r="DE40" s="119"/>
      <c r="DF40" s="119"/>
      <c r="DG40" s="119"/>
      <c r="DH40" s="119"/>
      <c r="DI40" s="119"/>
      <c r="DJ40" s="119"/>
      <c r="DK40" s="119"/>
      <c r="DL40" s="119"/>
      <c r="DM40" s="119"/>
      <c r="DN40" s="119"/>
      <c r="DO40" s="119"/>
      <c r="DP40" s="119"/>
      <c r="DQ40" s="119"/>
      <c r="DR40" s="119"/>
      <c r="DS40" s="119"/>
      <c r="DT40" s="119"/>
      <c r="DU40" s="119"/>
      <c r="DV40" s="119"/>
      <c r="DW40" s="119"/>
      <c r="DX40" s="119"/>
      <c r="DY40" s="119"/>
      <c r="DZ40" s="119"/>
      <c r="EA40" s="119"/>
      <c r="EB40" s="119"/>
      <c r="EC40" s="119"/>
      <c r="ED40" s="119"/>
      <c r="EE40" s="119"/>
      <c r="EF40" s="119"/>
      <c r="EG40" s="119"/>
      <c r="EH40" s="119"/>
      <c r="EI40" s="119"/>
      <c r="EJ40" s="119"/>
      <c r="EK40" s="119"/>
      <c r="EL40" s="119"/>
      <c r="EM40" s="119"/>
      <c r="EN40" s="119"/>
      <c r="EO40" s="119"/>
      <c r="EP40" s="119"/>
      <c r="EQ40" s="119"/>
      <c r="ER40" s="119"/>
      <c r="ES40" s="119"/>
      <c r="ET40" s="119"/>
      <c r="EU40" s="119"/>
      <c r="EV40" s="119"/>
      <c r="EW40" s="119"/>
      <c r="EX40" s="119"/>
      <c r="EY40" s="119"/>
      <c r="EZ40" s="119"/>
      <c r="FA40" s="119"/>
      <c r="FB40" s="119"/>
      <c r="FC40" s="119"/>
      <c r="FD40" s="119"/>
      <c r="FE40" s="119"/>
      <c r="FF40" s="119"/>
      <c r="FG40" s="119"/>
      <c r="FH40" s="119"/>
      <c r="FI40" s="119"/>
      <c r="FJ40" s="119"/>
      <c r="FK40" s="119"/>
      <c r="FL40" s="119"/>
      <c r="FM40" s="119"/>
      <c r="FN40" s="119"/>
      <c r="FO40" s="119"/>
      <c r="FP40" s="119"/>
      <c r="FQ40" s="119"/>
      <c r="FR40" s="119"/>
      <c r="FS40" s="119"/>
      <c r="FT40" s="119"/>
      <c r="FU40" s="119"/>
      <c r="FV40" s="119"/>
      <c r="FW40" s="119"/>
      <c r="FX40" s="119"/>
      <c r="FY40" s="119"/>
      <c r="FZ40" s="119"/>
      <c r="GA40" s="119"/>
      <c r="GB40" s="119"/>
      <c r="GC40" s="119"/>
      <c r="GD40" s="119"/>
      <c r="GE40" s="119"/>
      <c r="GF40" s="119"/>
      <c r="GG40" s="119"/>
      <c r="GH40" s="119"/>
      <c r="GI40" s="119"/>
      <c r="GJ40" s="119"/>
      <c r="GK40" s="119"/>
      <c r="GL40" s="119"/>
      <c r="GM40" s="119"/>
      <c r="GN40" s="119"/>
      <c r="GO40" s="119"/>
      <c r="GP40" s="119"/>
      <c r="GQ40" s="119"/>
      <c r="GR40" s="119"/>
      <c r="GS40" s="119"/>
      <c r="GT40" s="119"/>
      <c r="GU40" s="119"/>
      <c r="GV40" s="119"/>
      <c r="GW40" s="119"/>
      <c r="GX40" s="119"/>
      <c r="GY40" s="119"/>
      <c r="GZ40" s="119"/>
      <c r="HA40" s="119"/>
      <c r="HB40" s="119"/>
      <c r="HC40" s="119"/>
      <c r="HD40" s="119"/>
      <c r="HE40" s="119"/>
      <c r="HF40" s="119"/>
      <c r="HG40" s="119"/>
      <c r="HH40" s="119"/>
      <c r="HI40" s="119"/>
      <c r="HJ40" s="119"/>
      <c r="HK40" s="119"/>
      <c r="HL40" s="119"/>
      <c r="HM40" s="119"/>
      <c r="HN40" s="119"/>
      <c r="HO40" s="119"/>
      <c r="HP40" s="119"/>
      <c r="HQ40" s="119"/>
      <c r="HR40" s="119"/>
      <c r="HS40" s="119"/>
      <c r="HT40" s="119"/>
      <c r="HU40" s="119"/>
      <c r="HV40" s="119"/>
      <c r="HW40" s="119"/>
      <c r="HX40" s="119"/>
      <c r="HY40" s="119"/>
      <c r="HZ40" s="119"/>
      <c r="IA40" s="119"/>
      <c r="IB40" s="119"/>
      <c r="IC40" s="119"/>
      <c r="ID40" s="119"/>
      <c r="IE40" s="119"/>
      <c r="IF40" s="119"/>
      <c r="IG40" s="119"/>
      <c r="IH40" s="119"/>
      <c r="II40" s="119"/>
      <c r="IJ40" s="119"/>
      <c r="IK40" s="119"/>
      <c r="IL40" s="119"/>
      <c r="IM40" s="119"/>
      <c r="IN40" s="119"/>
      <c r="IO40" s="119"/>
      <c r="IP40" s="119"/>
      <c r="IQ40" s="119"/>
      <c r="IR40" s="119"/>
      <c r="IS40" s="119"/>
      <c r="IT40" s="119"/>
      <c r="IU40" s="119"/>
    </row>
    <row r="41" spans="1:255" ht="15" customHeight="1" x14ac:dyDescent="0.25">
      <c r="A41" s="153" t="s">
        <v>44</v>
      </c>
      <c r="B41" s="119"/>
      <c r="C41" s="119"/>
      <c r="D41" s="119"/>
      <c r="E41" s="119"/>
      <c r="F41" s="122"/>
      <c r="G41" s="122"/>
      <c r="H41" s="122"/>
      <c r="I41" s="122"/>
      <c r="J41" s="122"/>
      <c r="K41" s="131"/>
    </row>
    <row r="42" spans="1:255" ht="12" customHeight="1" x14ac:dyDescent="0.2">
      <c r="B42" s="119"/>
      <c r="C42" s="119"/>
      <c r="D42" s="119"/>
      <c r="E42" s="119"/>
      <c r="F42" s="122"/>
      <c r="G42" s="122"/>
      <c r="H42" s="122"/>
      <c r="I42" s="122"/>
      <c r="J42" s="122"/>
      <c r="K42" s="131"/>
    </row>
    <row r="43" spans="1:255" ht="12" customHeight="1" x14ac:dyDescent="0.2">
      <c r="A43" s="140" t="s">
        <v>73</v>
      </c>
      <c r="B43" s="119"/>
      <c r="C43" s="119"/>
      <c r="D43" s="119"/>
      <c r="E43" s="119"/>
      <c r="F43" s="122"/>
      <c r="G43" s="122"/>
      <c r="H43" s="122"/>
      <c r="I43" s="122"/>
      <c r="J43" s="122"/>
      <c r="K43" s="131"/>
    </row>
    <row r="44" spans="1:255" ht="12" customHeight="1" x14ac:dyDescent="0.2">
      <c r="B44" s="119"/>
      <c r="C44" s="119"/>
      <c r="D44" s="119"/>
      <c r="E44" s="119"/>
      <c r="F44" s="122"/>
      <c r="G44" s="122"/>
      <c r="H44" s="122"/>
      <c r="I44" s="122"/>
      <c r="J44" s="122"/>
      <c r="K44" s="131"/>
    </row>
    <row r="45" spans="1:255" ht="12" customHeight="1" x14ac:dyDescent="0.2">
      <c r="A45" s="114" t="s">
        <v>74</v>
      </c>
      <c r="B45" s="119">
        <v>44.133930579999998</v>
      </c>
      <c r="C45" s="119">
        <v>53.96</v>
      </c>
      <c r="D45" s="125">
        <v>56.799650820000004</v>
      </c>
      <c r="E45" s="119">
        <v>112.12</v>
      </c>
      <c r="F45" s="128"/>
      <c r="G45" s="128">
        <v>1.52</v>
      </c>
      <c r="H45" s="128">
        <v>113.877</v>
      </c>
      <c r="I45" s="128">
        <v>173.63158499000002</v>
      </c>
      <c r="J45" s="119">
        <v>211.52534141999999</v>
      </c>
      <c r="K45" s="131">
        <f t="shared" ref="K45:K54" si="3">SUM(B45:J45)</f>
        <v>767.56750781000005</v>
      </c>
    </row>
    <row r="46" spans="1:255" ht="12" customHeight="1" x14ac:dyDescent="0.2">
      <c r="A46" s="114" t="s">
        <v>75</v>
      </c>
      <c r="B46" s="119">
        <v>10.89091062</v>
      </c>
      <c r="C46" s="119"/>
      <c r="D46" s="119"/>
      <c r="E46" s="119"/>
      <c r="F46" s="128"/>
      <c r="G46" s="128">
        <v>9.52</v>
      </c>
      <c r="H46" s="128"/>
      <c r="I46" s="128">
        <v>110.8832187</v>
      </c>
      <c r="J46" s="119">
        <v>26.261813329999999</v>
      </c>
      <c r="K46" s="131">
        <f t="shared" si="3"/>
        <v>157.55594264999999</v>
      </c>
    </row>
    <row r="47" spans="1:255" ht="12" customHeight="1" x14ac:dyDescent="0.2">
      <c r="A47" s="114" t="s">
        <v>105</v>
      </c>
      <c r="B47" s="119"/>
      <c r="C47" s="119">
        <v>218.65</v>
      </c>
      <c r="D47" s="119"/>
      <c r="E47" s="119">
        <v>263.10000000000002</v>
      </c>
      <c r="F47" s="128"/>
      <c r="G47" s="128">
        <v>957.44</v>
      </c>
      <c r="H47" s="128"/>
      <c r="I47" s="128">
        <v>43.36087978425001</v>
      </c>
      <c r="J47" s="122"/>
      <c r="K47" s="131">
        <f t="shared" si="3"/>
        <v>1482.5508797842501</v>
      </c>
    </row>
    <row r="48" spans="1:255" ht="12" customHeight="1" x14ac:dyDescent="0.2">
      <c r="A48" s="114" t="s">
        <v>107</v>
      </c>
      <c r="B48" s="119">
        <v>1.5156098600000001</v>
      </c>
      <c r="C48" s="119">
        <v>9.1199999999999992</v>
      </c>
      <c r="D48" s="119">
        <v>1140.81980245</v>
      </c>
      <c r="E48" s="119">
        <v>11.28</v>
      </c>
      <c r="F48" s="128"/>
      <c r="G48" s="128">
        <v>178.93</v>
      </c>
      <c r="H48" s="128">
        <v>67.516999999999996</v>
      </c>
      <c r="I48" s="128"/>
      <c r="J48" s="122">
        <v>3.5467807699999998</v>
      </c>
      <c r="K48" s="131">
        <f t="shared" si="3"/>
        <v>1412.72919308</v>
      </c>
    </row>
    <row r="49" spans="1:11" ht="12" customHeight="1" x14ac:dyDescent="0.2">
      <c r="A49" s="114" t="s">
        <v>106</v>
      </c>
      <c r="B49" s="119"/>
      <c r="C49" s="119"/>
      <c r="D49" s="125">
        <v>1306.4030458499999</v>
      </c>
      <c r="E49" s="119"/>
      <c r="F49" s="128"/>
      <c r="G49" s="128"/>
      <c r="H49" s="128"/>
      <c r="I49" s="128">
        <v>1.1532671799999998</v>
      </c>
      <c r="J49" s="122"/>
      <c r="K49" s="131">
        <f t="shared" si="3"/>
        <v>1307.55631303</v>
      </c>
    </row>
    <row r="50" spans="1:11" ht="12" customHeight="1" x14ac:dyDescent="0.2">
      <c r="A50" s="114" t="s">
        <v>108</v>
      </c>
      <c r="B50" s="119"/>
      <c r="C50" s="119">
        <v>124.08</v>
      </c>
      <c r="D50" s="119">
        <v>686.36687807999999</v>
      </c>
      <c r="E50" s="119">
        <v>531.92999999999995</v>
      </c>
      <c r="F50" s="128"/>
      <c r="G50" s="128">
        <v>454.23</v>
      </c>
      <c r="H50" s="128">
        <v>70.02</v>
      </c>
      <c r="I50" s="128"/>
      <c r="J50" s="119">
        <v>636.58760305999999</v>
      </c>
      <c r="K50" s="131">
        <f t="shared" si="3"/>
        <v>2503.2144811400003</v>
      </c>
    </row>
    <row r="51" spans="1:11" ht="12" customHeight="1" x14ac:dyDescent="0.2">
      <c r="A51" s="114" t="s">
        <v>78</v>
      </c>
      <c r="B51" s="119"/>
      <c r="C51" s="119"/>
      <c r="D51" s="119"/>
      <c r="E51" s="119"/>
      <c r="F51" s="128"/>
      <c r="G51" s="128">
        <v>4.05</v>
      </c>
      <c r="H51" s="128">
        <v>8.1509999999999998</v>
      </c>
      <c r="I51" s="128"/>
      <c r="J51" s="122">
        <v>0</v>
      </c>
      <c r="K51" s="131">
        <f t="shared" si="3"/>
        <v>12.201000000000001</v>
      </c>
    </row>
    <row r="52" spans="1:11" ht="12" customHeight="1" x14ac:dyDescent="0.2">
      <c r="A52" s="114" t="s">
        <v>79</v>
      </c>
      <c r="B52" s="119"/>
      <c r="C52" s="119"/>
      <c r="D52" s="119"/>
      <c r="E52" s="119"/>
      <c r="F52" s="128"/>
      <c r="G52" s="128">
        <v>2.94</v>
      </c>
      <c r="H52" s="128"/>
      <c r="I52" s="128"/>
      <c r="J52" s="122">
        <v>2.44868394</v>
      </c>
      <c r="K52" s="131">
        <f t="shared" si="3"/>
        <v>5.38868394</v>
      </c>
    </row>
    <row r="53" spans="1:11" ht="12" customHeight="1" x14ac:dyDescent="0.2">
      <c r="B53" s="119"/>
      <c r="C53" s="119"/>
      <c r="D53" s="119"/>
      <c r="E53" s="119"/>
      <c r="F53" s="122"/>
      <c r="G53" s="122"/>
      <c r="H53" s="122"/>
      <c r="I53" s="122"/>
      <c r="J53" s="122"/>
      <c r="K53" s="131"/>
    </row>
    <row r="54" spans="1:11" s="140" customFormat="1" ht="12" customHeight="1" x14ac:dyDescent="0.2">
      <c r="A54" s="155" t="s">
        <v>12</v>
      </c>
      <c r="B54" s="131">
        <f>SUM(B45:B52)</f>
        <v>56.540451059999995</v>
      </c>
      <c r="C54" s="131">
        <f>SUM(C45:C52)</f>
        <v>405.81</v>
      </c>
      <c r="D54" s="131">
        <f>SUM(D45:D52)</f>
        <v>3190.3893771999997</v>
      </c>
      <c r="E54" s="131">
        <f>SUM(E45:E52)</f>
        <v>918.43</v>
      </c>
      <c r="F54" s="132">
        <f>SUM(F44:F52)</f>
        <v>0</v>
      </c>
      <c r="G54" s="132">
        <f>SUM(G45:G52)</f>
        <v>1608.63</v>
      </c>
      <c r="H54" s="132">
        <f>SUM(H45:H52)</f>
        <v>259.565</v>
      </c>
      <c r="I54" s="132">
        <f>SUM(I45:I52)</f>
        <v>329.02895065425002</v>
      </c>
      <c r="J54" s="132">
        <f>SUM(J45:J52)</f>
        <v>880.37022251999997</v>
      </c>
      <c r="K54" s="131">
        <f t="shared" si="3"/>
        <v>7648.7640014342505</v>
      </c>
    </row>
    <row r="55" spans="1:11" ht="12" customHeight="1" x14ac:dyDescent="0.2">
      <c r="B55" s="119"/>
      <c r="C55" s="119"/>
      <c r="D55" s="119"/>
      <c r="E55" s="119"/>
      <c r="F55" s="122"/>
      <c r="G55" s="122"/>
      <c r="H55" s="122"/>
      <c r="I55" s="122"/>
      <c r="J55" s="122"/>
      <c r="K55" s="131"/>
    </row>
    <row r="56" spans="1:11" ht="12" customHeight="1" x14ac:dyDescent="0.2">
      <c r="A56" s="140" t="s">
        <v>45</v>
      </c>
      <c r="B56" s="119"/>
      <c r="C56" s="119"/>
      <c r="D56" s="119"/>
      <c r="E56" s="119"/>
      <c r="F56" s="122"/>
      <c r="G56" s="122"/>
      <c r="H56" s="122"/>
      <c r="I56" s="122"/>
      <c r="J56" s="122"/>
      <c r="K56" s="131"/>
    </row>
    <row r="57" spans="1:11" ht="12" customHeight="1" x14ac:dyDescent="0.2">
      <c r="B57" s="119"/>
      <c r="C57" s="119"/>
      <c r="D57" s="119"/>
      <c r="E57" s="119"/>
      <c r="F57" s="122"/>
      <c r="G57" s="122"/>
      <c r="H57" s="122"/>
      <c r="I57" s="122"/>
      <c r="J57" s="122"/>
      <c r="K57" s="131"/>
    </row>
    <row r="58" spans="1:11" ht="12" customHeight="1" x14ac:dyDescent="0.2">
      <c r="A58" s="114" t="s">
        <v>46</v>
      </c>
      <c r="B58" s="119">
        <v>931.83259205999991</v>
      </c>
      <c r="C58" s="119">
        <v>1642.18</v>
      </c>
      <c r="D58" s="125">
        <v>1492.7510290299999</v>
      </c>
      <c r="E58" s="119">
        <v>648.21</v>
      </c>
      <c r="F58" s="122">
        <f>1891.366675+383.017134</f>
        <v>2274.3838089999999</v>
      </c>
      <c r="G58" s="119">
        <v>2727.16</v>
      </c>
      <c r="H58" s="119">
        <v>3028.2220000000002</v>
      </c>
      <c r="I58" s="119">
        <v>1477.6444002799999</v>
      </c>
      <c r="J58" s="119">
        <v>3856.6672807700002</v>
      </c>
      <c r="K58" s="131">
        <f>SUM(B58:J58)</f>
        <v>18079.051111140001</v>
      </c>
    </row>
    <row r="59" spans="1:11" ht="12" customHeight="1" x14ac:dyDescent="0.2">
      <c r="A59" s="114" t="s">
        <v>47</v>
      </c>
      <c r="B59" s="119">
        <v>128.42886897</v>
      </c>
      <c r="C59" s="119"/>
      <c r="D59" s="119"/>
      <c r="E59" s="119"/>
      <c r="F59" s="122">
        <v>87.845754999999997</v>
      </c>
      <c r="G59" s="119">
        <v>189.67</v>
      </c>
      <c r="H59" s="119">
        <v>5.3849999999999998</v>
      </c>
      <c r="I59" s="119">
        <v>161.35957779</v>
      </c>
      <c r="J59" s="119">
        <v>487.96869802999998</v>
      </c>
      <c r="K59" s="131">
        <f>SUM(B59:J59)</f>
        <v>1060.6578997899999</v>
      </c>
    </row>
    <row r="60" spans="1:11" ht="12" customHeight="1" x14ac:dyDescent="0.2">
      <c r="B60" s="119"/>
      <c r="C60" s="119"/>
      <c r="D60" s="119"/>
      <c r="E60" s="119"/>
      <c r="F60" s="122"/>
      <c r="G60" s="122"/>
      <c r="H60" s="122"/>
      <c r="I60" s="122"/>
      <c r="J60" s="122"/>
      <c r="K60" s="131"/>
    </row>
    <row r="61" spans="1:11" s="140" customFormat="1" ht="12" customHeight="1" x14ac:dyDescent="0.2">
      <c r="A61" s="140" t="s">
        <v>12</v>
      </c>
      <c r="B61" s="131">
        <f>SUM(B58:B59)</f>
        <v>1060.26146103</v>
      </c>
      <c r="C61" s="131">
        <f>SUM(C58:C59)</f>
        <v>1642.18</v>
      </c>
      <c r="D61" s="131">
        <f>SUM(D58:D59)</f>
        <v>1492.7510290299999</v>
      </c>
      <c r="E61" s="131">
        <f t="shared" ref="E61:J61" si="4">SUM(E58:E59)</f>
        <v>648.21</v>
      </c>
      <c r="F61" s="132">
        <f t="shared" si="4"/>
        <v>2362.2295639999998</v>
      </c>
      <c r="G61" s="132">
        <f t="shared" si="4"/>
        <v>2916.83</v>
      </c>
      <c r="H61" s="132">
        <f t="shared" si="4"/>
        <v>3033.6070000000004</v>
      </c>
      <c r="I61" s="132">
        <f t="shared" si="4"/>
        <v>1639.0039780699999</v>
      </c>
      <c r="J61" s="132">
        <f t="shared" si="4"/>
        <v>4344.6359788</v>
      </c>
      <c r="K61" s="131">
        <f>SUM(B61:J61)</f>
        <v>19139.709010930001</v>
      </c>
    </row>
    <row r="62" spans="1:11" ht="12" customHeight="1" x14ac:dyDescent="0.2">
      <c r="B62" s="119"/>
      <c r="C62" s="119"/>
      <c r="D62" s="119"/>
      <c r="E62" s="119"/>
      <c r="F62" s="122"/>
      <c r="G62" s="122"/>
      <c r="H62" s="122"/>
      <c r="I62" s="122"/>
      <c r="J62" s="122"/>
      <c r="K62" s="131"/>
    </row>
    <row r="63" spans="1:11" ht="12" customHeight="1" x14ac:dyDescent="0.2">
      <c r="A63" s="140" t="s">
        <v>53</v>
      </c>
      <c r="B63" s="119">
        <v>45.500088580000003</v>
      </c>
      <c r="C63" s="119">
        <v>73.25</v>
      </c>
      <c r="D63" s="119">
        <v>31.733921460000001</v>
      </c>
      <c r="E63" s="119">
        <v>217.6</v>
      </c>
      <c r="F63" s="119">
        <v>145.96781300000001</v>
      </c>
      <c r="G63" s="119">
        <v>280.11</v>
      </c>
      <c r="H63" s="119">
        <v>182.39</v>
      </c>
      <c r="I63" s="119">
        <v>155.53985513999999</v>
      </c>
      <c r="J63" s="119">
        <v>192.68230167000002</v>
      </c>
      <c r="K63" s="131">
        <f>SUM(B63:J63)</f>
        <v>1324.7739798500002</v>
      </c>
    </row>
    <row r="64" spans="1:11" s="140" customFormat="1" ht="12" customHeight="1" x14ac:dyDescent="0.2">
      <c r="A64" s="155" t="s">
        <v>123</v>
      </c>
      <c r="B64" s="119"/>
      <c r="C64" s="119"/>
      <c r="D64" s="119"/>
      <c r="F64" s="122"/>
      <c r="G64" s="122"/>
      <c r="H64" s="122"/>
      <c r="I64" s="122"/>
      <c r="J64" s="122"/>
      <c r="K64" s="131"/>
    </row>
    <row r="65" spans="1:11" s="140" customFormat="1" ht="12" customHeight="1" x14ac:dyDescent="0.2">
      <c r="A65" s="155" t="s">
        <v>210</v>
      </c>
      <c r="B65" s="119"/>
      <c r="C65" s="119">
        <v>40.14</v>
      </c>
      <c r="D65" s="119"/>
      <c r="E65" s="119"/>
      <c r="F65" s="122"/>
      <c r="G65" s="122">
        <v>81.93</v>
      </c>
      <c r="H65" s="122"/>
      <c r="I65" s="122"/>
      <c r="J65" s="122">
        <v>21.280095899999999</v>
      </c>
      <c r="K65" s="131">
        <f>SUM(B65:J65)</f>
        <v>143.35009590000001</v>
      </c>
    </row>
    <row r="66" spans="1:11" s="140" customFormat="1" ht="12" customHeight="1" x14ac:dyDescent="0.2">
      <c r="A66" s="155" t="s">
        <v>125</v>
      </c>
      <c r="B66" s="119"/>
      <c r="C66" s="119"/>
      <c r="D66" s="119"/>
      <c r="E66" s="119">
        <v>189.28</v>
      </c>
      <c r="F66" s="122"/>
      <c r="G66" s="122"/>
      <c r="H66" s="122"/>
      <c r="I66" s="122"/>
      <c r="J66" s="122"/>
      <c r="K66" s="131">
        <f>SUM(B66:J66)</f>
        <v>189.28</v>
      </c>
    </row>
    <row r="67" spans="1:11" ht="12" customHeight="1" x14ac:dyDescent="0.2">
      <c r="A67" s="155"/>
      <c r="C67" s="146"/>
    </row>
    <row r="68" spans="1:11" ht="12" customHeight="1" x14ac:dyDescent="0.2">
      <c r="A68" s="156" t="s">
        <v>233</v>
      </c>
      <c r="C68" s="147"/>
    </row>
    <row r="69" spans="1:11" ht="12" customHeight="1" x14ac:dyDescent="0.2">
      <c r="A69" s="156" t="s">
        <v>234</v>
      </c>
      <c r="C69" s="147"/>
    </row>
    <row r="70" spans="1:11" ht="12" customHeight="1" x14ac:dyDescent="0.2">
      <c r="A70" s="156"/>
      <c r="C70" s="147"/>
    </row>
    <row r="71" spans="1:11" ht="12" customHeight="1" x14ac:dyDescent="0.2">
      <c r="A71" s="143"/>
      <c r="C71" s="147"/>
    </row>
    <row r="72" spans="1:11" ht="12" customHeight="1" x14ac:dyDescent="0.2">
      <c r="A72" s="143" t="s">
        <v>207</v>
      </c>
    </row>
    <row r="73" spans="1:11" ht="12" customHeight="1" x14ac:dyDescent="0.2">
      <c r="A73" s="143" t="s">
        <v>208</v>
      </c>
    </row>
    <row r="74" spans="1:11" x14ac:dyDescent="0.2">
      <c r="A74" s="155"/>
      <c r="F74" s="110"/>
      <c r="G74" s="110"/>
      <c r="H74" s="110"/>
      <c r="I74" s="110"/>
      <c r="J74" s="110"/>
      <c r="K74" s="110"/>
    </row>
    <row r="75" spans="1:11" x14ac:dyDescent="0.2">
      <c r="A75" s="143"/>
      <c r="B75" s="159"/>
      <c r="C75" s="159"/>
      <c r="D75" s="159"/>
      <c r="E75" s="159"/>
      <c r="F75" s="159"/>
      <c r="G75" s="159"/>
      <c r="H75" s="159"/>
      <c r="I75" s="159"/>
      <c r="J75" s="159"/>
      <c r="K75" s="159"/>
    </row>
    <row r="77" spans="1:11" x14ac:dyDescent="0.2">
      <c r="A77" s="157"/>
    </row>
  </sheetData>
  <pageMargins left="0.19685039370078741" right="0.35433070866141736" top="0.59055118110236227" bottom="0.27559055118110237" header="0.31496062992125984" footer="0.31496062992125984"/>
  <pageSetup paperSize="9" scale="90" orientation="landscape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U77"/>
  <sheetViews>
    <sheetView tabSelected="1" zoomScaleNormal="100" workbookViewId="0">
      <pane xSplit="1" ySplit="4" topLeftCell="B5" activePane="bottomRight" state="frozen"/>
      <selection activeCell="B5" sqref="B5"/>
      <selection pane="topRight" activeCell="B5" sqref="B5"/>
      <selection pane="bottomLeft" activeCell="B5" sqref="B5"/>
      <selection pane="bottomRight" activeCell="B5" sqref="B5"/>
    </sheetView>
  </sheetViews>
  <sheetFormatPr baseColWidth="10" defaultRowHeight="12.75" x14ac:dyDescent="0.2"/>
  <cols>
    <col min="1" max="1" width="41.28515625" style="114" customWidth="1"/>
    <col min="2" max="5" width="11.5703125" style="110" customWidth="1"/>
    <col min="6" max="10" width="11.5703125" style="111" customWidth="1"/>
    <col min="11" max="11" width="11.5703125" style="136" customWidth="1"/>
    <col min="12" max="16384" width="11.42578125" style="114"/>
  </cols>
  <sheetData>
    <row r="1" spans="1:11" x14ac:dyDescent="0.2">
      <c r="A1" s="140" t="s">
        <v>235</v>
      </c>
    </row>
    <row r="2" spans="1:11" x14ac:dyDescent="0.2">
      <c r="A2" s="114" t="s">
        <v>184</v>
      </c>
    </row>
    <row r="4" spans="1:11" s="110" customFormat="1" x14ac:dyDescent="0.2">
      <c r="A4" s="152"/>
      <c r="B4" s="110" t="s">
        <v>3</v>
      </c>
      <c r="C4" s="110" t="s">
        <v>4</v>
      </c>
      <c r="D4" s="110" t="s">
        <v>5</v>
      </c>
      <c r="E4" s="110" t="s">
        <v>6</v>
      </c>
      <c r="F4" s="116" t="s">
        <v>7</v>
      </c>
      <c r="G4" s="116" t="s">
        <v>8</v>
      </c>
      <c r="H4" s="116" t="s">
        <v>9</v>
      </c>
      <c r="I4" s="116" t="s">
        <v>198</v>
      </c>
      <c r="J4" s="116" t="s">
        <v>11</v>
      </c>
      <c r="K4" s="136" t="s">
        <v>12</v>
      </c>
    </row>
    <row r="5" spans="1:11" x14ac:dyDescent="0.2">
      <c r="C5" s="119"/>
      <c r="D5" s="119"/>
      <c r="E5" s="119"/>
      <c r="F5" s="119"/>
      <c r="G5" s="119"/>
      <c r="H5" s="119"/>
      <c r="I5" s="122"/>
      <c r="J5" s="122"/>
      <c r="K5" s="122"/>
    </row>
    <row r="6" spans="1:11" ht="15.75" x14ac:dyDescent="0.25">
      <c r="A6" s="153" t="s">
        <v>42</v>
      </c>
      <c r="C6" s="119"/>
      <c r="D6" s="119"/>
      <c r="E6" s="119"/>
      <c r="F6" s="119"/>
      <c r="G6" s="119"/>
      <c r="H6" s="119"/>
      <c r="I6" s="119"/>
      <c r="J6" s="119"/>
      <c r="K6" s="119"/>
    </row>
    <row r="7" spans="1:11" x14ac:dyDescent="0.2">
      <c r="C7" s="127"/>
      <c r="D7" s="127"/>
      <c r="E7" s="127"/>
      <c r="F7" s="127"/>
      <c r="G7" s="127"/>
      <c r="H7" s="127"/>
      <c r="I7" s="128"/>
      <c r="J7" s="128"/>
      <c r="K7" s="128"/>
    </row>
    <row r="8" spans="1:11" x14ac:dyDescent="0.2">
      <c r="A8" s="140" t="s">
        <v>13</v>
      </c>
      <c r="B8" s="119"/>
      <c r="C8" s="119"/>
      <c r="D8" s="119"/>
      <c r="E8" s="119"/>
      <c r="F8" s="119"/>
      <c r="G8" s="119"/>
      <c r="H8" s="119"/>
      <c r="I8" s="119"/>
      <c r="J8" s="119"/>
      <c r="K8" s="119"/>
    </row>
    <row r="9" spans="1:11" x14ac:dyDescent="0.2">
      <c r="B9" s="119"/>
      <c r="C9" s="119"/>
      <c r="D9" s="119"/>
      <c r="E9" s="119"/>
      <c r="F9" s="122"/>
      <c r="G9" s="119"/>
      <c r="H9" s="119"/>
      <c r="I9" s="119"/>
      <c r="J9" s="119"/>
      <c r="K9" s="119"/>
    </row>
    <row r="10" spans="1:11" x14ac:dyDescent="0.2">
      <c r="A10" s="114" t="s">
        <v>72</v>
      </c>
      <c r="B10" s="119">
        <v>55.580198000000003</v>
      </c>
      <c r="C10" s="119">
        <v>23.86</v>
      </c>
      <c r="D10" s="119">
        <v>72.781295799999995</v>
      </c>
      <c r="E10" s="119">
        <v>125.66</v>
      </c>
      <c r="F10" s="122">
        <v>16.832837999999999</v>
      </c>
      <c r="G10" s="119">
        <v>2.1</v>
      </c>
      <c r="H10" s="119">
        <v>134.16800000000001</v>
      </c>
      <c r="I10" s="119">
        <v>102.07342856</v>
      </c>
      <c r="J10" s="119">
        <v>196.346</v>
      </c>
      <c r="K10" s="131">
        <f t="shared" ref="K10:K16" si="0">SUM(B10:J10)</f>
        <v>729.40176036000003</v>
      </c>
    </row>
    <row r="11" spans="1:11" x14ac:dyDescent="0.2">
      <c r="A11" s="114" t="s">
        <v>67</v>
      </c>
      <c r="B11" s="119">
        <v>1.7500000000000002E-2</v>
      </c>
      <c r="C11" s="119">
        <v>0.06</v>
      </c>
      <c r="D11" s="119"/>
      <c r="E11" s="119"/>
      <c r="F11" s="119"/>
      <c r="G11" s="119"/>
      <c r="H11" s="119"/>
      <c r="I11" s="119"/>
      <c r="J11" s="119">
        <v>8.6301199999999998</v>
      </c>
      <c r="K11" s="131">
        <f t="shared" si="0"/>
        <v>8.7076200000000004</v>
      </c>
    </row>
    <row r="12" spans="1:11" x14ac:dyDescent="0.2">
      <c r="A12" s="114" t="s">
        <v>104</v>
      </c>
      <c r="B12" s="119"/>
      <c r="C12" s="119">
        <v>30.44</v>
      </c>
      <c r="D12" s="119">
        <v>39.721522610000001</v>
      </c>
      <c r="E12" s="119">
        <v>20.059999999999999</v>
      </c>
      <c r="F12" s="122">
        <v>6.3416769999999998</v>
      </c>
      <c r="G12" s="119">
        <v>130.91999999999999</v>
      </c>
      <c r="H12" s="119"/>
      <c r="I12" s="119">
        <v>3.5765891000000001</v>
      </c>
      <c r="J12" s="119"/>
      <c r="K12" s="131">
        <f t="shared" si="0"/>
        <v>231.05978870999999</v>
      </c>
    </row>
    <row r="13" spans="1:11" x14ac:dyDescent="0.2">
      <c r="A13" s="114" t="s">
        <v>109</v>
      </c>
      <c r="B13" s="119"/>
      <c r="C13" s="119">
        <v>5.39</v>
      </c>
      <c r="D13" s="119">
        <v>119.19395052</v>
      </c>
      <c r="E13" s="119">
        <v>1.95</v>
      </c>
      <c r="F13" s="122">
        <v>1.6360000000000001E-3</v>
      </c>
      <c r="G13" s="119">
        <v>7.05</v>
      </c>
      <c r="H13" s="119">
        <v>22.206</v>
      </c>
      <c r="I13" s="119"/>
      <c r="J13" s="119">
        <v>0.95674322999999994</v>
      </c>
      <c r="K13" s="131">
        <f t="shared" si="0"/>
        <v>156.74832975000001</v>
      </c>
    </row>
    <row r="14" spans="1:11" x14ac:dyDescent="0.2">
      <c r="A14" s="147" t="s">
        <v>69</v>
      </c>
      <c r="B14" s="119">
        <v>0.68584199999999995</v>
      </c>
      <c r="C14" s="119"/>
      <c r="D14" s="119">
        <v>0.25275000999999997</v>
      </c>
      <c r="E14" s="119">
        <v>0.4</v>
      </c>
      <c r="F14" s="122">
        <v>58.890340999999999</v>
      </c>
      <c r="G14" s="119">
        <v>7.4</v>
      </c>
      <c r="H14" s="119">
        <v>29.163</v>
      </c>
      <c r="I14" s="119">
        <v>4.5313200399999998</v>
      </c>
      <c r="J14" s="119">
        <v>17.675000000000001</v>
      </c>
      <c r="K14" s="131">
        <f t="shared" si="0"/>
        <v>118.99825304999999</v>
      </c>
    </row>
    <row r="15" spans="1:11" x14ac:dyDescent="0.2">
      <c r="A15" s="114" t="s">
        <v>70</v>
      </c>
      <c r="B15" s="119"/>
      <c r="C15" s="119"/>
      <c r="D15" s="119"/>
      <c r="E15" s="119"/>
      <c r="F15" s="119"/>
      <c r="G15" s="119"/>
      <c r="H15" s="119"/>
      <c r="I15" s="119"/>
      <c r="J15" s="119"/>
      <c r="K15" s="131">
        <f t="shared" si="0"/>
        <v>0</v>
      </c>
    </row>
    <row r="16" spans="1:11" x14ac:dyDescent="0.2">
      <c r="A16" s="114" t="s">
        <v>71</v>
      </c>
      <c r="B16" s="119">
        <v>1.4809079999999999</v>
      </c>
      <c r="C16" s="119"/>
      <c r="D16" s="119">
        <v>29.711494367927294</v>
      </c>
      <c r="E16" s="119"/>
      <c r="F16" s="122">
        <v>25.405086000000001</v>
      </c>
      <c r="G16" s="119"/>
      <c r="H16" s="119">
        <v>13.534000000000001</v>
      </c>
      <c r="I16" s="119">
        <v>27.254902809999997</v>
      </c>
      <c r="J16" s="122">
        <v>11.472219220000001</v>
      </c>
      <c r="K16" s="131">
        <f t="shared" si="0"/>
        <v>108.85861039792729</v>
      </c>
    </row>
    <row r="17" spans="1:13" x14ac:dyDescent="0.2">
      <c r="B17" s="119"/>
      <c r="C17" s="119"/>
      <c r="D17" s="119"/>
      <c r="E17" s="119"/>
      <c r="F17" s="122"/>
      <c r="G17" s="122"/>
      <c r="H17" s="122"/>
      <c r="I17" s="122"/>
      <c r="J17" s="122"/>
      <c r="K17" s="131"/>
    </row>
    <row r="18" spans="1:13" s="155" customFormat="1" x14ac:dyDescent="0.2">
      <c r="A18" s="155" t="s">
        <v>12</v>
      </c>
      <c r="B18" s="127">
        <f>SUM(B10:B16)</f>
        <v>57.764448000000002</v>
      </c>
      <c r="C18" s="127">
        <f>SUM(C10:C16)</f>
        <v>59.75</v>
      </c>
      <c r="D18" s="127">
        <f>SUM(D10:D17)</f>
        <v>261.66101330792731</v>
      </c>
      <c r="E18" s="127">
        <f>SUM(E10:E17)</f>
        <v>148.07</v>
      </c>
      <c r="F18" s="128">
        <f>SUM(F10:F16)</f>
        <v>107.47157799999999</v>
      </c>
      <c r="G18" s="127">
        <f>SUM(G10:G16)</f>
        <v>147.47</v>
      </c>
      <c r="H18" s="127">
        <f>SUM(H10:H17)</f>
        <v>199.071</v>
      </c>
      <c r="I18" s="127">
        <f>SUM(I10:I17)</f>
        <v>137.43624051</v>
      </c>
      <c r="J18" s="128">
        <f>SUM(J10:J17)</f>
        <v>235.08008245000002</v>
      </c>
      <c r="K18" s="131">
        <f>SUM(B18:J18)</f>
        <v>1353.7743622679275</v>
      </c>
    </row>
    <row r="19" spans="1:13" x14ac:dyDescent="0.2">
      <c r="B19" s="159"/>
      <c r="C19" s="159"/>
      <c r="D19" s="159"/>
      <c r="E19" s="159"/>
      <c r="F19" s="159"/>
      <c r="G19" s="159"/>
      <c r="H19" s="159"/>
      <c r="I19" s="159"/>
      <c r="J19" s="159"/>
      <c r="K19" s="159"/>
    </row>
    <row r="20" spans="1:13" x14ac:dyDescent="0.2">
      <c r="B20" s="161"/>
      <c r="C20" s="161"/>
      <c r="D20" s="119"/>
      <c r="E20" s="119"/>
      <c r="F20" s="122"/>
      <c r="G20" s="122"/>
      <c r="H20" s="122"/>
      <c r="I20" s="122"/>
      <c r="J20" s="122"/>
      <c r="K20" s="131"/>
    </row>
    <row r="21" spans="1:13" x14ac:dyDescent="0.2">
      <c r="A21" s="140" t="s">
        <v>14</v>
      </c>
      <c r="B21" s="161"/>
      <c r="C21" s="161"/>
      <c r="D21" s="119"/>
      <c r="E21" s="119"/>
      <c r="F21" s="122"/>
      <c r="G21" s="122"/>
      <c r="H21" s="122"/>
      <c r="I21" s="122"/>
      <c r="J21" s="122"/>
      <c r="K21" s="131"/>
    </row>
    <row r="22" spans="1:13" x14ac:dyDescent="0.2">
      <c r="B22" s="119"/>
      <c r="C22" s="119"/>
      <c r="D22" s="119"/>
      <c r="E22" s="119"/>
      <c r="F22" s="122"/>
      <c r="G22" s="122"/>
      <c r="H22" s="122"/>
      <c r="I22" s="122"/>
      <c r="J22" s="122"/>
      <c r="K22" s="131"/>
    </row>
    <row r="23" spans="1:13" x14ac:dyDescent="0.2">
      <c r="A23" s="114" t="s">
        <v>72</v>
      </c>
      <c r="B23" s="119">
        <v>3.6291310000000001</v>
      </c>
      <c r="C23" s="119"/>
      <c r="D23" s="119">
        <v>0.18792390000000003</v>
      </c>
      <c r="E23" s="119"/>
      <c r="F23" s="119"/>
      <c r="G23" s="119">
        <v>8.56</v>
      </c>
      <c r="H23" s="119"/>
      <c r="I23" s="119">
        <v>7.7539723700000014</v>
      </c>
      <c r="J23" s="119">
        <v>77.971999999999994</v>
      </c>
      <c r="K23" s="131">
        <f t="shared" ref="K23:K28" si="1">SUM(B23:J23)</f>
        <v>98.103027269999998</v>
      </c>
      <c r="M23" s="119"/>
    </row>
    <row r="24" spans="1:13" x14ac:dyDescent="0.2">
      <c r="A24" s="114" t="s">
        <v>104</v>
      </c>
      <c r="B24" s="119"/>
      <c r="C24" s="119"/>
      <c r="D24" s="119">
        <v>4.6534462999999997</v>
      </c>
      <c r="E24" s="119"/>
      <c r="F24" s="122"/>
      <c r="G24" s="122">
        <v>0.01</v>
      </c>
      <c r="H24" s="122"/>
      <c r="I24" s="122"/>
      <c r="J24" s="122"/>
      <c r="K24" s="131">
        <f t="shared" si="1"/>
        <v>4.6634462999999995</v>
      </c>
    </row>
    <row r="25" spans="1:13" x14ac:dyDescent="0.2">
      <c r="A25" s="114" t="s">
        <v>109</v>
      </c>
      <c r="B25" s="119"/>
      <c r="C25" s="119"/>
      <c r="D25" s="119">
        <v>93.711051449999999</v>
      </c>
      <c r="E25" s="119">
        <v>63.19</v>
      </c>
      <c r="F25" s="119"/>
      <c r="G25" s="119">
        <v>55.37</v>
      </c>
      <c r="H25" s="119">
        <v>14.087999999999999</v>
      </c>
      <c r="I25" s="119">
        <v>0.51075828999999995</v>
      </c>
      <c r="J25" s="119">
        <v>78.280508080000004</v>
      </c>
      <c r="K25" s="131">
        <f t="shared" si="1"/>
        <v>305.15031782000005</v>
      </c>
    </row>
    <row r="26" spans="1:13" x14ac:dyDescent="0.2">
      <c r="A26" s="147" t="s">
        <v>69</v>
      </c>
      <c r="B26" s="119">
        <v>1.028762</v>
      </c>
      <c r="C26" s="119">
        <v>34.25</v>
      </c>
      <c r="D26" s="119">
        <v>4.1653927400000006</v>
      </c>
      <c r="E26" s="119">
        <v>4.6500000000000004</v>
      </c>
      <c r="F26" s="122">
        <v>4.9126159999999999</v>
      </c>
      <c r="G26" s="119">
        <v>3.03</v>
      </c>
      <c r="H26" s="119">
        <v>27.821000000000002</v>
      </c>
      <c r="I26" s="119">
        <v>4.9999683899999994</v>
      </c>
      <c r="J26" s="119">
        <v>107.15</v>
      </c>
      <c r="K26" s="131">
        <f t="shared" si="1"/>
        <v>192.00773913</v>
      </c>
    </row>
    <row r="27" spans="1:13" x14ac:dyDescent="0.2">
      <c r="A27" s="114" t="s">
        <v>70</v>
      </c>
      <c r="B27" s="119"/>
      <c r="C27" s="119"/>
      <c r="D27" s="119"/>
      <c r="E27" s="119"/>
      <c r="F27" s="122"/>
      <c r="G27" s="122"/>
      <c r="H27" s="122"/>
      <c r="I27" s="122"/>
      <c r="J27" s="122"/>
      <c r="K27" s="131">
        <f t="shared" si="1"/>
        <v>0</v>
      </c>
    </row>
    <row r="28" spans="1:13" x14ac:dyDescent="0.2">
      <c r="A28" s="114" t="s">
        <v>71</v>
      </c>
      <c r="B28" s="119"/>
      <c r="C28" s="119"/>
      <c r="D28" s="119">
        <v>5.4302324220727076</v>
      </c>
      <c r="E28" s="119"/>
      <c r="F28" s="122"/>
      <c r="G28" s="122"/>
      <c r="H28" s="122"/>
      <c r="I28" s="122"/>
      <c r="J28" s="122">
        <v>1.50818505</v>
      </c>
      <c r="K28" s="131">
        <f t="shared" si="1"/>
        <v>6.9384174720727074</v>
      </c>
    </row>
    <row r="29" spans="1:13" x14ac:dyDescent="0.2">
      <c r="B29" s="119"/>
      <c r="C29" s="119"/>
      <c r="D29" s="119"/>
      <c r="E29" s="119"/>
      <c r="F29" s="122"/>
      <c r="G29" s="122"/>
      <c r="H29" s="122"/>
      <c r="I29" s="122"/>
      <c r="J29" s="122"/>
      <c r="K29" s="131"/>
    </row>
    <row r="30" spans="1:13" s="155" customFormat="1" x14ac:dyDescent="0.2">
      <c r="A30" s="155" t="s">
        <v>12</v>
      </c>
      <c r="B30" s="119">
        <f>SUM(B23:B28)</f>
        <v>4.6578929999999996</v>
      </c>
      <c r="C30" s="127">
        <f>SUM(C23:C28)</f>
        <v>34.25</v>
      </c>
      <c r="D30" s="127">
        <f>SUM(D23:D28)</f>
        <v>108.14804681207271</v>
      </c>
      <c r="E30" s="127">
        <f>SUM(E23:E28)</f>
        <v>67.84</v>
      </c>
      <c r="F30" s="128">
        <f>SUM(F23:F28)</f>
        <v>4.9126159999999999</v>
      </c>
      <c r="G30" s="128">
        <f>SUM(G23:G29)</f>
        <v>66.97</v>
      </c>
      <c r="H30" s="128">
        <f>SUM(H23:H29)</f>
        <v>41.908999999999999</v>
      </c>
      <c r="I30" s="128">
        <f>SUM(I23:I29)</f>
        <v>13.264699050000001</v>
      </c>
      <c r="J30" s="128">
        <f>SUM(J23:J29)</f>
        <v>264.91069312999997</v>
      </c>
      <c r="K30" s="131">
        <f>SUM(B30:J30)</f>
        <v>606.86294799207258</v>
      </c>
    </row>
    <row r="31" spans="1:13" s="155" customFormat="1" x14ac:dyDescent="0.2">
      <c r="B31" s="162"/>
      <c r="C31" s="162"/>
      <c r="D31" s="162"/>
      <c r="E31" s="162"/>
      <c r="F31" s="162"/>
      <c r="G31" s="162"/>
      <c r="H31" s="162"/>
      <c r="I31" s="162"/>
      <c r="J31" s="162"/>
      <c r="K31" s="162"/>
    </row>
    <row r="32" spans="1:13" s="140" customFormat="1" x14ac:dyDescent="0.2">
      <c r="A32" s="140" t="s">
        <v>43</v>
      </c>
      <c r="B32" s="131">
        <f t="shared" ref="B32:G32" si="2">B18+B30</f>
        <v>62.422341000000003</v>
      </c>
      <c r="C32" s="131">
        <f t="shared" si="2"/>
        <v>94</v>
      </c>
      <c r="D32" s="131">
        <f t="shared" si="2"/>
        <v>369.80906012000003</v>
      </c>
      <c r="E32" s="131">
        <f t="shared" si="2"/>
        <v>215.91</v>
      </c>
      <c r="F32" s="132">
        <f t="shared" si="2"/>
        <v>112.38419399999999</v>
      </c>
      <c r="G32" s="132">
        <f t="shared" si="2"/>
        <v>214.44</v>
      </c>
      <c r="H32" s="132">
        <f>H30+H18</f>
        <v>240.98</v>
      </c>
      <c r="I32" s="132">
        <f>I18+I30</f>
        <v>150.70093955999999</v>
      </c>
      <c r="J32" s="132">
        <f>J18+J30</f>
        <v>499.99077557999999</v>
      </c>
      <c r="K32" s="131">
        <f>SUM(B32:J32)</f>
        <v>1960.63731026</v>
      </c>
    </row>
    <row r="33" spans="1:255" s="140" customFormat="1" x14ac:dyDescent="0.2">
      <c r="B33" s="131"/>
      <c r="C33" s="131"/>
      <c r="D33" s="131"/>
      <c r="E33" s="131"/>
      <c r="F33" s="131"/>
      <c r="G33" s="131"/>
      <c r="H33" s="131"/>
      <c r="I33" s="131"/>
      <c r="J33" s="131"/>
      <c r="K33" s="131"/>
    </row>
    <row r="34" spans="1:255" s="155" customFormat="1" ht="14.25" x14ac:dyDescent="0.2">
      <c r="A34" s="140" t="s">
        <v>199</v>
      </c>
      <c r="B34" s="119"/>
      <c r="C34" s="127">
        <v>24.38</v>
      </c>
      <c r="D34" s="127"/>
      <c r="E34" s="127">
        <v>52.03</v>
      </c>
      <c r="F34" s="128"/>
      <c r="G34" s="158"/>
      <c r="H34" s="128">
        <v>20.05</v>
      </c>
      <c r="I34" s="128"/>
      <c r="J34" s="128">
        <v>46.46646939</v>
      </c>
      <c r="K34" s="131">
        <f>SUM(B34:J34)</f>
        <v>142.92646938999999</v>
      </c>
    </row>
    <row r="35" spans="1:255" x14ac:dyDescent="0.2">
      <c r="B35" s="119"/>
      <c r="C35" s="119"/>
      <c r="D35" s="119"/>
      <c r="E35" s="119"/>
      <c r="F35" s="122"/>
      <c r="G35" s="122"/>
      <c r="H35" s="122"/>
      <c r="I35" s="122"/>
      <c r="J35" s="122"/>
      <c r="K35" s="119"/>
      <c r="L35" s="119"/>
      <c r="M35" s="119"/>
      <c r="N35" s="119"/>
      <c r="O35" s="119"/>
      <c r="P35" s="119"/>
      <c r="Q35" s="119"/>
      <c r="R35" s="119"/>
      <c r="S35" s="119"/>
      <c r="T35" s="119"/>
      <c r="U35" s="119"/>
      <c r="V35" s="119"/>
      <c r="W35" s="119"/>
      <c r="X35" s="119"/>
      <c r="Y35" s="119"/>
      <c r="Z35" s="119"/>
      <c r="AA35" s="119"/>
      <c r="AB35" s="119"/>
      <c r="AC35" s="119"/>
      <c r="AD35" s="119"/>
      <c r="AE35" s="119"/>
      <c r="AF35" s="119"/>
      <c r="AG35" s="119"/>
      <c r="AH35" s="119"/>
      <c r="AI35" s="119"/>
      <c r="AJ35" s="119"/>
      <c r="AK35" s="119"/>
      <c r="AL35" s="119"/>
      <c r="AM35" s="119"/>
      <c r="AN35" s="119"/>
      <c r="AO35" s="119"/>
      <c r="AP35" s="119"/>
      <c r="AQ35" s="119"/>
      <c r="AR35" s="119"/>
      <c r="AS35" s="119"/>
      <c r="AT35" s="119"/>
      <c r="AU35" s="119"/>
      <c r="AV35" s="119"/>
      <c r="AW35" s="119"/>
      <c r="AX35" s="119"/>
      <c r="AY35" s="119"/>
      <c r="AZ35" s="119"/>
      <c r="BA35" s="119"/>
      <c r="BB35" s="119"/>
      <c r="BC35" s="119"/>
      <c r="BD35" s="119"/>
      <c r="BE35" s="119"/>
      <c r="BF35" s="119"/>
      <c r="BG35" s="119"/>
      <c r="BH35" s="119"/>
      <c r="BI35" s="119"/>
      <c r="BJ35" s="119"/>
      <c r="BK35" s="119"/>
      <c r="BL35" s="119"/>
      <c r="BM35" s="119"/>
      <c r="BN35" s="119"/>
      <c r="BO35" s="119"/>
      <c r="BP35" s="119"/>
      <c r="BQ35" s="119"/>
      <c r="BR35" s="119"/>
      <c r="BS35" s="119"/>
      <c r="BT35" s="119"/>
      <c r="BU35" s="119"/>
      <c r="BV35" s="119"/>
      <c r="BW35" s="119"/>
      <c r="BX35" s="119"/>
      <c r="BY35" s="119"/>
      <c r="BZ35" s="119"/>
      <c r="CA35" s="119"/>
      <c r="CB35" s="119"/>
      <c r="CC35" s="119"/>
      <c r="CD35" s="119"/>
      <c r="CE35" s="119"/>
      <c r="CF35" s="119"/>
      <c r="CG35" s="119"/>
      <c r="CH35" s="119"/>
      <c r="CI35" s="119"/>
      <c r="CJ35" s="119"/>
      <c r="CK35" s="119"/>
      <c r="CL35" s="119"/>
      <c r="CM35" s="119"/>
      <c r="CN35" s="119"/>
      <c r="CO35" s="119"/>
      <c r="CP35" s="119"/>
      <c r="CQ35" s="119"/>
      <c r="CR35" s="119"/>
      <c r="CS35" s="119"/>
      <c r="CT35" s="119"/>
      <c r="CU35" s="119"/>
      <c r="CV35" s="119"/>
      <c r="CW35" s="119"/>
      <c r="CX35" s="119"/>
      <c r="CY35" s="119"/>
      <c r="CZ35" s="119"/>
      <c r="DA35" s="119"/>
      <c r="DB35" s="119"/>
      <c r="DC35" s="119"/>
      <c r="DD35" s="119"/>
      <c r="DE35" s="119"/>
      <c r="DF35" s="119"/>
      <c r="DG35" s="119"/>
      <c r="DH35" s="119"/>
      <c r="DI35" s="119"/>
      <c r="DJ35" s="119"/>
      <c r="DK35" s="119"/>
      <c r="DL35" s="119"/>
      <c r="DM35" s="119"/>
      <c r="DN35" s="119"/>
      <c r="DO35" s="119"/>
      <c r="DP35" s="119"/>
      <c r="DQ35" s="119"/>
      <c r="DR35" s="119"/>
      <c r="DS35" s="119"/>
      <c r="DT35" s="119"/>
      <c r="DU35" s="119"/>
      <c r="DV35" s="119"/>
      <c r="DW35" s="119"/>
      <c r="DX35" s="119"/>
      <c r="DY35" s="119"/>
      <c r="DZ35" s="119"/>
      <c r="EA35" s="119"/>
      <c r="EB35" s="119"/>
      <c r="EC35" s="119"/>
      <c r="ED35" s="119"/>
      <c r="EE35" s="119"/>
      <c r="EF35" s="119"/>
      <c r="EG35" s="119"/>
      <c r="EH35" s="119"/>
      <c r="EI35" s="119"/>
      <c r="EJ35" s="119"/>
      <c r="EK35" s="119"/>
      <c r="EL35" s="119"/>
      <c r="EM35" s="119"/>
      <c r="EN35" s="119"/>
      <c r="EO35" s="119"/>
      <c r="EP35" s="119"/>
      <c r="EQ35" s="119"/>
      <c r="ER35" s="119"/>
      <c r="ES35" s="119"/>
      <c r="ET35" s="119"/>
      <c r="EU35" s="119"/>
      <c r="EV35" s="119"/>
      <c r="EW35" s="119"/>
      <c r="EX35" s="119"/>
      <c r="EY35" s="119"/>
      <c r="EZ35" s="119"/>
      <c r="FA35" s="119"/>
      <c r="FB35" s="119"/>
      <c r="FC35" s="119"/>
      <c r="FD35" s="119"/>
      <c r="FE35" s="119"/>
      <c r="FF35" s="119"/>
      <c r="FG35" s="119"/>
      <c r="FH35" s="119"/>
      <c r="FI35" s="119"/>
      <c r="FJ35" s="119"/>
      <c r="FK35" s="119"/>
      <c r="FL35" s="119"/>
      <c r="FM35" s="119"/>
      <c r="FN35" s="119"/>
      <c r="FO35" s="119"/>
      <c r="FP35" s="119"/>
      <c r="FQ35" s="119"/>
      <c r="FR35" s="119"/>
      <c r="FS35" s="119"/>
      <c r="FT35" s="119"/>
      <c r="FU35" s="119"/>
      <c r="FV35" s="119"/>
      <c r="FW35" s="119"/>
      <c r="FX35" s="119"/>
      <c r="FY35" s="119"/>
      <c r="FZ35" s="119"/>
      <c r="GA35" s="119"/>
      <c r="GB35" s="119"/>
      <c r="GC35" s="119"/>
      <c r="GD35" s="119"/>
      <c r="GE35" s="119"/>
      <c r="GF35" s="119"/>
      <c r="GG35" s="119"/>
      <c r="GH35" s="119"/>
      <c r="GI35" s="119"/>
      <c r="GJ35" s="119"/>
      <c r="GK35" s="119"/>
      <c r="GL35" s="119"/>
      <c r="GM35" s="119"/>
      <c r="GN35" s="119"/>
      <c r="GO35" s="119"/>
      <c r="GP35" s="119"/>
      <c r="GQ35" s="119"/>
      <c r="GR35" s="119"/>
      <c r="GS35" s="119"/>
      <c r="GT35" s="119"/>
      <c r="GU35" s="119"/>
      <c r="GV35" s="119"/>
      <c r="GW35" s="119"/>
      <c r="GX35" s="119"/>
      <c r="GY35" s="119"/>
      <c r="GZ35" s="119"/>
      <c r="HA35" s="119"/>
      <c r="HB35" s="119"/>
      <c r="HC35" s="119"/>
      <c r="HD35" s="119"/>
      <c r="HE35" s="119"/>
      <c r="HF35" s="119"/>
      <c r="HG35" s="119"/>
      <c r="HH35" s="119"/>
      <c r="HI35" s="119"/>
      <c r="HJ35" s="119"/>
      <c r="HK35" s="119"/>
      <c r="HL35" s="119"/>
      <c r="HM35" s="119"/>
      <c r="HN35" s="119"/>
      <c r="HO35" s="119"/>
      <c r="HP35" s="119"/>
      <c r="HQ35" s="119"/>
      <c r="HR35" s="119"/>
      <c r="HS35" s="119"/>
      <c r="HT35" s="119"/>
      <c r="HU35" s="119"/>
      <c r="HV35" s="119"/>
      <c r="HW35" s="119"/>
      <c r="HX35" s="119"/>
      <c r="HY35" s="119"/>
      <c r="HZ35" s="119"/>
      <c r="IA35" s="119"/>
      <c r="IB35" s="119"/>
      <c r="IC35" s="119"/>
      <c r="ID35" s="119"/>
      <c r="IE35" s="119"/>
      <c r="IF35" s="119"/>
      <c r="IG35" s="119"/>
      <c r="IH35" s="119"/>
      <c r="II35" s="119"/>
      <c r="IJ35" s="119"/>
      <c r="IK35" s="119"/>
      <c r="IL35" s="119"/>
      <c r="IM35" s="119"/>
      <c r="IN35" s="119"/>
      <c r="IO35" s="119"/>
      <c r="IP35" s="119"/>
      <c r="IQ35" s="119"/>
      <c r="IR35" s="119"/>
      <c r="IS35" s="119"/>
      <c r="IT35" s="119"/>
      <c r="IU35" s="119"/>
    </row>
    <row r="36" spans="1:255" ht="14.25" x14ac:dyDescent="0.2">
      <c r="A36" s="140" t="s">
        <v>200</v>
      </c>
      <c r="F36" s="110"/>
      <c r="G36" s="110"/>
      <c r="H36" s="110"/>
      <c r="I36" s="110"/>
      <c r="J36" s="110"/>
      <c r="K36" s="110"/>
      <c r="L36" s="119"/>
      <c r="M36" s="119"/>
      <c r="N36" s="119"/>
      <c r="O36" s="119"/>
      <c r="P36" s="119"/>
      <c r="Q36" s="119"/>
      <c r="R36" s="119"/>
      <c r="S36" s="119"/>
      <c r="T36" s="119"/>
      <c r="U36" s="119"/>
      <c r="V36" s="119"/>
      <c r="W36" s="119"/>
      <c r="X36" s="119"/>
      <c r="Y36" s="119"/>
      <c r="Z36" s="119"/>
      <c r="AA36" s="119"/>
      <c r="AB36" s="119"/>
      <c r="AC36" s="119"/>
      <c r="AD36" s="119"/>
      <c r="AE36" s="119"/>
      <c r="AF36" s="119"/>
      <c r="AG36" s="119"/>
      <c r="AH36" s="119"/>
      <c r="AI36" s="119"/>
      <c r="AJ36" s="119"/>
      <c r="AK36" s="119"/>
      <c r="AL36" s="119"/>
      <c r="AM36" s="119"/>
      <c r="AN36" s="119"/>
      <c r="AO36" s="119"/>
      <c r="AP36" s="119"/>
      <c r="AQ36" s="119"/>
      <c r="AR36" s="119"/>
      <c r="AS36" s="119"/>
      <c r="AT36" s="119"/>
      <c r="AU36" s="119"/>
      <c r="AV36" s="119"/>
      <c r="AW36" s="119"/>
      <c r="AX36" s="119"/>
      <c r="AY36" s="119"/>
      <c r="AZ36" s="119"/>
      <c r="BA36" s="119"/>
      <c r="BB36" s="119"/>
      <c r="BC36" s="119"/>
      <c r="BD36" s="119"/>
      <c r="BE36" s="119"/>
      <c r="BF36" s="119"/>
      <c r="BG36" s="119"/>
      <c r="BH36" s="119"/>
      <c r="BI36" s="119"/>
      <c r="BJ36" s="119"/>
      <c r="BK36" s="119"/>
      <c r="BL36" s="119"/>
      <c r="BM36" s="119"/>
      <c r="BN36" s="119"/>
      <c r="BO36" s="119"/>
      <c r="BP36" s="119"/>
      <c r="BQ36" s="119"/>
      <c r="BR36" s="119"/>
      <c r="BS36" s="119"/>
      <c r="BT36" s="119"/>
      <c r="BU36" s="119"/>
      <c r="BV36" s="119"/>
      <c r="BW36" s="119"/>
      <c r="BX36" s="119"/>
      <c r="BY36" s="119"/>
      <c r="BZ36" s="119"/>
      <c r="CA36" s="119"/>
      <c r="CB36" s="119"/>
      <c r="CC36" s="119"/>
      <c r="CD36" s="119"/>
      <c r="CE36" s="119"/>
      <c r="CF36" s="119"/>
      <c r="CG36" s="119"/>
      <c r="CH36" s="119"/>
      <c r="CI36" s="119"/>
      <c r="CJ36" s="119"/>
      <c r="CK36" s="119"/>
      <c r="CL36" s="119"/>
      <c r="CM36" s="119"/>
      <c r="CN36" s="119"/>
      <c r="CO36" s="119"/>
      <c r="CP36" s="119"/>
      <c r="CQ36" s="119"/>
      <c r="CR36" s="119"/>
      <c r="CS36" s="119"/>
      <c r="CT36" s="119"/>
      <c r="CU36" s="119"/>
      <c r="CV36" s="119"/>
      <c r="CW36" s="119"/>
      <c r="CX36" s="119"/>
      <c r="CY36" s="119"/>
      <c r="CZ36" s="119"/>
      <c r="DA36" s="119"/>
      <c r="DB36" s="119"/>
      <c r="DC36" s="119"/>
      <c r="DD36" s="119"/>
      <c r="DE36" s="119"/>
      <c r="DF36" s="119"/>
      <c r="DG36" s="119"/>
      <c r="DH36" s="119"/>
      <c r="DI36" s="119"/>
      <c r="DJ36" s="119"/>
      <c r="DK36" s="119"/>
      <c r="DL36" s="119"/>
      <c r="DM36" s="119"/>
      <c r="DN36" s="119"/>
      <c r="DO36" s="119"/>
      <c r="DP36" s="119"/>
      <c r="DQ36" s="119"/>
      <c r="DR36" s="119"/>
      <c r="DS36" s="119"/>
      <c r="DT36" s="119"/>
      <c r="DU36" s="119"/>
      <c r="DV36" s="119"/>
      <c r="DW36" s="119"/>
      <c r="DX36" s="119"/>
      <c r="DY36" s="119"/>
      <c r="DZ36" s="119"/>
      <c r="EA36" s="119"/>
      <c r="EB36" s="119"/>
      <c r="EC36" s="119"/>
      <c r="ED36" s="119"/>
      <c r="EE36" s="119"/>
      <c r="EF36" s="119"/>
      <c r="EG36" s="119"/>
      <c r="EH36" s="119"/>
      <c r="EI36" s="119"/>
      <c r="EJ36" s="119"/>
      <c r="EK36" s="119"/>
      <c r="EL36" s="119"/>
      <c r="EM36" s="119"/>
      <c r="EN36" s="119"/>
      <c r="EO36" s="119"/>
      <c r="EP36" s="119"/>
      <c r="EQ36" s="119"/>
      <c r="ER36" s="119"/>
      <c r="ES36" s="119"/>
      <c r="ET36" s="119"/>
      <c r="EU36" s="119"/>
      <c r="EV36" s="119"/>
      <c r="EW36" s="119"/>
      <c r="EX36" s="119"/>
      <c r="EY36" s="119"/>
      <c r="EZ36" s="119"/>
      <c r="FA36" s="119"/>
      <c r="FB36" s="119"/>
      <c r="FC36" s="119"/>
      <c r="FD36" s="119"/>
      <c r="FE36" s="119"/>
      <c r="FF36" s="119"/>
      <c r="FG36" s="119"/>
      <c r="FH36" s="119"/>
      <c r="FI36" s="119"/>
      <c r="FJ36" s="119"/>
      <c r="FK36" s="119"/>
      <c r="FL36" s="119"/>
      <c r="FM36" s="119"/>
      <c r="FN36" s="119"/>
      <c r="FO36" s="119"/>
      <c r="FP36" s="119"/>
      <c r="FQ36" s="119"/>
      <c r="FR36" s="119"/>
      <c r="FS36" s="119"/>
      <c r="FT36" s="119"/>
      <c r="FU36" s="119"/>
      <c r="FV36" s="119"/>
      <c r="FW36" s="119"/>
      <c r="FX36" s="119"/>
      <c r="FY36" s="119"/>
      <c r="FZ36" s="119"/>
      <c r="GA36" s="119"/>
      <c r="GB36" s="119"/>
      <c r="GC36" s="119"/>
      <c r="GD36" s="119"/>
      <c r="GE36" s="119"/>
      <c r="GF36" s="119"/>
      <c r="GG36" s="119"/>
      <c r="GH36" s="119"/>
      <c r="GI36" s="119"/>
      <c r="GJ36" s="119"/>
      <c r="GK36" s="119"/>
      <c r="GL36" s="119"/>
      <c r="GM36" s="119"/>
      <c r="GN36" s="119"/>
      <c r="GO36" s="119"/>
      <c r="GP36" s="119"/>
      <c r="GQ36" s="119"/>
      <c r="GR36" s="119"/>
      <c r="GS36" s="119"/>
      <c r="GT36" s="119"/>
      <c r="GU36" s="119"/>
      <c r="GV36" s="119"/>
      <c r="GW36" s="119"/>
      <c r="GX36" s="119"/>
      <c r="GY36" s="119"/>
      <c r="GZ36" s="119"/>
      <c r="HA36" s="119"/>
      <c r="HB36" s="119"/>
      <c r="HC36" s="119"/>
      <c r="HD36" s="119"/>
      <c r="HE36" s="119"/>
      <c r="HF36" s="119"/>
      <c r="HG36" s="119"/>
      <c r="HH36" s="119"/>
      <c r="HI36" s="119"/>
      <c r="HJ36" s="119"/>
      <c r="HK36" s="119"/>
      <c r="HL36" s="119"/>
      <c r="HM36" s="119"/>
      <c r="HN36" s="119"/>
      <c r="HO36" s="119"/>
      <c r="HP36" s="119"/>
      <c r="HQ36" s="119"/>
      <c r="HR36" s="119"/>
      <c r="HS36" s="119"/>
      <c r="HT36" s="119"/>
      <c r="HU36" s="119"/>
      <c r="HV36" s="119"/>
      <c r="HW36" s="119"/>
      <c r="HX36" s="119"/>
      <c r="HY36" s="119"/>
      <c r="HZ36" s="119"/>
      <c r="IA36" s="119"/>
      <c r="IB36" s="119"/>
      <c r="IC36" s="119"/>
      <c r="ID36" s="119"/>
      <c r="IE36" s="119"/>
      <c r="IF36" s="119"/>
      <c r="IG36" s="119"/>
      <c r="IH36" s="119"/>
      <c r="II36" s="119"/>
      <c r="IJ36" s="119"/>
      <c r="IK36" s="119"/>
      <c r="IL36" s="119"/>
      <c r="IM36" s="119"/>
      <c r="IN36" s="119"/>
      <c r="IO36" s="119"/>
      <c r="IP36" s="119"/>
      <c r="IQ36" s="119"/>
      <c r="IR36" s="119"/>
      <c r="IS36" s="119"/>
      <c r="IT36" s="119"/>
      <c r="IU36" s="119"/>
    </row>
    <row r="37" spans="1:255" x14ac:dyDescent="0.2">
      <c r="A37" s="114" t="s">
        <v>46</v>
      </c>
      <c r="B37" s="110">
        <v>881</v>
      </c>
      <c r="D37" s="110">
        <v>15661</v>
      </c>
      <c r="F37" s="134"/>
      <c r="G37" s="110"/>
      <c r="H37" s="110">
        <v>5464</v>
      </c>
      <c r="I37" s="110">
        <v>9185</v>
      </c>
      <c r="J37" s="110">
        <v>6154</v>
      </c>
      <c r="K37" s="136">
        <f>SUM(B37:J37)</f>
        <v>37345</v>
      </c>
      <c r="L37" s="119"/>
      <c r="M37" s="119"/>
      <c r="N37" s="119"/>
      <c r="O37" s="119"/>
      <c r="P37" s="119"/>
      <c r="Q37" s="119"/>
      <c r="R37" s="119"/>
      <c r="S37" s="119"/>
      <c r="T37" s="119"/>
      <c r="U37" s="119"/>
      <c r="V37" s="119"/>
      <c r="W37" s="119"/>
      <c r="X37" s="119"/>
      <c r="Y37" s="119"/>
      <c r="Z37" s="119"/>
      <c r="AA37" s="119"/>
      <c r="AB37" s="119"/>
      <c r="AC37" s="119"/>
      <c r="AD37" s="119"/>
      <c r="AE37" s="119"/>
      <c r="AF37" s="119"/>
      <c r="AG37" s="119"/>
      <c r="AH37" s="119"/>
      <c r="AI37" s="119"/>
      <c r="AJ37" s="119"/>
      <c r="AK37" s="119"/>
      <c r="AL37" s="119"/>
      <c r="AM37" s="119"/>
      <c r="AN37" s="119"/>
      <c r="AO37" s="119"/>
      <c r="AP37" s="119"/>
      <c r="AQ37" s="119"/>
      <c r="AR37" s="119"/>
      <c r="AS37" s="119"/>
      <c r="AT37" s="119"/>
      <c r="AU37" s="119"/>
      <c r="AV37" s="119"/>
      <c r="AW37" s="119"/>
      <c r="AX37" s="119"/>
      <c r="AY37" s="119"/>
      <c r="AZ37" s="119"/>
      <c r="BA37" s="119"/>
      <c r="BB37" s="119"/>
      <c r="BC37" s="119"/>
      <c r="BD37" s="119"/>
      <c r="BE37" s="119"/>
      <c r="BF37" s="119"/>
      <c r="BG37" s="119"/>
      <c r="BH37" s="119"/>
      <c r="BI37" s="119"/>
      <c r="BJ37" s="119"/>
      <c r="BK37" s="119"/>
      <c r="BL37" s="119"/>
      <c r="BM37" s="119"/>
      <c r="BN37" s="119"/>
      <c r="BO37" s="119"/>
      <c r="BP37" s="119"/>
      <c r="BQ37" s="119"/>
      <c r="BR37" s="119"/>
      <c r="BS37" s="119"/>
      <c r="BT37" s="119"/>
      <c r="BU37" s="119"/>
      <c r="BV37" s="119"/>
      <c r="BW37" s="119"/>
      <c r="BX37" s="119"/>
      <c r="BY37" s="119"/>
      <c r="BZ37" s="119"/>
      <c r="CA37" s="119"/>
      <c r="CB37" s="119"/>
      <c r="CC37" s="119"/>
      <c r="CD37" s="119"/>
      <c r="CE37" s="119"/>
      <c r="CF37" s="119"/>
      <c r="CG37" s="119"/>
      <c r="CH37" s="119"/>
      <c r="CI37" s="119"/>
      <c r="CJ37" s="119"/>
      <c r="CK37" s="119"/>
      <c r="CL37" s="119"/>
      <c r="CM37" s="119"/>
      <c r="CN37" s="119"/>
      <c r="CO37" s="119"/>
      <c r="CP37" s="119"/>
      <c r="CQ37" s="119"/>
      <c r="CR37" s="119"/>
      <c r="CS37" s="119"/>
      <c r="CT37" s="119"/>
      <c r="CU37" s="119"/>
      <c r="CV37" s="119"/>
      <c r="CW37" s="119"/>
      <c r="CX37" s="119"/>
      <c r="CY37" s="119"/>
      <c r="CZ37" s="119"/>
      <c r="DA37" s="119"/>
      <c r="DB37" s="119"/>
      <c r="DC37" s="119"/>
      <c r="DD37" s="119"/>
      <c r="DE37" s="119"/>
      <c r="DF37" s="119"/>
      <c r="DG37" s="119"/>
      <c r="DH37" s="119"/>
      <c r="DI37" s="119"/>
      <c r="DJ37" s="119"/>
      <c r="DK37" s="119"/>
      <c r="DL37" s="119"/>
      <c r="DM37" s="119"/>
      <c r="DN37" s="119"/>
      <c r="DO37" s="119"/>
      <c r="DP37" s="119"/>
      <c r="DQ37" s="119"/>
      <c r="DR37" s="119"/>
      <c r="DS37" s="119"/>
      <c r="DT37" s="119"/>
      <c r="DU37" s="119"/>
      <c r="DV37" s="119"/>
      <c r="DW37" s="119"/>
      <c r="DX37" s="119"/>
      <c r="DY37" s="119"/>
      <c r="DZ37" s="119"/>
      <c r="EA37" s="119"/>
      <c r="EB37" s="119"/>
      <c r="EC37" s="119"/>
      <c r="ED37" s="119"/>
      <c r="EE37" s="119"/>
      <c r="EF37" s="119"/>
      <c r="EG37" s="119"/>
      <c r="EH37" s="119"/>
      <c r="EI37" s="119"/>
      <c r="EJ37" s="119"/>
      <c r="EK37" s="119"/>
      <c r="EL37" s="119"/>
      <c r="EM37" s="119"/>
      <c r="EN37" s="119"/>
      <c r="EO37" s="119"/>
      <c r="EP37" s="119"/>
      <c r="EQ37" s="119"/>
      <c r="ER37" s="119"/>
      <c r="ES37" s="119"/>
      <c r="ET37" s="119"/>
      <c r="EU37" s="119"/>
      <c r="EV37" s="119"/>
      <c r="EW37" s="119"/>
      <c r="EX37" s="119"/>
      <c r="EY37" s="119"/>
      <c r="EZ37" s="119"/>
      <c r="FA37" s="119"/>
      <c r="FB37" s="119"/>
      <c r="FC37" s="119"/>
      <c r="FD37" s="119"/>
      <c r="FE37" s="119"/>
      <c r="FF37" s="119"/>
      <c r="FG37" s="119"/>
      <c r="FH37" s="119"/>
      <c r="FI37" s="119"/>
      <c r="FJ37" s="119"/>
      <c r="FK37" s="119"/>
      <c r="FL37" s="119"/>
      <c r="FM37" s="119"/>
      <c r="FN37" s="119"/>
      <c r="FO37" s="119"/>
      <c r="FP37" s="119"/>
      <c r="FQ37" s="119"/>
      <c r="FR37" s="119"/>
      <c r="FS37" s="119"/>
      <c r="FT37" s="119"/>
      <c r="FU37" s="119"/>
      <c r="FV37" s="119"/>
      <c r="FW37" s="119"/>
      <c r="FX37" s="119"/>
      <c r="FY37" s="119"/>
      <c r="FZ37" s="119"/>
      <c r="GA37" s="119"/>
      <c r="GB37" s="119"/>
      <c r="GC37" s="119"/>
      <c r="GD37" s="119"/>
      <c r="GE37" s="119"/>
      <c r="GF37" s="119"/>
      <c r="GG37" s="119"/>
      <c r="GH37" s="119"/>
      <c r="GI37" s="119"/>
      <c r="GJ37" s="119"/>
      <c r="GK37" s="119"/>
      <c r="GL37" s="119"/>
      <c r="GM37" s="119"/>
      <c r="GN37" s="119"/>
      <c r="GO37" s="119"/>
      <c r="GP37" s="119"/>
      <c r="GQ37" s="119"/>
      <c r="GR37" s="119"/>
      <c r="GS37" s="119"/>
      <c r="GT37" s="119"/>
      <c r="GU37" s="119"/>
      <c r="GV37" s="119"/>
      <c r="GW37" s="119"/>
      <c r="GX37" s="119"/>
      <c r="GY37" s="119"/>
      <c r="GZ37" s="119"/>
      <c r="HA37" s="119"/>
      <c r="HB37" s="119"/>
      <c r="HC37" s="119"/>
      <c r="HD37" s="119"/>
      <c r="HE37" s="119"/>
      <c r="HF37" s="119"/>
      <c r="HG37" s="119"/>
      <c r="HH37" s="119"/>
      <c r="HI37" s="119"/>
      <c r="HJ37" s="119"/>
      <c r="HK37" s="119"/>
      <c r="HL37" s="119"/>
      <c r="HM37" s="119"/>
      <c r="HN37" s="119"/>
      <c r="HO37" s="119"/>
      <c r="HP37" s="119"/>
      <c r="HQ37" s="119"/>
      <c r="HR37" s="119"/>
      <c r="HS37" s="119"/>
      <c r="HT37" s="119"/>
      <c r="HU37" s="119"/>
      <c r="HV37" s="119"/>
      <c r="HW37" s="119"/>
      <c r="HX37" s="119"/>
      <c r="HY37" s="119"/>
      <c r="HZ37" s="119"/>
      <c r="IA37" s="119"/>
      <c r="IB37" s="119"/>
      <c r="IC37" s="119"/>
      <c r="ID37" s="119"/>
      <c r="IE37" s="119"/>
      <c r="IF37" s="119"/>
      <c r="IG37" s="119"/>
      <c r="IH37" s="119"/>
      <c r="II37" s="119"/>
      <c r="IJ37" s="119"/>
      <c r="IK37" s="119"/>
      <c r="IL37" s="119"/>
      <c r="IM37" s="119"/>
      <c r="IN37" s="119"/>
      <c r="IO37" s="119"/>
      <c r="IP37" s="119"/>
      <c r="IQ37" s="119"/>
      <c r="IR37" s="119"/>
      <c r="IS37" s="119"/>
      <c r="IT37" s="119"/>
      <c r="IU37" s="119"/>
    </row>
    <row r="38" spans="1:255" x14ac:dyDescent="0.2">
      <c r="A38" s="114" t="s">
        <v>201</v>
      </c>
      <c r="D38" s="110">
        <v>3622</v>
      </c>
      <c r="F38" s="110"/>
      <c r="G38" s="110"/>
      <c r="H38" s="110"/>
      <c r="I38" s="110"/>
      <c r="J38" s="110">
        <v>1319</v>
      </c>
      <c r="K38" s="136">
        <f>SUM(B38:J38)</f>
        <v>4941</v>
      </c>
      <c r="L38" s="119"/>
      <c r="M38" s="119"/>
      <c r="N38" s="119"/>
      <c r="O38" s="119"/>
      <c r="P38" s="119"/>
      <c r="Q38" s="119"/>
      <c r="R38" s="119"/>
      <c r="S38" s="119"/>
      <c r="T38" s="119"/>
      <c r="U38" s="119"/>
      <c r="V38" s="119"/>
      <c r="W38" s="119"/>
      <c r="X38" s="119"/>
      <c r="Y38" s="119"/>
      <c r="Z38" s="119"/>
      <c r="AA38" s="119"/>
      <c r="AB38" s="119"/>
      <c r="AC38" s="119"/>
      <c r="AD38" s="119"/>
      <c r="AE38" s="119"/>
      <c r="AF38" s="119"/>
      <c r="AG38" s="119"/>
      <c r="AH38" s="119"/>
      <c r="AI38" s="119"/>
      <c r="AJ38" s="119"/>
      <c r="AK38" s="119"/>
      <c r="AL38" s="119"/>
      <c r="AM38" s="119"/>
      <c r="AN38" s="119"/>
      <c r="AO38" s="119"/>
      <c r="AP38" s="119"/>
      <c r="AQ38" s="119"/>
      <c r="AR38" s="119"/>
      <c r="AS38" s="119"/>
      <c r="AT38" s="119"/>
      <c r="AU38" s="119"/>
      <c r="AV38" s="119"/>
      <c r="AW38" s="119"/>
      <c r="AX38" s="119"/>
      <c r="AY38" s="119"/>
      <c r="AZ38" s="119"/>
      <c r="BA38" s="119"/>
      <c r="BB38" s="119"/>
      <c r="BC38" s="119"/>
      <c r="BD38" s="119"/>
      <c r="BE38" s="119"/>
      <c r="BF38" s="119"/>
      <c r="BG38" s="119"/>
      <c r="BH38" s="119"/>
      <c r="BI38" s="119"/>
      <c r="BJ38" s="119"/>
      <c r="BK38" s="119"/>
      <c r="BL38" s="119"/>
      <c r="BM38" s="119"/>
      <c r="BN38" s="119"/>
      <c r="BO38" s="119"/>
      <c r="BP38" s="119"/>
      <c r="BQ38" s="119"/>
      <c r="BR38" s="119"/>
      <c r="BS38" s="119"/>
      <c r="BT38" s="119"/>
      <c r="BU38" s="119"/>
      <c r="BV38" s="119"/>
      <c r="BW38" s="119"/>
      <c r="BX38" s="119"/>
      <c r="BY38" s="119"/>
      <c r="BZ38" s="119"/>
      <c r="CA38" s="119"/>
      <c r="CB38" s="119"/>
      <c r="CC38" s="119"/>
      <c r="CD38" s="119"/>
      <c r="CE38" s="119"/>
      <c r="CF38" s="119"/>
      <c r="CG38" s="119"/>
      <c r="CH38" s="119"/>
      <c r="CI38" s="119"/>
      <c r="CJ38" s="119"/>
      <c r="CK38" s="119"/>
      <c r="CL38" s="119"/>
      <c r="CM38" s="119"/>
      <c r="CN38" s="119"/>
      <c r="CO38" s="119"/>
      <c r="CP38" s="119"/>
      <c r="CQ38" s="119"/>
      <c r="CR38" s="119"/>
      <c r="CS38" s="119"/>
      <c r="CT38" s="119"/>
      <c r="CU38" s="119"/>
      <c r="CV38" s="119"/>
      <c r="CW38" s="119"/>
      <c r="CX38" s="119"/>
      <c r="CY38" s="119"/>
      <c r="CZ38" s="119"/>
      <c r="DA38" s="119"/>
      <c r="DB38" s="119"/>
      <c r="DC38" s="119"/>
      <c r="DD38" s="119"/>
      <c r="DE38" s="119"/>
      <c r="DF38" s="119"/>
      <c r="DG38" s="119"/>
      <c r="DH38" s="119"/>
      <c r="DI38" s="119"/>
      <c r="DJ38" s="119"/>
      <c r="DK38" s="119"/>
      <c r="DL38" s="119"/>
      <c r="DM38" s="119"/>
      <c r="DN38" s="119"/>
      <c r="DO38" s="119"/>
      <c r="DP38" s="119"/>
      <c r="DQ38" s="119"/>
      <c r="DR38" s="119"/>
      <c r="DS38" s="119"/>
      <c r="DT38" s="119"/>
      <c r="DU38" s="119"/>
      <c r="DV38" s="119"/>
      <c r="DW38" s="119"/>
      <c r="DX38" s="119"/>
      <c r="DY38" s="119"/>
      <c r="DZ38" s="119"/>
      <c r="EA38" s="119"/>
      <c r="EB38" s="119"/>
      <c r="EC38" s="119"/>
      <c r="ED38" s="119"/>
      <c r="EE38" s="119"/>
      <c r="EF38" s="119"/>
      <c r="EG38" s="119"/>
      <c r="EH38" s="119"/>
      <c r="EI38" s="119"/>
      <c r="EJ38" s="119"/>
      <c r="EK38" s="119"/>
      <c r="EL38" s="119"/>
      <c r="EM38" s="119"/>
      <c r="EN38" s="119"/>
      <c r="EO38" s="119"/>
      <c r="EP38" s="119"/>
      <c r="EQ38" s="119"/>
      <c r="ER38" s="119"/>
      <c r="ES38" s="119"/>
      <c r="ET38" s="119"/>
      <c r="EU38" s="119"/>
      <c r="EV38" s="119"/>
      <c r="EW38" s="119"/>
      <c r="EX38" s="119"/>
      <c r="EY38" s="119"/>
      <c r="EZ38" s="119"/>
      <c r="FA38" s="119"/>
      <c r="FB38" s="119"/>
      <c r="FC38" s="119"/>
      <c r="FD38" s="119"/>
      <c r="FE38" s="119"/>
      <c r="FF38" s="119"/>
      <c r="FG38" s="119"/>
      <c r="FH38" s="119"/>
      <c r="FI38" s="119"/>
      <c r="FJ38" s="119"/>
      <c r="FK38" s="119"/>
      <c r="FL38" s="119"/>
      <c r="FM38" s="119"/>
      <c r="FN38" s="119"/>
      <c r="FO38" s="119"/>
      <c r="FP38" s="119"/>
      <c r="FQ38" s="119"/>
      <c r="FR38" s="119"/>
      <c r="FS38" s="119"/>
      <c r="FT38" s="119"/>
      <c r="FU38" s="119"/>
      <c r="FV38" s="119"/>
      <c r="FW38" s="119"/>
      <c r="FX38" s="119"/>
      <c r="FY38" s="119"/>
      <c r="FZ38" s="119"/>
      <c r="GA38" s="119"/>
      <c r="GB38" s="119"/>
      <c r="GC38" s="119"/>
      <c r="GD38" s="119"/>
      <c r="GE38" s="119"/>
      <c r="GF38" s="119"/>
      <c r="GG38" s="119"/>
      <c r="GH38" s="119"/>
      <c r="GI38" s="119"/>
      <c r="GJ38" s="119"/>
      <c r="GK38" s="119"/>
      <c r="GL38" s="119"/>
      <c r="GM38" s="119"/>
      <c r="GN38" s="119"/>
      <c r="GO38" s="119"/>
      <c r="GP38" s="119"/>
      <c r="GQ38" s="119"/>
      <c r="GR38" s="119"/>
      <c r="GS38" s="119"/>
      <c r="GT38" s="119"/>
      <c r="GU38" s="119"/>
      <c r="GV38" s="119"/>
      <c r="GW38" s="119"/>
      <c r="GX38" s="119"/>
      <c r="GY38" s="119"/>
      <c r="GZ38" s="119"/>
      <c r="HA38" s="119"/>
      <c r="HB38" s="119"/>
      <c r="HC38" s="119"/>
      <c r="HD38" s="119"/>
      <c r="HE38" s="119"/>
      <c r="HF38" s="119"/>
      <c r="HG38" s="119"/>
      <c r="HH38" s="119"/>
      <c r="HI38" s="119"/>
      <c r="HJ38" s="119"/>
      <c r="HK38" s="119"/>
      <c r="HL38" s="119"/>
      <c r="HM38" s="119"/>
      <c r="HN38" s="119"/>
      <c r="HO38" s="119"/>
      <c r="HP38" s="119"/>
      <c r="HQ38" s="119"/>
      <c r="HR38" s="119"/>
      <c r="HS38" s="119"/>
      <c r="HT38" s="119"/>
      <c r="HU38" s="119"/>
      <c r="HV38" s="119"/>
      <c r="HW38" s="119"/>
      <c r="HX38" s="119"/>
      <c r="HY38" s="119"/>
      <c r="HZ38" s="119"/>
      <c r="IA38" s="119"/>
      <c r="IB38" s="119"/>
      <c r="IC38" s="119"/>
      <c r="ID38" s="119"/>
      <c r="IE38" s="119"/>
      <c r="IF38" s="119"/>
      <c r="IG38" s="119"/>
      <c r="IH38" s="119"/>
      <c r="II38" s="119"/>
      <c r="IJ38" s="119"/>
      <c r="IK38" s="119"/>
      <c r="IL38" s="119"/>
      <c r="IM38" s="119"/>
      <c r="IN38" s="119"/>
      <c r="IO38" s="119"/>
      <c r="IP38" s="119"/>
      <c r="IQ38" s="119"/>
      <c r="IR38" s="119"/>
      <c r="IS38" s="119"/>
      <c r="IT38" s="119"/>
      <c r="IU38" s="119"/>
    </row>
    <row r="39" spans="1:255" ht="14.25" x14ac:dyDescent="0.2">
      <c r="A39" s="155" t="s">
        <v>202</v>
      </c>
      <c r="C39" s="110">
        <v>13042</v>
      </c>
      <c r="E39" s="110">
        <v>25193</v>
      </c>
      <c r="F39" s="110"/>
      <c r="G39" s="134"/>
      <c r="H39" s="110">
        <v>9619</v>
      </c>
      <c r="I39" s="110"/>
      <c r="J39" s="110">
        <v>32181</v>
      </c>
      <c r="K39" s="136">
        <f>SUM(B39:J39)</f>
        <v>80035</v>
      </c>
      <c r="L39" s="119"/>
      <c r="M39" s="119"/>
      <c r="N39" s="119"/>
      <c r="O39" s="119"/>
      <c r="P39" s="119"/>
      <c r="Q39" s="119"/>
      <c r="R39" s="119"/>
      <c r="S39" s="119"/>
      <c r="T39" s="119"/>
      <c r="U39" s="119"/>
      <c r="V39" s="119"/>
      <c r="W39" s="119"/>
      <c r="X39" s="119"/>
      <c r="Y39" s="119"/>
      <c r="Z39" s="119"/>
      <c r="AA39" s="119"/>
      <c r="AB39" s="119"/>
      <c r="AC39" s="119"/>
      <c r="AD39" s="119"/>
      <c r="AE39" s="119"/>
      <c r="AF39" s="119"/>
      <c r="AG39" s="119"/>
      <c r="AH39" s="119"/>
      <c r="AI39" s="119"/>
      <c r="AJ39" s="119"/>
      <c r="AK39" s="119"/>
      <c r="AL39" s="119"/>
      <c r="AM39" s="119"/>
      <c r="AN39" s="119"/>
      <c r="AO39" s="119"/>
      <c r="AP39" s="119"/>
      <c r="AQ39" s="119"/>
      <c r="AR39" s="119"/>
      <c r="AS39" s="119"/>
      <c r="AT39" s="119"/>
      <c r="AU39" s="119"/>
      <c r="AV39" s="119"/>
      <c r="AW39" s="119"/>
      <c r="AX39" s="119"/>
      <c r="AY39" s="119"/>
      <c r="AZ39" s="119"/>
      <c r="BA39" s="119"/>
      <c r="BB39" s="119"/>
      <c r="BC39" s="119"/>
      <c r="BD39" s="119"/>
      <c r="BE39" s="119"/>
      <c r="BF39" s="119"/>
      <c r="BG39" s="119"/>
      <c r="BH39" s="119"/>
      <c r="BI39" s="119"/>
      <c r="BJ39" s="119"/>
      <c r="BK39" s="119"/>
      <c r="BL39" s="119"/>
      <c r="BM39" s="119"/>
      <c r="BN39" s="119"/>
      <c r="BO39" s="119"/>
      <c r="BP39" s="119"/>
      <c r="BQ39" s="119"/>
      <c r="BR39" s="119"/>
      <c r="BS39" s="119"/>
      <c r="BT39" s="119"/>
      <c r="BU39" s="119"/>
      <c r="BV39" s="119"/>
      <c r="BW39" s="119"/>
      <c r="BX39" s="119"/>
      <c r="BY39" s="119"/>
      <c r="BZ39" s="119"/>
      <c r="CA39" s="119"/>
      <c r="CB39" s="119"/>
      <c r="CC39" s="119"/>
      <c r="CD39" s="119"/>
      <c r="CE39" s="119"/>
      <c r="CF39" s="119"/>
      <c r="CG39" s="119"/>
      <c r="CH39" s="119"/>
      <c r="CI39" s="119"/>
      <c r="CJ39" s="119"/>
      <c r="CK39" s="119"/>
      <c r="CL39" s="119"/>
      <c r="CM39" s="119"/>
      <c r="CN39" s="119"/>
      <c r="CO39" s="119"/>
      <c r="CP39" s="119"/>
      <c r="CQ39" s="119"/>
      <c r="CR39" s="119"/>
      <c r="CS39" s="119"/>
      <c r="CT39" s="119"/>
      <c r="CU39" s="119"/>
      <c r="CV39" s="119"/>
      <c r="CW39" s="119"/>
      <c r="CX39" s="119"/>
      <c r="CY39" s="119"/>
      <c r="CZ39" s="119"/>
      <c r="DA39" s="119"/>
      <c r="DB39" s="119"/>
      <c r="DC39" s="119"/>
      <c r="DD39" s="119"/>
      <c r="DE39" s="119"/>
      <c r="DF39" s="119"/>
      <c r="DG39" s="119"/>
      <c r="DH39" s="119"/>
      <c r="DI39" s="119"/>
      <c r="DJ39" s="119"/>
      <c r="DK39" s="119"/>
      <c r="DL39" s="119"/>
      <c r="DM39" s="119"/>
      <c r="DN39" s="119"/>
      <c r="DO39" s="119"/>
      <c r="DP39" s="119"/>
      <c r="DQ39" s="119"/>
      <c r="DR39" s="119"/>
      <c r="DS39" s="119"/>
      <c r="DT39" s="119"/>
      <c r="DU39" s="119"/>
      <c r="DV39" s="119"/>
      <c r="DW39" s="119"/>
      <c r="DX39" s="119"/>
      <c r="DY39" s="119"/>
      <c r="DZ39" s="119"/>
      <c r="EA39" s="119"/>
      <c r="EB39" s="119"/>
      <c r="EC39" s="119"/>
      <c r="ED39" s="119"/>
      <c r="EE39" s="119"/>
      <c r="EF39" s="119"/>
      <c r="EG39" s="119"/>
      <c r="EH39" s="119"/>
      <c r="EI39" s="119"/>
      <c r="EJ39" s="119"/>
      <c r="EK39" s="119"/>
      <c r="EL39" s="119"/>
      <c r="EM39" s="119"/>
      <c r="EN39" s="119"/>
      <c r="EO39" s="119"/>
      <c r="EP39" s="119"/>
      <c r="EQ39" s="119"/>
      <c r="ER39" s="119"/>
      <c r="ES39" s="119"/>
      <c r="ET39" s="119"/>
      <c r="EU39" s="119"/>
      <c r="EV39" s="119"/>
      <c r="EW39" s="119"/>
      <c r="EX39" s="119"/>
      <c r="EY39" s="119"/>
      <c r="EZ39" s="119"/>
      <c r="FA39" s="119"/>
      <c r="FB39" s="119"/>
      <c r="FC39" s="119"/>
      <c r="FD39" s="119"/>
      <c r="FE39" s="119"/>
      <c r="FF39" s="119"/>
      <c r="FG39" s="119"/>
      <c r="FH39" s="119"/>
      <c r="FI39" s="119"/>
      <c r="FJ39" s="119"/>
      <c r="FK39" s="119"/>
      <c r="FL39" s="119"/>
      <c r="FM39" s="119"/>
      <c r="FN39" s="119"/>
      <c r="FO39" s="119"/>
      <c r="FP39" s="119"/>
      <c r="FQ39" s="119"/>
      <c r="FR39" s="119"/>
      <c r="FS39" s="119"/>
      <c r="FT39" s="119"/>
      <c r="FU39" s="119"/>
      <c r="FV39" s="119"/>
      <c r="FW39" s="119"/>
      <c r="FX39" s="119"/>
      <c r="FY39" s="119"/>
      <c r="FZ39" s="119"/>
      <c r="GA39" s="119"/>
      <c r="GB39" s="119"/>
      <c r="GC39" s="119"/>
      <c r="GD39" s="119"/>
      <c r="GE39" s="119"/>
      <c r="GF39" s="119"/>
      <c r="GG39" s="119"/>
      <c r="GH39" s="119"/>
      <c r="GI39" s="119"/>
      <c r="GJ39" s="119"/>
      <c r="GK39" s="119"/>
      <c r="GL39" s="119"/>
      <c r="GM39" s="119"/>
      <c r="GN39" s="119"/>
      <c r="GO39" s="119"/>
      <c r="GP39" s="119"/>
      <c r="GQ39" s="119"/>
      <c r="GR39" s="119"/>
      <c r="GS39" s="119"/>
      <c r="GT39" s="119"/>
      <c r="GU39" s="119"/>
      <c r="GV39" s="119"/>
      <c r="GW39" s="119"/>
      <c r="GX39" s="119"/>
      <c r="GY39" s="119"/>
      <c r="GZ39" s="119"/>
      <c r="HA39" s="119"/>
      <c r="HB39" s="119"/>
      <c r="HC39" s="119"/>
      <c r="HD39" s="119"/>
      <c r="HE39" s="119"/>
      <c r="HF39" s="119"/>
      <c r="HG39" s="119"/>
      <c r="HH39" s="119"/>
      <c r="HI39" s="119"/>
      <c r="HJ39" s="119"/>
      <c r="HK39" s="119"/>
      <c r="HL39" s="119"/>
      <c r="HM39" s="119"/>
      <c r="HN39" s="119"/>
      <c r="HO39" s="119"/>
      <c r="HP39" s="119"/>
      <c r="HQ39" s="119"/>
      <c r="HR39" s="119"/>
      <c r="HS39" s="119"/>
      <c r="HT39" s="119"/>
      <c r="HU39" s="119"/>
      <c r="HV39" s="119"/>
      <c r="HW39" s="119"/>
      <c r="HX39" s="119"/>
      <c r="HY39" s="119"/>
      <c r="HZ39" s="119"/>
      <c r="IA39" s="119"/>
      <c r="IB39" s="119"/>
      <c r="IC39" s="119"/>
      <c r="ID39" s="119"/>
      <c r="IE39" s="119"/>
      <c r="IF39" s="119"/>
      <c r="IG39" s="119"/>
      <c r="IH39" s="119"/>
      <c r="II39" s="119"/>
      <c r="IJ39" s="119"/>
      <c r="IK39" s="119"/>
      <c r="IL39" s="119"/>
      <c r="IM39" s="119"/>
      <c r="IN39" s="119"/>
      <c r="IO39" s="119"/>
      <c r="IP39" s="119"/>
      <c r="IQ39" s="119"/>
      <c r="IR39" s="119"/>
      <c r="IS39" s="119"/>
      <c r="IT39" s="119"/>
      <c r="IU39" s="119"/>
    </row>
    <row r="40" spans="1:255" x14ac:dyDescent="0.2">
      <c r="F40" s="110"/>
      <c r="G40" s="110"/>
      <c r="H40" s="110"/>
      <c r="I40" s="110"/>
      <c r="J40" s="110"/>
      <c r="K40" s="110"/>
      <c r="L40" s="119"/>
      <c r="M40" s="119"/>
      <c r="N40" s="119"/>
      <c r="O40" s="119"/>
      <c r="P40" s="119"/>
      <c r="Q40" s="119"/>
      <c r="R40" s="119"/>
      <c r="S40" s="119"/>
      <c r="T40" s="119"/>
      <c r="U40" s="119"/>
      <c r="V40" s="119"/>
      <c r="W40" s="119"/>
      <c r="X40" s="119"/>
      <c r="Y40" s="119"/>
      <c r="Z40" s="119"/>
      <c r="AA40" s="119"/>
      <c r="AB40" s="119"/>
      <c r="AC40" s="119"/>
      <c r="AD40" s="119"/>
      <c r="AE40" s="119"/>
      <c r="AF40" s="119"/>
      <c r="AG40" s="119"/>
      <c r="AH40" s="119"/>
      <c r="AI40" s="119"/>
      <c r="AJ40" s="119"/>
      <c r="AK40" s="119"/>
      <c r="AL40" s="119"/>
      <c r="AM40" s="119"/>
      <c r="AN40" s="119"/>
      <c r="AO40" s="119"/>
      <c r="AP40" s="119"/>
      <c r="AQ40" s="119"/>
      <c r="AR40" s="119"/>
      <c r="AS40" s="119"/>
      <c r="AT40" s="119"/>
      <c r="AU40" s="119"/>
      <c r="AV40" s="119"/>
      <c r="AW40" s="119"/>
      <c r="AX40" s="119"/>
      <c r="AY40" s="119"/>
      <c r="AZ40" s="119"/>
      <c r="BA40" s="119"/>
      <c r="BB40" s="119"/>
      <c r="BC40" s="119"/>
      <c r="BD40" s="119"/>
      <c r="BE40" s="119"/>
      <c r="BF40" s="119"/>
      <c r="BG40" s="119"/>
      <c r="BH40" s="119"/>
      <c r="BI40" s="119"/>
      <c r="BJ40" s="119"/>
      <c r="BK40" s="119"/>
      <c r="BL40" s="119"/>
      <c r="BM40" s="119"/>
      <c r="BN40" s="119"/>
      <c r="BO40" s="119"/>
      <c r="BP40" s="119"/>
      <c r="BQ40" s="119"/>
      <c r="BR40" s="119"/>
      <c r="BS40" s="119"/>
      <c r="BT40" s="119"/>
      <c r="BU40" s="119"/>
      <c r="BV40" s="119"/>
      <c r="BW40" s="119"/>
      <c r="BX40" s="119"/>
      <c r="BY40" s="119"/>
      <c r="BZ40" s="119"/>
      <c r="CA40" s="119"/>
      <c r="CB40" s="119"/>
      <c r="CC40" s="119"/>
      <c r="CD40" s="119"/>
      <c r="CE40" s="119"/>
      <c r="CF40" s="119"/>
      <c r="CG40" s="119"/>
      <c r="CH40" s="119"/>
      <c r="CI40" s="119"/>
      <c r="CJ40" s="119"/>
      <c r="CK40" s="119"/>
      <c r="CL40" s="119"/>
      <c r="CM40" s="119"/>
      <c r="CN40" s="119"/>
      <c r="CO40" s="119"/>
      <c r="CP40" s="119"/>
      <c r="CQ40" s="119"/>
      <c r="CR40" s="119"/>
      <c r="CS40" s="119"/>
      <c r="CT40" s="119"/>
      <c r="CU40" s="119"/>
      <c r="CV40" s="119"/>
      <c r="CW40" s="119"/>
      <c r="CX40" s="119"/>
      <c r="CY40" s="119"/>
      <c r="CZ40" s="119"/>
      <c r="DA40" s="119"/>
      <c r="DB40" s="119"/>
      <c r="DC40" s="119"/>
      <c r="DD40" s="119"/>
      <c r="DE40" s="119"/>
      <c r="DF40" s="119"/>
      <c r="DG40" s="119"/>
      <c r="DH40" s="119"/>
      <c r="DI40" s="119"/>
      <c r="DJ40" s="119"/>
      <c r="DK40" s="119"/>
      <c r="DL40" s="119"/>
      <c r="DM40" s="119"/>
      <c r="DN40" s="119"/>
      <c r="DO40" s="119"/>
      <c r="DP40" s="119"/>
      <c r="DQ40" s="119"/>
      <c r="DR40" s="119"/>
      <c r="DS40" s="119"/>
      <c r="DT40" s="119"/>
      <c r="DU40" s="119"/>
      <c r="DV40" s="119"/>
      <c r="DW40" s="119"/>
      <c r="DX40" s="119"/>
      <c r="DY40" s="119"/>
      <c r="DZ40" s="119"/>
      <c r="EA40" s="119"/>
      <c r="EB40" s="119"/>
      <c r="EC40" s="119"/>
      <c r="ED40" s="119"/>
      <c r="EE40" s="119"/>
      <c r="EF40" s="119"/>
      <c r="EG40" s="119"/>
      <c r="EH40" s="119"/>
      <c r="EI40" s="119"/>
      <c r="EJ40" s="119"/>
      <c r="EK40" s="119"/>
      <c r="EL40" s="119"/>
      <c r="EM40" s="119"/>
      <c r="EN40" s="119"/>
      <c r="EO40" s="119"/>
      <c r="EP40" s="119"/>
      <c r="EQ40" s="119"/>
      <c r="ER40" s="119"/>
      <c r="ES40" s="119"/>
      <c r="ET40" s="119"/>
      <c r="EU40" s="119"/>
      <c r="EV40" s="119"/>
      <c r="EW40" s="119"/>
      <c r="EX40" s="119"/>
      <c r="EY40" s="119"/>
      <c r="EZ40" s="119"/>
      <c r="FA40" s="119"/>
      <c r="FB40" s="119"/>
      <c r="FC40" s="119"/>
      <c r="FD40" s="119"/>
      <c r="FE40" s="119"/>
      <c r="FF40" s="119"/>
      <c r="FG40" s="119"/>
      <c r="FH40" s="119"/>
      <c r="FI40" s="119"/>
      <c r="FJ40" s="119"/>
      <c r="FK40" s="119"/>
      <c r="FL40" s="119"/>
      <c r="FM40" s="119"/>
      <c r="FN40" s="119"/>
      <c r="FO40" s="119"/>
      <c r="FP40" s="119"/>
      <c r="FQ40" s="119"/>
      <c r="FR40" s="119"/>
      <c r="FS40" s="119"/>
      <c r="FT40" s="119"/>
      <c r="FU40" s="119"/>
      <c r="FV40" s="119"/>
      <c r="FW40" s="119"/>
      <c r="FX40" s="119"/>
      <c r="FY40" s="119"/>
      <c r="FZ40" s="119"/>
      <c r="GA40" s="119"/>
      <c r="GB40" s="119"/>
      <c r="GC40" s="119"/>
      <c r="GD40" s="119"/>
      <c r="GE40" s="119"/>
      <c r="GF40" s="119"/>
      <c r="GG40" s="119"/>
      <c r="GH40" s="119"/>
      <c r="GI40" s="119"/>
      <c r="GJ40" s="119"/>
      <c r="GK40" s="119"/>
      <c r="GL40" s="119"/>
      <c r="GM40" s="119"/>
      <c r="GN40" s="119"/>
      <c r="GO40" s="119"/>
      <c r="GP40" s="119"/>
      <c r="GQ40" s="119"/>
      <c r="GR40" s="119"/>
      <c r="GS40" s="119"/>
      <c r="GT40" s="119"/>
      <c r="GU40" s="119"/>
      <c r="GV40" s="119"/>
      <c r="GW40" s="119"/>
      <c r="GX40" s="119"/>
      <c r="GY40" s="119"/>
      <c r="GZ40" s="119"/>
      <c r="HA40" s="119"/>
      <c r="HB40" s="119"/>
      <c r="HC40" s="119"/>
      <c r="HD40" s="119"/>
      <c r="HE40" s="119"/>
      <c r="HF40" s="119"/>
      <c r="HG40" s="119"/>
      <c r="HH40" s="119"/>
      <c r="HI40" s="119"/>
      <c r="HJ40" s="119"/>
      <c r="HK40" s="119"/>
      <c r="HL40" s="119"/>
      <c r="HM40" s="119"/>
      <c r="HN40" s="119"/>
      <c r="HO40" s="119"/>
      <c r="HP40" s="119"/>
      <c r="HQ40" s="119"/>
      <c r="HR40" s="119"/>
      <c r="HS40" s="119"/>
      <c r="HT40" s="119"/>
      <c r="HU40" s="119"/>
      <c r="HV40" s="119"/>
      <c r="HW40" s="119"/>
      <c r="HX40" s="119"/>
      <c r="HY40" s="119"/>
      <c r="HZ40" s="119"/>
      <c r="IA40" s="119"/>
      <c r="IB40" s="119"/>
      <c r="IC40" s="119"/>
      <c r="ID40" s="119"/>
      <c r="IE40" s="119"/>
      <c r="IF40" s="119"/>
      <c r="IG40" s="119"/>
      <c r="IH40" s="119"/>
      <c r="II40" s="119"/>
      <c r="IJ40" s="119"/>
      <c r="IK40" s="119"/>
      <c r="IL40" s="119"/>
      <c r="IM40" s="119"/>
      <c r="IN40" s="119"/>
      <c r="IO40" s="119"/>
      <c r="IP40" s="119"/>
      <c r="IQ40" s="119"/>
      <c r="IR40" s="119"/>
      <c r="IS40" s="119"/>
      <c r="IT40" s="119"/>
      <c r="IU40" s="119"/>
    </row>
    <row r="41" spans="1:255" ht="15" customHeight="1" x14ac:dyDescent="0.25">
      <c r="A41" s="153" t="s">
        <v>44</v>
      </c>
      <c r="B41" s="119"/>
      <c r="C41" s="119"/>
      <c r="D41" s="119"/>
      <c r="E41" s="119"/>
      <c r="F41" s="122"/>
      <c r="G41" s="122"/>
      <c r="H41" s="122"/>
      <c r="I41" s="122"/>
      <c r="J41" s="122"/>
      <c r="K41" s="131"/>
    </row>
    <row r="42" spans="1:255" ht="12" customHeight="1" x14ac:dyDescent="0.2">
      <c r="B42" s="119"/>
      <c r="C42" s="119"/>
      <c r="D42" s="119"/>
      <c r="E42" s="119"/>
      <c r="F42" s="122"/>
      <c r="G42" s="122"/>
      <c r="H42" s="122"/>
      <c r="I42" s="122"/>
      <c r="J42" s="122"/>
      <c r="K42" s="131"/>
    </row>
    <row r="43" spans="1:255" ht="12" customHeight="1" x14ac:dyDescent="0.2">
      <c r="A43" s="140" t="s">
        <v>73</v>
      </c>
      <c r="B43" s="119"/>
      <c r="C43" s="119"/>
      <c r="D43" s="119"/>
      <c r="E43" s="119"/>
      <c r="F43" s="122"/>
      <c r="G43" s="122"/>
      <c r="H43" s="122"/>
      <c r="I43" s="122"/>
      <c r="J43" s="122"/>
      <c r="K43" s="131"/>
    </row>
    <row r="44" spans="1:255" ht="12" customHeight="1" x14ac:dyDescent="0.2">
      <c r="B44" s="119"/>
      <c r="C44" s="119"/>
      <c r="D44" s="119"/>
      <c r="E44" s="119"/>
      <c r="F44" s="122"/>
      <c r="G44" s="122"/>
      <c r="H44" s="122"/>
      <c r="I44" s="122"/>
      <c r="J44" s="122"/>
      <c r="K44" s="131"/>
    </row>
    <row r="45" spans="1:255" ht="12" customHeight="1" x14ac:dyDescent="0.2">
      <c r="A45" s="114" t="s">
        <v>74</v>
      </c>
      <c r="B45" s="119">
        <v>50.658656499999999</v>
      </c>
      <c r="C45" s="119">
        <v>53.25</v>
      </c>
      <c r="D45" s="125">
        <v>68.955489909999997</v>
      </c>
      <c r="E45" s="119">
        <v>128.1</v>
      </c>
      <c r="F45" s="128"/>
      <c r="G45" s="128">
        <v>2.36</v>
      </c>
      <c r="H45" s="128">
        <v>123.86799999999999</v>
      </c>
      <c r="I45" s="128">
        <v>162.09432643</v>
      </c>
      <c r="J45" s="119">
        <v>185.31893835</v>
      </c>
      <c r="K45" s="131">
        <f t="shared" ref="K45:K54" si="3">SUM(B45:J45)</f>
        <v>774.60541119000004</v>
      </c>
    </row>
    <row r="46" spans="1:255" ht="12" customHeight="1" x14ac:dyDescent="0.2">
      <c r="A46" s="114" t="s">
        <v>75</v>
      </c>
      <c r="B46" s="119">
        <v>10.50721658</v>
      </c>
      <c r="C46" s="119"/>
      <c r="D46" s="119"/>
      <c r="E46" s="119"/>
      <c r="F46" s="128"/>
      <c r="G46" s="128">
        <v>6.09</v>
      </c>
      <c r="H46" s="128"/>
      <c r="I46" s="128">
        <v>113.50794633</v>
      </c>
      <c r="J46" s="119">
        <v>23.707495000000002</v>
      </c>
      <c r="K46" s="131">
        <f t="shared" si="3"/>
        <v>153.81265790999998</v>
      </c>
    </row>
    <row r="47" spans="1:255" ht="12" customHeight="1" x14ac:dyDescent="0.2">
      <c r="A47" s="114" t="s">
        <v>105</v>
      </c>
      <c r="B47" s="119"/>
      <c r="C47" s="119">
        <v>365.39</v>
      </c>
      <c r="D47" s="119"/>
      <c r="E47" s="119">
        <v>241.33</v>
      </c>
      <c r="F47" s="128"/>
      <c r="G47" s="128">
        <v>856.68</v>
      </c>
      <c r="H47" s="128"/>
      <c r="I47" s="128">
        <v>62.412670149999997</v>
      </c>
      <c r="J47" s="122"/>
      <c r="K47" s="131">
        <f t="shared" si="3"/>
        <v>1525.81267015</v>
      </c>
    </row>
    <row r="48" spans="1:255" ht="12" customHeight="1" x14ac:dyDescent="0.2">
      <c r="A48" s="114" t="s">
        <v>107</v>
      </c>
      <c r="B48" s="119">
        <v>1.3534675</v>
      </c>
      <c r="C48" s="119">
        <v>8.42</v>
      </c>
      <c r="D48" s="119">
        <v>798.48051562000001</v>
      </c>
      <c r="E48" s="119">
        <v>17.850000000000001</v>
      </c>
      <c r="F48" s="128"/>
      <c r="G48" s="128">
        <v>257.51</v>
      </c>
      <c r="H48" s="128">
        <v>66.911000000000001</v>
      </c>
      <c r="I48" s="128"/>
      <c r="J48" s="122">
        <v>3.12740624</v>
      </c>
      <c r="K48" s="131">
        <f t="shared" si="3"/>
        <v>1153.6523893600001</v>
      </c>
    </row>
    <row r="49" spans="1:11" ht="12" customHeight="1" x14ac:dyDescent="0.2">
      <c r="A49" s="114" t="s">
        <v>106</v>
      </c>
      <c r="B49" s="119"/>
      <c r="C49" s="119"/>
      <c r="D49" s="125">
        <v>1232.3583437499999</v>
      </c>
      <c r="E49" s="119"/>
      <c r="F49" s="128"/>
      <c r="G49" s="128"/>
      <c r="H49" s="128"/>
      <c r="I49" s="128">
        <v>0.51075828999999995</v>
      </c>
      <c r="J49" s="122"/>
      <c r="K49" s="131">
        <f t="shared" si="3"/>
        <v>1232.8691020399999</v>
      </c>
    </row>
    <row r="50" spans="1:11" ht="12" customHeight="1" x14ac:dyDescent="0.2">
      <c r="A50" s="114" t="s">
        <v>108</v>
      </c>
      <c r="B50" s="119"/>
      <c r="C50" s="119">
        <v>108.13</v>
      </c>
      <c r="D50" s="119">
        <v>654.01011982</v>
      </c>
      <c r="E50" s="119">
        <v>490.83</v>
      </c>
      <c r="F50" s="128"/>
      <c r="G50" s="128">
        <v>456.54</v>
      </c>
      <c r="H50" s="128">
        <v>65.543999999999997</v>
      </c>
      <c r="I50" s="128"/>
      <c r="J50" s="119">
        <v>581.48715026999992</v>
      </c>
      <c r="K50" s="131">
        <f t="shared" si="3"/>
        <v>2356.5412700900001</v>
      </c>
    </row>
    <row r="51" spans="1:11" ht="12" customHeight="1" x14ac:dyDescent="0.2">
      <c r="A51" s="114" t="s">
        <v>78</v>
      </c>
      <c r="B51" s="119"/>
      <c r="C51" s="119"/>
      <c r="D51" s="119"/>
      <c r="E51" s="119"/>
      <c r="F51" s="128"/>
      <c r="G51" s="128">
        <v>1.18</v>
      </c>
      <c r="H51" s="128">
        <v>8.9659999999999993</v>
      </c>
      <c r="I51" s="128"/>
      <c r="J51" s="122">
        <v>18.137128820000001</v>
      </c>
      <c r="K51" s="131">
        <f t="shared" si="3"/>
        <v>28.283128820000002</v>
      </c>
    </row>
    <row r="52" spans="1:11" ht="12" customHeight="1" x14ac:dyDescent="0.2">
      <c r="A52" s="114" t="s">
        <v>79</v>
      </c>
      <c r="B52" s="119"/>
      <c r="C52" s="119"/>
      <c r="D52" s="119"/>
      <c r="E52" s="119"/>
      <c r="F52" s="128"/>
      <c r="G52" s="128">
        <v>3.92</v>
      </c>
      <c r="H52" s="128"/>
      <c r="I52" s="128"/>
      <c r="J52" s="122">
        <v>25.384415370000003</v>
      </c>
      <c r="K52" s="131">
        <f t="shared" si="3"/>
        <v>29.304415370000001</v>
      </c>
    </row>
    <row r="53" spans="1:11" ht="12" customHeight="1" x14ac:dyDescent="0.2">
      <c r="B53" s="119"/>
      <c r="C53" s="119"/>
      <c r="D53" s="119"/>
      <c r="E53" s="119"/>
      <c r="F53" s="122"/>
      <c r="G53" s="122"/>
      <c r="H53" s="122"/>
      <c r="I53" s="122"/>
      <c r="J53" s="122"/>
      <c r="K53" s="131"/>
    </row>
    <row r="54" spans="1:11" s="140" customFormat="1" ht="12" customHeight="1" x14ac:dyDescent="0.2">
      <c r="A54" s="155" t="s">
        <v>12</v>
      </c>
      <c r="B54" s="131">
        <f>SUM(B45:B52)</f>
        <v>62.519340579999998</v>
      </c>
      <c r="C54" s="131">
        <f>SUM(C45:C52)</f>
        <v>535.19000000000005</v>
      </c>
      <c r="D54" s="131">
        <f>SUM(D45:D52)</f>
        <v>2753.8044691</v>
      </c>
      <c r="E54" s="131">
        <f>SUM(E45:E52)</f>
        <v>878.11</v>
      </c>
      <c r="F54" s="132">
        <f>SUM(F44:F52)</f>
        <v>0</v>
      </c>
      <c r="G54" s="132">
        <f>SUM(G45:G52)</f>
        <v>1584.28</v>
      </c>
      <c r="H54" s="132">
        <f>SUM(H45:H52)</f>
        <v>265.28899999999999</v>
      </c>
      <c r="I54" s="132">
        <f>SUM(I45:I52)</f>
        <v>338.52570120000001</v>
      </c>
      <c r="J54" s="132">
        <f>SUM(J45:J52)</f>
        <v>837.16253404999998</v>
      </c>
      <c r="K54" s="131">
        <f t="shared" si="3"/>
        <v>7254.8810449299999</v>
      </c>
    </row>
    <row r="55" spans="1:11" ht="12" customHeight="1" x14ac:dyDescent="0.2">
      <c r="B55" s="119"/>
      <c r="C55" s="119"/>
      <c r="D55" s="119"/>
      <c r="E55" s="119"/>
      <c r="F55" s="122"/>
      <c r="G55" s="122"/>
      <c r="H55" s="122"/>
      <c r="I55" s="122"/>
      <c r="J55" s="122"/>
      <c r="K55" s="131"/>
    </row>
    <row r="56" spans="1:11" ht="12" customHeight="1" x14ac:dyDescent="0.2">
      <c r="A56" s="140" t="s">
        <v>45</v>
      </c>
      <c r="B56" s="119"/>
      <c r="C56" s="119"/>
      <c r="D56" s="119"/>
      <c r="E56" s="119"/>
      <c r="F56" s="122"/>
      <c r="G56" s="122"/>
      <c r="H56" s="122"/>
      <c r="I56" s="122"/>
      <c r="J56" s="122"/>
      <c r="K56" s="131"/>
    </row>
    <row r="57" spans="1:11" ht="12" customHeight="1" x14ac:dyDescent="0.2">
      <c r="B57" s="119"/>
      <c r="C57" s="119"/>
      <c r="D57" s="119"/>
      <c r="E57" s="119"/>
      <c r="F57" s="122"/>
      <c r="G57" s="122"/>
      <c r="H57" s="122"/>
      <c r="I57" s="122"/>
      <c r="J57" s="122"/>
      <c r="K57" s="131"/>
    </row>
    <row r="58" spans="1:11" ht="12" customHeight="1" x14ac:dyDescent="0.2">
      <c r="A58" s="114" t="s">
        <v>46</v>
      </c>
      <c r="B58" s="119">
        <v>946.66887120000001</v>
      </c>
      <c r="C58" s="119">
        <v>1621.47</v>
      </c>
      <c r="D58" s="125">
        <v>1586.0546276500002</v>
      </c>
      <c r="E58" s="119">
        <v>765.06</v>
      </c>
      <c r="F58" s="119">
        <f>1720.826946+379.454204</f>
        <v>2100.2811499999998</v>
      </c>
      <c r="G58" s="119">
        <v>2761.6</v>
      </c>
      <c r="H58" s="119">
        <v>2999.9839999999999</v>
      </c>
      <c r="I58" s="119">
        <v>1454.6349155</v>
      </c>
      <c r="J58" s="119">
        <v>3875.6627115300003</v>
      </c>
      <c r="K58" s="131">
        <f>SUM(B58:J58)</f>
        <v>18111.416275880001</v>
      </c>
    </row>
    <row r="59" spans="1:11" ht="12" customHeight="1" x14ac:dyDescent="0.2">
      <c r="A59" s="114" t="s">
        <v>47</v>
      </c>
      <c r="B59" s="119">
        <v>126.59688420000001</v>
      </c>
      <c r="C59" s="119"/>
      <c r="D59" s="119"/>
      <c r="E59" s="119"/>
      <c r="F59" s="119">
        <v>75.076678999999999</v>
      </c>
      <c r="G59" s="119">
        <v>182.26</v>
      </c>
      <c r="H59" s="119">
        <v>3.6</v>
      </c>
      <c r="I59" s="119">
        <v>156.17474651999999</v>
      </c>
      <c r="J59" s="119">
        <v>449.63472357999996</v>
      </c>
      <c r="K59" s="131">
        <f>SUM(B59:J59)</f>
        <v>993.34303329999989</v>
      </c>
    </row>
    <row r="60" spans="1:11" ht="12" customHeight="1" x14ac:dyDescent="0.2">
      <c r="B60" s="119"/>
      <c r="C60" s="119"/>
      <c r="D60" s="119"/>
      <c r="E60" s="119"/>
      <c r="F60" s="122"/>
      <c r="G60" s="122"/>
      <c r="H60" s="122"/>
      <c r="I60" s="122"/>
      <c r="J60" s="122"/>
      <c r="K60" s="131"/>
    </row>
    <row r="61" spans="1:11" s="140" customFormat="1" ht="12" customHeight="1" x14ac:dyDescent="0.2">
      <c r="A61" s="140" t="s">
        <v>12</v>
      </c>
      <c r="B61" s="131">
        <f>SUM(B58:B59)</f>
        <v>1073.2657554</v>
      </c>
      <c r="C61" s="131">
        <f>SUM(C58:C59)</f>
        <v>1621.47</v>
      </c>
      <c r="D61" s="131">
        <f>SUM(D58:D59)</f>
        <v>1586.0546276500002</v>
      </c>
      <c r="E61" s="131">
        <f t="shared" ref="E61:J61" si="4">SUM(E58:E59)</f>
        <v>765.06</v>
      </c>
      <c r="F61" s="132">
        <f t="shared" si="4"/>
        <v>2175.3578289999996</v>
      </c>
      <c r="G61" s="132">
        <f t="shared" si="4"/>
        <v>2943.8599999999997</v>
      </c>
      <c r="H61" s="132">
        <f t="shared" si="4"/>
        <v>3003.5839999999998</v>
      </c>
      <c r="I61" s="132">
        <f t="shared" si="4"/>
        <v>1610.8096620199999</v>
      </c>
      <c r="J61" s="132">
        <f t="shared" si="4"/>
        <v>4325.2974351100002</v>
      </c>
      <c r="K61" s="131">
        <f>SUM(B61:J61)</f>
        <v>19104.759309179997</v>
      </c>
    </row>
    <row r="62" spans="1:11" ht="12" customHeight="1" x14ac:dyDescent="0.2">
      <c r="B62" s="119"/>
      <c r="C62" s="119"/>
      <c r="D62" s="119"/>
      <c r="E62" s="119"/>
      <c r="F62" s="122"/>
      <c r="G62" s="122"/>
      <c r="H62" s="122"/>
      <c r="I62" s="122"/>
      <c r="J62" s="122"/>
      <c r="K62" s="131"/>
    </row>
    <row r="63" spans="1:11" ht="12" customHeight="1" x14ac:dyDescent="0.2">
      <c r="A63" s="140" t="s">
        <v>53</v>
      </c>
      <c r="B63" s="119">
        <v>44.988981939999995</v>
      </c>
      <c r="C63" s="119">
        <v>82.33</v>
      </c>
      <c r="D63" s="119">
        <v>38.584966349999995</v>
      </c>
      <c r="E63" s="119">
        <v>16.95</v>
      </c>
      <c r="F63" s="119">
        <v>256.83126199999998</v>
      </c>
      <c r="G63" s="119">
        <v>271.82</v>
      </c>
      <c r="H63" s="119">
        <v>190.77600000000001</v>
      </c>
      <c r="I63" s="119">
        <v>155.81862980000005</v>
      </c>
      <c r="J63" s="119">
        <v>222.01932486999996</v>
      </c>
      <c r="K63" s="131">
        <f>SUM(B63:J63)</f>
        <v>1280.11916496</v>
      </c>
    </row>
    <row r="64" spans="1:11" s="140" customFormat="1" ht="12" customHeight="1" x14ac:dyDescent="0.2">
      <c r="A64" s="155" t="s">
        <v>123</v>
      </c>
      <c r="B64" s="119"/>
      <c r="C64" s="119"/>
      <c r="D64" s="119"/>
      <c r="F64" s="122"/>
      <c r="G64" s="122"/>
      <c r="H64" s="122"/>
      <c r="I64" s="122"/>
      <c r="J64" s="122"/>
      <c r="K64" s="131"/>
    </row>
    <row r="65" spans="1:11" s="140" customFormat="1" ht="12" customHeight="1" x14ac:dyDescent="0.2">
      <c r="A65" s="155" t="s">
        <v>210</v>
      </c>
      <c r="B65" s="119"/>
      <c r="C65" s="119">
        <v>49.79</v>
      </c>
      <c r="D65" s="119"/>
      <c r="E65" s="119"/>
      <c r="F65" s="122"/>
      <c r="G65" s="122">
        <v>70.23</v>
      </c>
      <c r="H65" s="122"/>
      <c r="I65" s="122"/>
      <c r="J65" s="122">
        <v>30.040558449999999</v>
      </c>
      <c r="K65" s="131">
        <f>SUM(B65:J65)</f>
        <v>150.06055845</v>
      </c>
    </row>
    <row r="66" spans="1:11" s="140" customFormat="1" ht="12" customHeight="1" x14ac:dyDescent="0.2">
      <c r="A66" s="155" t="s">
        <v>125</v>
      </c>
      <c r="B66" s="119"/>
      <c r="C66" s="119"/>
      <c r="D66" s="119"/>
      <c r="E66" s="119"/>
      <c r="F66" s="122"/>
      <c r="G66" s="122"/>
      <c r="H66" s="122"/>
      <c r="I66" s="122"/>
      <c r="J66" s="122"/>
      <c r="K66" s="131">
        <f>SUM(B66:J66)</f>
        <v>0</v>
      </c>
    </row>
    <row r="67" spans="1:11" ht="12" customHeight="1" x14ac:dyDescent="0.2">
      <c r="A67" s="155"/>
      <c r="C67" s="146"/>
    </row>
    <row r="68" spans="1:11" ht="12" customHeight="1" x14ac:dyDescent="0.2">
      <c r="A68" s="156"/>
      <c r="C68" s="147"/>
    </row>
    <row r="69" spans="1:11" ht="12" customHeight="1" x14ac:dyDescent="0.2">
      <c r="A69" s="156" t="s">
        <v>234</v>
      </c>
      <c r="C69" s="147"/>
    </row>
    <row r="70" spans="1:11" ht="12" customHeight="1" x14ac:dyDescent="0.2">
      <c r="A70" s="156"/>
      <c r="C70" s="147"/>
    </row>
    <row r="71" spans="1:11" ht="12" customHeight="1" x14ac:dyDescent="0.2">
      <c r="A71" s="143"/>
      <c r="C71" s="147"/>
    </row>
    <row r="72" spans="1:11" ht="12" customHeight="1" x14ac:dyDescent="0.2">
      <c r="A72" s="143" t="s">
        <v>207</v>
      </c>
    </row>
    <row r="73" spans="1:11" ht="12" customHeight="1" x14ac:dyDescent="0.2">
      <c r="A73" s="143" t="s">
        <v>208</v>
      </c>
    </row>
    <row r="74" spans="1:11" x14ac:dyDescent="0.2">
      <c r="A74" s="155"/>
      <c r="F74" s="110"/>
      <c r="G74" s="110"/>
      <c r="H74" s="110"/>
      <c r="I74" s="110"/>
      <c r="J74" s="110"/>
      <c r="K74" s="110"/>
    </row>
    <row r="75" spans="1:11" x14ac:dyDescent="0.2">
      <c r="A75" s="143"/>
      <c r="B75" s="159"/>
      <c r="C75" s="159"/>
      <c r="D75" s="159"/>
      <c r="E75" s="159"/>
      <c r="F75" s="159"/>
      <c r="G75" s="159"/>
      <c r="H75" s="159"/>
      <c r="I75" s="159"/>
      <c r="J75" s="159"/>
      <c r="K75" s="159"/>
    </row>
    <row r="77" spans="1:11" x14ac:dyDescent="0.2">
      <c r="A77" s="157"/>
    </row>
  </sheetData>
  <pageMargins left="0.19685039370078741" right="0.35433070866141736" top="0.59055118110236227" bottom="0.27559055118110237" header="0.31496062992125984" footer="0.31496062992125984"/>
  <pageSetup paperSize="9" scale="9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3"/>
  <sheetViews>
    <sheetView workbookViewId="0">
      <pane xSplit="1" ySplit="4" topLeftCell="B5" activePane="bottomRight" state="frozenSplit"/>
      <selection pane="topRight"/>
      <selection pane="bottomLeft" activeCell="A26" sqref="A26"/>
      <selection pane="bottomRight" activeCell="B5" sqref="B5"/>
    </sheetView>
  </sheetViews>
  <sheetFormatPr baseColWidth="10" defaultRowHeight="12.75" x14ac:dyDescent="0.2"/>
  <cols>
    <col min="1" max="1" width="38.28515625" style="1" customWidth="1"/>
    <col min="2" max="10" width="11.42578125" style="1"/>
    <col min="11" max="11" width="11.42578125" style="2"/>
    <col min="12" max="16384" width="11.42578125" style="1"/>
  </cols>
  <sheetData>
    <row r="1" spans="1:11" x14ac:dyDescent="0.2">
      <c r="A1" s="2" t="s">
        <v>58</v>
      </c>
    </row>
    <row r="2" spans="1:11" x14ac:dyDescent="0.2">
      <c r="A2" s="1" t="s">
        <v>40</v>
      </c>
    </row>
    <row r="4" spans="1:11" s="3" customFormat="1" x14ac:dyDescent="0.2">
      <c r="A4" s="5"/>
      <c r="B4" s="3" t="s">
        <v>41</v>
      </c>
      <c r="C4" s="3" t="s">
        <v>4</v>
      </c>
      <c r="D4" s="3" t="s">
        <v>5</v>
      </c>
      <c r="E4" s="3" t="s">
        <v>6</v>
      </c>
      <c r="F4" s="3" t="s">
        <v>7</v>
      </c>
      <c r="G4" s="3" t="s">
        <v>8</v>
      </c>
      <c r="H4" s="3" t="s">
        <v>9</v>
      </c>
      <c r="I4" s="3" t="s">
        <v>10</v>
      </c>
      <c r="J4" s="3" t="s">
        <v>11</v>
      </c>
      <c r="K4" s="4" t="s">
        <v>12</v>
      </c>
    </row>
    <row r="6" spans="1:11" ht="15.75" x14ac:dyDescent="0.25">
      <c r="A6" s="6" t="s">
        <v>42</v>
      </c>
    </row>
    <row r="8" spans="1:11" s="7" customFormat="1" x14ac:dyDescent="0.2">
      <c r="A8" s="2" t="s">
        <v>13</v>
      </c>
      <c r="B8" s="7">
        <v>846.55104148999999</v>
      </c>
      <c r="C8" s="7">
        <v>2390</v>
      </c>
      <c r="D8" s="7">
        <v>2912.9916540099998</v>
      </c>
      <c r="E8" s="7">
        <v>3855.15</v>
      </c>
      <c r="F8" s="7">
        <v>2754.83</v>
      </c>
      <c r="G8" s="7">
        <v>2145</v>
      </c>
      <c r="H8" s="7">
        <v>2712.509</v>
      </c>
      <c r="I8" s="7">
        <v>1620.1359460000001</v>
      </c>
      <c r="J8" s="7">
        <v>5296.4364859999996</v>
      </c>
      <c r="K8" s="2">
        <f>SUM(B8:J8)</f>
        <v>24533.604127499999</v>
      </c>
    </row>
    <row r="9" spans="1:11" s="7" customFormat="1" x14ac:dyDescent="0.2">
      <c r="A9" s="2" t="s">
        <v>14</v>
      </c>
      <c r="B9" s="7">
        <v>112.547</v>
      </c>
      <c r="C9" s="7">
        <v>102</v>
      </c>
      <c r="D9" s="7">
        <v>1334.5633210000001</v>
      </c>
      <c r="E9" s="7">
        <v>648.55999999999995</v>
      </c>
      <c r="F9" s="7">
        <v>102.04</v>
      </c>
      <c r="G9" s="7">
        <v>1463</v>
      </c>
      <c r="H9" s="7">
        <v>347.89100000000002</v>
      </c>
      <c r="I9" s="7">
        <v>287.44530381999999</v>
      </c>
      <c r="J9" s="7">
        <v>2854.2446949</v>
      </c>
      <c r="K9" s="2">
        <f>SUM(B9:J9)</f>
        <v>7252.2913197199996</v>
      </c>
    </row>
    <row r="11" spans="1:11" s="2" customFormat="1" x14ac:dyDescent="0.2">
      <c r="A11" s="7" t="s">
        <v>43</v>
      </c>
      <c r="B11" s="2">
        <f t="shared" ref="B11:J11" si="0">B8+B9</f>
        <v>959.09804149000001</v>
      </c>
      <c r="C11" s="2">
        <f t="shared" si="0"/>
        <v>2492</v>
      </c>
      <c r="D11" s="2">
        <f t="shared" si="0"/>
        <v>4247.5549750099999</v>
      </c>
      <c r="E11" s="2">
        <f t="shared" si="0"/>
        <v>4503.71</v>
      </c>
      <c r="F11" s="2">
        <f t="shared" si="0"/>
        <v>2856.87</v>
      </c>
      <c r="G11" s="2">
        <f t="shared" si="0"/>
        <v>3608</v>
      </c>
      <c r="H11" s="2">
        <f t="shared" si="0"/>
        <v>3060.4</v>
      </c>
      <c r="I11" s="2">
        <f t="shared" si="0"/>
        <v>1907.58124982</v>
      </c>
      <c r="J11" s="2">
        <f t="shared" si="0"/>
        <v>8150.6811808999992</v>
      </c>
      <c r="K11" s="2">
        <f>SUM(B11:J11)</f>
        <v>31785.895447219998</v>
      </c>
    </row>
    <row r="14" spans="1:11" ht="15.75" x14ac:dyDescent="0.25">
      <c r="A14" s="6" t="s">
        <v>44</v>
      </c>
    </row>
    <row r="16" spans="1:11" x14ac:dyDescent="0.2">
      <c r="A16" s="2" t="s">
        <v>45</v>
      </c>
      <c r="B16" s="3" t="s">
        <v>3</v>
      </c>
      <c r="C16" s="3" t="s">
        <v>4</v>
      </c>
      <c r="D16" s="3" t="s">
        <v>5</v>
      </c>
      <c r="E16" s="3" t="s">
        <v>6</v>
      </c>
      <c r="F16" s="3" t="s">
        <v>7</v>
      </c>
      <c r="G16" s="3" t="s">
        <v>8</v>
      </c>
      <c r="H16" s="3" t="s">
        <v>9</v>
      </c>
      <c r="I16" s="3" t="s">
        <v>10</v>
      </c>
      <c r="J16" s="3" t="s">
        <v>11</v>
      </c>
    </row>
    <row r="18" spans="1:11" x14ac:dyDescent="0.2">
      <c r="A18" s="1" t="s">
        <v>46</v>
      </c>
      <c r="B18" s="1">
        <v>11517.616161039999</v>
      </c>
      <c r="C18" s="1">
        <v>23155</v>
      </c>
      <c r="D18" s="1">
        <v>59582.106808659999</v>
      </c>
      <c r="E18" s="1">
        <v>41607.9</v>
      </c>
      <c r="F18" s="1">
        <v>9086.7999999999993</v>
      </c>
      <c r="G18" s="1">
        <v>43462</v>
      </c>
      <c r="H18" s="1">
        <v>26891.82</v>
      </c>
      <c r="I18" s="1">
        <f>7638.77854763+9489.06497402</f>
        <v>17127.84352165</v>
      </c>
      <c r="J18" s="1">
        <f>33376.1775488+10416.10695507+349.10205769+223.39075186</f>
        <v>44364.777313419996</v>
      </c>
      <c r="K18" s="2">
        <f>SUM(B18:J18)</f>
        <v>276795.86380476999</v>
      </c>
    </row>
    <row r="19" spans="1:11" x14ac:dyDescent="0.2">
      <c r="A19" s="1" t="s">
        <v>47</v>
      </c>
      <c r="B19" s="1">
        <v>832.85238435999997</v>
      </c>
      <c r="C19" s="1">
        <v>0</v>
      </c>
      <c r="E19" s="1">
        <v>1394.35</v>
      </c>
      <c r="F19" s="1">
        <v>434.3</v>
      </c>
      <c r="G19" s="1">
        <v>645</v>
      </c>
      <c r="H19" s="1">
        <v>888.68</v>
      </c>
      <c r="I19" s="1">
        <v>52.860070299999997</v>
      </c>
      <c r="K19" s="2">
        <f>SUM(B19:J19)</f>
        <v>4248.0424546600007</v>
      </c>
    </row>
    <row r="21" spans="1:11" x14ac:dyDescent="0.2">
      <c r="A21" s="7" t="s">
        <v>12</v>
      </c>
      <c r="B21" s="1">
        <f>SUM(B18:B19)</f>
        <v>12350.468545399999</v>
      </c>
      <c r="C21" s="1">
        <f t="shared" ref="C21:J21" si="1">SUM(C18:C19)</f>
        <v>23155</v>
      </c>
      <c r="D21" s="1">
        <f t="shared" si="1"/>
        <v>59582.106808659999</v>
      </c>
      <c r="E21" s="1">
        <f t="shared" si="1"/>
        <v>43002.25</v>
      </c>
      <c r="F21" s="1">
        <f t="shared" si="1"/>
        <v>9521.0999999999985</v>
      </c>
      <c r="G21" s="1">
        <f t="shared" si="1"/>
        <v>44107</v>
      </c>
      <c r="H21" s="1">
        <f t="shared" si="1"/>
        <v>27780.5</v>
      </c>
      <c r="I21" s="1">
        <f t="shared" si="1"/>
        <v>17180.703591950001</v>
      </c>
      <c r="J21" s="1">
        <f t="shared" si="1"/>
        <v>44364.777313419996</v>
      </c>
      <c r="K21" s="2">
        <f>SUM(B21:J21)</f>
        <v>281043.90625942999</v>
      </c>
    </row>
    <row r="23" spans="1:11" s="2" customFormat="1" x14ac:dyDescent="0.2">
      <c r="A23" s="2" t="s">
        <v>48</v>
      </c>
      <c r="B23" s="7">
        <v>350.66954191000002</v>
      </c>
      <c r="C23" s="7">
        <v>499</v>
      </c>
      <c r="D23" s="7">
        <v>1269.636</v>
      </c>
      <c r="E23" s="7">
        <v>1817.68</v>
      </c>
      <c r="F23" s="7">
        <v>807.7</v>
      </c>
      <c r="G23" s="7">
        <v>2305</v>
      </c>
      <c r="H23" s="7">
        <v>0</v>
      </c>
      <c r="I23" s="7">
        <v>0</v>
      </c>
      <c r="J23" s="7">
        <v>4385.22871923</v>
      </c>
      <c r="K23" s="2">
        <f>SUM(B23:J23)</f>
        <v>11434.91426114</v>
      </c>
    </row>
    <row r="25" spans="1:11" x14ac:dyDescent="0.2">
      <c r="A25" s="2" t="s">
        <v>49</v>
      </c>
    </row>
    <row r="27" spans="1:11" x14ac:dyDescent="0.2">
      <c r="A27" s="1" t="s">
        <v>50</v>
      </c>
      <c r="B27" s="23">
        <v>705.69844737000005</v>
      </c>
      <c r="C27" s="24">
        <v>1594</v>
      </c>
      <c r="D27" s="1">
        <f>4069.7621008-14.1821008</f>
        <v>4055.58</v>
      </c>
      <c r="E27" s="1">
        <v>3966.87</v>
      </c>
      <c r="F27" s="1">
        <f>1506.75+2.1</f>
        <v>1508.85</v>
      </c>
      <c r="G27" s="1">
        <v>3395</v>
      </c>
      <c r="H27" s="1">
        <v>1872.528</v>
      </c>
      <c r="I27" s="1">
        <v>1020.4</v>
      </c>
      <c r="J27" s="1">
        <v>6533.2079999999996</v>
      </c>
      <c r="K27" s="2">
        <f t="shared" ref="K27:K32" si="2">SUM(B27:J27)</f>
        <v>24652.134447370001</v>
      </c>
    </row>
    <row r="28" spans="1:11" x14ac:dyDescent="0.2">
      <c r="A28" s="1" t="s">
        <v>51</v>
      </c>
      <c r="B28" s="3" t="s">
        <v>59</v>
      </c>
      <c r="C28" s="3">
        <f>120</f>
        <v>120</v>
      </c>
      <c r="D28" s="3">
        <v>377.98899999999998</v>
      </c>
      <c r="E28" s="30">
        <f>392.08-414</f>
        <v>-21.920000000000016</v>
      </c>
      <c r="F28" s="3">
        <v>113.41</v>
      </c>
      <c r="G28" s="3" t="s">
        <v>59</v>
      </c>
      <c r="H28" s="3">
        <v>444.5</v>
      </c>
      <c r="I28" s="25">
        <v>90.8</v>
      </c>
      <c r="J28" s="3">
        <v>0</v>
      </c>
      <c r="K28" s="2">
        <f t="shared" si="2"/>
        <v>1124.7789999999998</v>
      </c>
    </row>
    <row r="29" spans="1:11" x14ac:dyDescent="0.2">
      <c r="A29" s="1" t="s">
        <v>52</v>
      </c>
      <c r="B29" s="1">
        <v>12.265068940000001</v>
      </c>
      <c r="C29" s="1">
        <v>16</v>
      </c>
      <c r="D29" s="1">
        <v>24.476553719999998</v>
      </c>
      <c r="E29" s="1">
        <v>0</v>
      </c>
      <c r="F29" s="1">
        <f>24.39</f>
        <v>24.39</v>
      </c>
      <c r="G29" s="1">
        <v>59</v>
      </c>
      <c r="H29" s="1">
        <v>4.609</v>
      </c>
      <c r="I29" s="1">
        <v>0</v>
      </c>
      <c r="J29" s="1">
        <v>0</v>
      </c>
      <c r="K29" s="2">
        <f t="shared" si="2"/>
        <v>140.74062266000001</v>
      </c>
    </row>
    <row r="30" spans="1:11" x14ac:dyDescent="0.2">
      <c r="A30" s="1" t="s">
        <v>53</v>
      </c>
      <c r="B30" s="1">
        <v>261.75804804000001</v>
      </c>
      <c r="C30" s="1">
        <v>413</v>
      </c>
      <c r="D30" s="1">
        <v>1287.57160122</v>
      </c>
      <c r="E30" s="30">
        <f>1432.45+414</f>
        <v>1846.45</v>
      </c>
      <c r="F30" s="1">
        <f>33.04+242.11+62.94+145.79+2.22+1.31</f>
        <v>487.41</v>
      </c>
      <c r="G30" s="1">
        <v>1292</v>
      </c>
      <c r="H30" s="1">
        <v>732.14700000000005</v>
      </c>
      <c r="I30" s="1">
        <v>318.75680319000003</v>
      </c>
      <c r="J30" s="1">
        <v>1956.50913509</v>
      </c>
      <c r="K30" s="2">
        <f t="shared" si="2"/>
        <v>8595.6025875399991</v>
      </c>
    </row>
    <row r="31" spans="1:11" x14ac:dyDescent="0.2">
      <c r="A31" s="1" t="s">
        <v>60</v>
      </c>
      <c r="E31" s="1">
        <f>-(414.6+25.29)</f>
        <v>-439.89000000000004</v>
      </c>
      <c r="K31" s="2">
        <f t="shared" si="2"/>
        <v>-439.89000000000004</v>
      </c>
    </row>
    <row r="32" spans="1:11" s="2" customFormat="1" x14ac:dyDescent="0.2">
      <c r="A32" s="2" t="s">
        <v>12</v>
      </c>
      <c r="B32" s="2">
        <f>SUM(B27:B31)</f>
        <v>979.72156435000011</v>
      </c>
      <c r="C32" s="2">
        <f t="shared" ref="C32:J32" si="3">SUM(C27:C31)</f>
        <v>2143</v>
      </c>
      <c r="D32" s="2">
        <f t="shared" si="3"/>
        <v>5745.6171549399996</v>
      </c>
      <c r="E32" s="2">
        <f t="shared" si="3"/>
        <v>5351.5099999999993</v>
      </c>
      <c r="F32" s="2">
        <f t="shared" si="3"/>
        <v>2134.06</v>
      </c>
      <c r="G32" s="2">
        <f t="shared" si="3"/>
        <v>4746</v>
      </c>
      <c r="H32" s="2">
        <f t="shared" si="3"/>
        <v>3053.7840000000001</v>
      </c>
      <c r="I32" s="2">
        <f t="shared" si="3"/>
        <v>1429.9568031900001</v>
      </c>
      <c r="J32" s="2">
        <f t="shared" si="3"/>
        <v>8489.7171350899989</v>
      </c>
      <c r="K32" s="2">
        <f t="shared" si="2"/>
        <v>34073.366657569997</v>
      </c>
    </row>
    <row r="34" spans="1:11" s="2" customFormat="1" x14ac:dyDescent="0.2">
      <c r="A34" s="2" t="s">
        <v>42</v>
      </c>
      <c r="B34" s="2">
        <f t="shared" ref="B34:J34" si="4">B11</f>
        <v>959.09804149000001</v>
      </c>
      <c r="C34" s="2">
        <f t="shared" si="4"/>
        <v>2492</v>
      </c>
      <c r="D34" s="2">
        <f t="shared" si="4"/>
        <v>4247.5549750099999</v>
      </c>
      <c r="E34" s="2">
        <f t="shared" si="4"/>
        <v>4503.71</v>
      </c>
      <c r="F34" s="2">
        <f t="shared" si="4"/>
        <v>2856.87</v>
      </c>
      <c r="G34" s="2">
        <f t="shared" si="4"/>
        <v>3608</v>
      </c>
      <c r="H34" s="2">
        <f t="shared" si="4"/>
        <v>3060.4</v>
      </c>
      <c r="I34" s="2">
        <f t="shared" si="4"/>
        <v>1907.58124982</v>
      </c>
      <c r="J34" s="2">
        <f t="shared" si="4"/>
        <v>8150.6811808999992</v>
      </c>
      <c r="K34" s="2">
        <f>SUM(B34:J34)</f>
        <v>31785.895447219998</v>
      </c>
    </row>
    <row r="35" spans="1:11" x14ac:dyDescent="0.2">
      <c r="A35"/>
    </row>
    <row r="37" spans="1:11" s="2" customFormat="1" x14ac:dyDescent="0.2">
      <c r="A37" s="7" t="s">
        <v>54</v>
      </c>
      <c r="B37" s="8">
        <f t="shared" ref="B37:J37" si="5">SUM(B27:B30)-B34</f>
        <v>20.623522860000094</v>
      </c>
      <c r="C37" s="8">
        <f t="shared" si="5"/>
        <v>-349</v>
      </c>
      <c r="D37" s="8">
        <f t="shared" si="5"/>
        <v>1498.0621799299997</v>
      </c>
      <c r="E37" s="8">
        <f t="shared" si="5"/>
        <v>1287.6899999999996</v>
      </c>
      <c r="F37" s="8">
        <f t="shared" si="5"/>
        <v>-722.81</v>
      </c>
      <c r="G37" s="8">
        <f t="shared" si="5"/>
        <v>1138</v>
      </c>
      <c r="H37" s="8">
        <f t="shared" si="5"/>
        <v>-6.6159999999999854</v>
      </c>
      <c r="I37" s="8">
        <f t="shared" si="5"/>
        <v>-477.62444662999997</v>
      </c>
      <c r="J37" s="8">
        <f t="shared" si="5"/>
        <v>339.03595418999976</v>
      </c>
      <c r="K37" s="8">
        <f>SUM(B37:J37)</f>
        <v>2727.3612103499991</v>
      </c>
    </row>
    <row r="38" spans="1:11" s="2" customFormat="1" x14ac:dyDescent="0.2">
      <c r="A38" s="7"/>
      <c r="B38" s="8"/>
      <c r="C38" s="8"/>
      <c r="D38" s="8"/>
      <c r="E38" s="8"/>
      <c r="F38" s="8"/>
      <c r="G38" s="8"/>
      <c r="H38" s="8"/>
      <c r="I38" s="8"/>
      <c r="J38" s="8"/>
      <c r="K38" s="8"/>
    </row>
    <row r="39" spans="1:11" x14ac:dyDescent="0.2">
      <c r="A39" s="1" t="s">
        <v>61</v>
      </c>
    </row>
    <row r="40" spans="1:11" x14ac:dyDescent="0.2">
      <c r="A40" s="1" t="s">
        <v>62</v>
      </c>
    </row>
    <row r="41" spans="1:11" x14ac:dyDescent="0.2">
      <c r="A41" s="1" t="s">
        <v>63</v>
      </c>
    </row>
    <row r="42" spans="1:11" x14ac:dyDescent="0.2">
      <c r="A42" s="1" t="s">
        <v>55</v>
      </c>
    </row>
    <row r="43" spans="1:11" x14ac:dyDescent="0.2">
      <c r="A43" s="1" t="s">
        <v>217</v>
      </c>
    </row>
  </sheetData>
  <phoneticPr fontId="0" type="noConversion"/>
  <printOptions horizontalCentered="1"/>
  <pageMargins left="0.39370078740157483" right="0.39370078740157483" top="0.39370078740157483" bottom="0.39370078740157483" header="0.51181102362204722" footer="0.51181102362204722"/>
  <pageSetup paperSize="9" scale="90" orientation="landscape" horizontalDpi="4294967292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83"/>
  <sheetViews>
    <sheetView workbookViewId="0">
      <pane xSplit="1" ySplit="4" topLeftCell="B5" activePane="bottomRight" state="frozenSplit"/>
      <selection pane="topRight"/>
      <selection pane="bottomLeft" activeCell="A59" sqref="A59"/>
      <selection pane="bottomRight" activeCell="B5" sqref="B5"/>
    </sheetView>
  </sheetViews>
  <sheetFormatPr baseColWidth="10" defaultRowHeight="12.75" x14ac:dyDescent="0.2"/>
  <cols>
    <col min="1" max="1" width="38.28515625" style="1" customWidth="1"/>
    <col min="2" max="10" width="11.42578125" style="1"/>
    <col min="11" max="11" width="11.42578125" style="2"/>
    <col min="12" max="12" width="18" style="1" customWidth="1"/>
    <col min="13" max="16384" width="11.42578125" style="1"/>
  </cols>
  <sheetData>
    <row r="1" spans="1:12" x14ac:dyDescent="0.2">
      <c r="A1" s="2" t="s">
        <v>64</v>
      </c>
      <c r="L1" s="34"/>
    </row>
    <row r="2" spans="1:12" x14ac:dyDescent="0.2">
      <c r="A2" s="1" t="s">
        <v>40</v>
      </c>
    </row>
    <row r="4" spans="1:12" s="3" customFormat="1" x14ac:dyDescent="0.2">
      <c r="A4" s="5"/>
      <c r="B4" s="3" t="s">
        <v>41</v>
      </c>
      <c r="C4" s="3" t="s">
        <v>4</v>
      </c>
      <c r="D4" s="3" t="s">
        <v>5</v>
      </c>
      <c r="E4" s="3" t="s">
        <v>6</v>
      </c>
      <c r="F4" s="3" t="s">
        <v>7</v>
      </c>
      <c r="G4" s="3" t="s">
        <v>8</v>
      </c>
      <c r="H4" s="3" t="s">
        <v>9</v>
      </c>
      <c r="I4" s="3" t="s">
        <v>10</v>
      </c>
      <c r="J4" s="3" t="s">
        <v>11</v>
      </c>
      <c r="K4" s="4" t="s">
        <v>12</v>
      </c>
      <c r="L4" s="3" t="s">
        <v>3</v>
      </c>
    </row>
    <row r="5" spans="1:12" x14ac:dyDescent="0.2">
      <c r="L5" s="3" t="s">
        <v>65</v>
      </c>
    </row>
    <row r="6" spans="1:12" ht="15.75" x14ac:dyDescent="0.25">
      <c r="A6" s="6" t="s">
        <v>42</v>
      </c>
    </row>
    <row r="8" spans="1:12" x14ac:dyDescent="0.2">
      <c r="A8" s="2" t="s">
        <v>13</v>
      </c>
    </row>
    <row r="10" spans="1:12" x14ac:dyDescent="0.2">
      <c r="A10" s="1" t="s">
        <v>66</v>
      </c>
      <c r="B10" s="1">
        <v>547.92499999999995</v>
      </c>
      <c r="C10" s="1">
        <v>2422</v>
      </c>
      <c r="D10" s="1">
        <v>2630.6263424799999</v>
      </c>
      <c r="E10" s="1">
        <v>4165.3999999999996</v>
      </c>
      <c r="F10" s="1">
        <v>1160.83</v>
      </c>
      <c r="G10" s="1">
        <v>1516</v>
      </c>
      <c r="H10" s="1">
        <v>1976.181</v>
      </c>
      <c r="I10" s="1">
        <v>1260.239227</v>
      </c>
      <c r="J10" s="1">
        <v>69.515789999999996</v>
      </c>
      <c r="K10" s="2">
        <f t="shared" ref="K10:K15" si="0">SUM(B10:J10)</f>
        <v>15748.717359479999</v>
      </c>
      <c r="L10" s="1">
        <v>607.43190815000003</v>
      </c>
    </row>
    <row r="11" spans="1:12" x14ac:dyDescent="0.2">
      <c r="A11" s="1" t="s">
        <v>67</v>
      </c>
      <c r="B11" s="1">
        <v>0</v>
      </c>
      <c r="C11" s="1">
        <v>25</v>
      </c>
      <c r="D11" s="1">
        <v>0.79300000000000004</v>
      </c>
      <c r="E11" s="1">
        <v>0</v>
      </c>
      <c r="F11" s="1">
        <v>0</v>
      </c>
      <c r="G11" s="1">
        <v>0</v>
      </c>
      <c r="H11" s="1">
        <v>46.558</v>
      </c>
      <c r="I11" s="1">
        <v>0</v>
      </c>
      <c r="J11" s="1">
        <v>303.165031</v>
      </c>
      <c r="K11" s="2">
        <f t="shared" si="0"/>
        <v>375.516031</v>
      </c>
      <c r="L11" s="1">
        <v>0</v>
      </c>
    </row>
    <row r="12" spans="1:12" x14ac:dyDescent="0.2">
      <c r="A12" s="1" t="s">
        <v>68</v>
      </c>
      <c r="B12" s="1">
        <v>147.7943981</v>
      </c>
      <c r="C12" s="1">
        <v>0</v>
      </c>
      <c r="D12" s="1">
        <v>462.13281336</v>
      </c>
      <c r="E12" s="1">
        <f>42.2+446.5</f>
        <v>488.7</v>
      </c>
      <c r="F12" s="1">
        <f>261.81+625.74</f>
        <v>887.55</v>
      </c>
      <c r="G12" s="1">
        <v>792</v>
      </c>
      <c r="H12" s="1">
        <v>35.337000000000003</v>
      </c>
      <c r="I12" s="1">
        <v>132.44571766999999</v>
      </c>
      <c r="J12" s="1">
        <v>839.08301253000002</v>
      </c>
      <c r="K12" s="2">
        <f t="shared" si="0"/>
        <v>3785.0429416599995</v>
      </c>
      <c r="L12" s="1">
        <v>10.149210589999999</v>
      </c>
    </row>
    <row r="13" spans="1:12" x14ac:dyDescent="0.2">
      <c r="A13" t="s">
        <v>69</v>
      </c>
      <c r="B13" s="1">
        <v>0.22734641</v>
      </c>
      <c r="C13" s="1">
        <v>0</v>
      </c>
      <c r="D13" s="1">
        <v>151.76575399000001</v>
      </c>
      <c r="E13" s="1">
        <v>13.9</v>
      </c>
      <c r="F13" s="1">
        <v>67.150000000000006</v>
      </c>
      <c r="G13" s="1">
        <v>23</v>
      </c>
      <c r="H13" s="1">
        <v>249.01</v>
      </c>
      <c r="I13" s="1">
        <v>0</v>
      </c>
      <c r="J13" s="1">
        <v>3147.9993549999999</v>
      </c>
      <c r="K13" s="2">
        <f t="shared" si="0"/>
        <v>3653.0524553999999</v>
      </c>
      <c r="L13" s="1">
        <v>9.3029398499999996</v>
      </c>
    </row>
    <row r="14" spans="1:12" x14ac:dyDescent="0.2">
      <c r="A14" s="1" t="s">
        <v>70</v>
      </c>
      <c r="B14" s="1">
        <v>0</v>
      </c>
      <c r="C14" s="1">
        <v>0</v>
      </c>
      <c r="D14" s="1">
        <v>0</v>
      </c>
      <c r="E14" s="1">
        <v>0</v>
      </c>
      <c r="F14" s="1">
        <v>0</v>
      </c>
      <c r="G14" s="1">
        <v>1</v>
      </c>
      <c r="H14" s="1">
        <v>0</v>
      </c>
      <c r="I14" s="1">
        <v>0</v>
      </c>
      <c r="J14" s="1">
        <v>0</v>
      </c>
      <c r="K14" s="2">
        <f t="shared" si="0"/>
        <v>1</v>
      </c>
      <c r="L14" s="1">
        <v>0</v>
      </c>
    </row>
    <row r="15" spans="1:12" x14ac:dyDescent="0.2">
      <c r="A15" s="1" t="s">
        <v>71</v>
      </c>
      <c r="B15" s="1">
        <v>1.0034822000000001</v>
      </c>
      <c r="C15" s="1">
        <v>71</v>
      </c>
      <c r="D15" s="1">
        <f>34.337497+49.24940007</f>
        <v>83.586897069999992</v>
      </c>
      <c r="E15" s="1">
        <f>140.1+70+290.1</f>
        <v>500.20000000000005</v>
      </c>
      <c r="F15" s="1">
        <v>110.27</v>
      </c>
      <c r="G15" s="1">
        <f>2+90+240</f>
        <v>332</v>
      </c>
      <c r="H15" s="1">
        <v>119.43600000000001</v>
      </c>
      <c r="I15" s="1">
        <f>19.029994+9.176444+71.2962</f>
        <v>99.50263799999999</v>
      </c>
      <c r="J15" s="1">
        <v>344.101314</v>
      </c>
      <c r="K15" s="2">
        <f t="shared" si="0"/>
        <v>1661.1003312699997</v>
      </c>
      <c r="L15" s="1">
        <v>1.0153776000000001</v>
      </c>
    </row>
    <row r="17" spans="1:12" s="7" customFormat="1" x14ac:dyDescent="0.2">
      <c r="A17" s="7" t="s">
        <v>12</v>
      </c>
      <c r="B17" s="7">
        <f>SUM(B10:B15)</f>
        <v>696.95022670999992</v>
      </c>
      <c r="C17" s="7">
        <f t="shared" ref="C17:J17" si="1">SUM(C10:C15)</f>
        <v>2518</v>
      </c>
      <c r="D17" s="7">
        <f t="shared" si="1"/>
        <v>3328.9048069</v>
      </c>
      <c r="E17" s="7">
        <f t="shared" si="1"/>
        <v>5168.1999999999989</v>
      </c>
      <c r="F17" s="7">
        <f t="shared" si="1"/>
        <v>2225.8000000000002</v>
      </c>
      <c r="G17" s="7">
        <f t="shared" si="1"/>
        <v>2664</v>
      </c>
      <c r="H17" s="7">
        <f t="shared" si="1"/>
        <v>2426.5220000000004</v>
      </c>
      <c r="I17" s="7">
        <f t="shared" si="1"/>
        <v>1492.18758267</v>
      </c>
      <c r="J17" s="7">
        <f t="shared" si="1"/>
        <v>4703.8645025299993</v>
      </c>
      <c r="K17" s="2">
        <f>SUM(B17:J17)</f>
        <v>25224.42911881</v>
      </c>
      <c r="L17" s="7">
        <f>SUM(L10:L15)</f>
        <v>627.89943619000007</v>
      </c>
    </row>
    <row r="20" spans="1:12" x14ac:dyDescent="0.2">
      <c r="A20" s="2" t="s">
        <v>14</v>
      </c>
    </row>
    <row r="22" spans="1:12" x14ac:dyDescent="0.2">
      <c r="A22" s="1" t="s">
        <v>72</v>
      </c>
      <c r="B22" s="1">
        <v>150.23500000000001</v>
      </c>
      <c r="C22" s="1">
        <v>47</v>
      </c>
      <c r="D22" s="1">
        <v>40.078446999999997</v>
      </c>
      <c r="E22" s="1">
        <v>128</v>
      </c>
      <c r="F22" s="1">
        <v>41.73</v>
      </c>
      <c r="G22" s="1">
        <v>395</v>
      </c>
      <c r="H22" s="1">
        <v>6.1310000000000002</v>
      </c>
      <c r="I22" s="1">
        <v>0</v>
      </c>
      <c r="J22" s="1">
        <v>0</v>
      </c>
      <c r="K22" s="2">
        <f>SUM(B22:J22)</f>
        <v>808.17444699999999</v>
      </c>
      <c r="L22" s="1">
        <v>93</v>
      </c>
    </row>
    <row r="23" spans="1:12" x14ac:dyDescent="0.2">
      <c r="A23" s="1" t="s">
        <v>68</v>
      </c>
      <c r="B23" s="1">
        <v>0</v>
      </c>
      <c r="C23" s="1">
        <v>76</v>
      </c>
      <c r="D23" s="1">
        <v>1017.7518033</v>
      </c>
      <c r="E23" s="1">
        <v>523</v>
      </c>
      <c r="F23" s="1">
        <f>12.16+85.56</f>
        <v>97.72</v>
      </c>
      <c r="G23" s="1">
        <v>1095</v>
      </c>
      <c r="H23" s="1">
        <v>400.90899999999999</v>
      </c>
      <c r="I23" s="1">
        <v>306.33266939999999</v>
      </c>
      <c r="J23" s="1">
        <v>2106.2741680700001</v>
      </c>
      <c r="K23" s="2">
        <f>SUM(B23:J23)</f>
        <v>5622.9876407700003</v>
      </c>
      <c r="L23" s="1">
        <v>0</v>
      </c>
    </row>
    <row r="24" spans="1:12" x14ac:dyDescent="0.2">
      <c r="A24" t="s">
        <v>69</v>
      </c>
      <c r="B24" s="1">
        <v>0</v>
      </c>
      <c r="C24" s="1">
        <v>0</v>
      </c>
      <c r="D24" s="1">
        <v>2.1996889999999998</v>
      </c>
      <c r="E24" s="1">
        <v>0</v>
      </c>
      <c r="F24" s="1">
        <v>2.5299999999999998</v>
      </c>
      <c r="G24" s="1">
        <v>90</v>
      </c>
      <c r="H24" s="1">
        <v>109.10299999999999</v>
      </c>
      <c r="I24" s="1">
        <v>0</v>
      </c>
      <c r="J24" s="1">
        <v>387.58677399999999</v>
      </c>
      <c r="K24" s="2">
        <f>SUM(B24:J24)</f>
        <v>591.41946299999995</v>
      </c>
      <c r="L24" s="1">
        <v>0</v>
      </c>
    </row>
    <row r="25" spans="1:12" x14ac:dyDescent="0.2">
      <c r="A25" s="1" t="s">
        <v>70</v>
      </c>
      <c r="B25" s="1">
        <v>0</v>
      </c>
      <c r="C25" s="1">
        <v>0</v>
      </c>
      <c r="D25" s="1">
        <v>0</v>
      </c>
      <c r="E25" s="1">
        <v>0</v>
      </c>
      <c r="F25" s="1">
        <v>0</v>
      </c>
      <c r="G25" s="1">
        <v>0</v>
      </c>
      <c r="H25" s="1">
        <v>0.21099999999999999</v>
      </c>
      <c r="I25" s="1">
        <v>0</v>
      </c>
      <c r="J25" s="1">
        <v>5.6024434000000003</v>
      </c>
      <c r="K25" s="2">
        <f>SUM(B25:J25)</f>
        <v>5.8134434000000006</v>
      </c>
      <c r="L25" s="1">
        <v>0</v>
      </c>
    </row>
    <row r="26" spans="1:12" x14ac:dyDescent="0.2">
      <c r="A26" s="1" t="s">
        <v>71</v>
      </c>
      <c r="B26" s="1">
        <v>0</v>
      </c>
      <c r="D26" s="1">
        <f>20.50983+3.27244</f>
        <v>23.78227</v>
      </c>
      <c r="E26" s="1">
        <f>16.1+11.4+4.1</f>
        <v>31.6</v>
      </c>
      <c r="F26" s="1">
        <v>1.76</v>
      </c>
      <c r="G26" s="1">
        <f>4+300</f>
        <v>304</v>
      </c>
      <c r="H26" s="1">
        <v>0.68600000000000005</v>
      </c>
      <c r="I26" s="1">
        <v>0</v>
      </c>
      <c r="J26" s="1">
        <v>12.305389999999999</v>
      </c>
      <c r="K26" s="2">
        <f>SUM(B26:J26)</f>
        <v>374.13365999999996</v>
      </c>
      <c r="L26" s="1">
        <v>0</v>
      </c>
    </row>
    <row r="28" spans="1:12" s="7" customFormat="1" x14ac:dyDescent="0.2">
      <c r="A28" s="7" t="s">
        <v>12</v>
      </c>
      <c r="B28" s="7">
        <f>SUM(B22:B26)</f>
        <v>150.23500000000001</v>
      </c>
      <c r="C28" s="7">
        <f t="shared" ref="C28:J28" si="2">SUM(C22:C26)</f>
        <v>123</v>
      </c>
      <c r="D28" s="7">
        <f t="shared" si="2"/>
        <v>1083.8122092999999</v>
      </c>
      <c r="E28" s="7">
        <f t="shared" si="2"/>
        <v>682.6</v>
      </c>
      <c r="F28" s="7">
        <f t="shared" si="2"/>
        <v>143.73999999999998</v>
      </c>
      <c r="G28" s="7">
        <f t="shared" si="2"/>
        <v>1884</v>
      </c>
      <c r="H28" s="7">
        <f t="shared" si="2"/>
        <v>517.04</v>
      </c>
      <c r="I28" s="7">
        <f t="shared" si="2"/>
        <v>306.33266939999999</v>
      </c>
      <c r="J28" s="7">
        <f t="shared" si="2"/>
        <v>2511.76877547</v>
      </c>
      <c r="K28" s="2">
        <f>SUM(B28:J28)</f>
        <v>7402.5286541699998</v>
      </c>
      <c r="L28" s="7">
        <f>SUM(L22:L26)</f>
        <v>93</v>
      </c>
    </row>
    <row r="30" spans="1:12" s="2" customFormat="1" x14ac:dyDescent="0.2">
      <c r="A30" s="7" t="s">
        <v>43</v>
      </c>
      <c r="B30" s="2">
        <f>B17+B28</f>
        <v>847.18522670999994</v>
      </c>
      <c r="C30" s="2">
        <f t="shared" ref="C30:J30" si="3">C17+C28</f>
        <v>2641</v>
      </c>
      <c r="D30" s="2">
        <f t="shared" si="3"/>
        <v>4412.7170162000002</v>
      </c>
      <c r="E30" s="2">
        <f t="shared" si="3"/>
        <v>5850.7999999999993</v>
      </c>
      <c r="F30" s="2">
        <f t="shared" si="3"/>
        <v>2369.54</v>
      </c>
      <c r="G30" s="2">
        <f t="shared" si="3"/>
        <v>4548</v>
      </c>
      <c r="H30" s="2">
        <f t="shared" si="3"/>
        <v>2943.5620000000004</v>
      </c>
      <c r="I30" s="2">
        <f t="shared" si="3"/>
        <v>1798.52025207</v>
      </c>
      <c r="J30" s="2">
        <f t="shared" si="3"/>
        <v>7215.6332779999993</v>
      </c>
      <c r="K30" s="2">
        <f>SUM(B30:J30)</f>
        <v>32626.95777298</v>
      </c>
      <c r="L30" s="34">
        <f>L17+L28</f>
        <v>720.89943619000007</v>
      </c>
    </row>
    <row r="33" spans="1:12" ht="15" customHeight="1" x14ac:dyDescent="0.25">
      <c r="A33" s="6" t="s">
        <v>44</v>
      </c>
    </row>
    <row r="34" spans="1:12" ht="12" customHeight="1" x14ac:dyDescent="0.2"/>
    <row r="35" spans="1:12" ht="12" customHeight="1" x14ac:dyDescent="0.2">
      <c r="A35" s="2" t="s">
        <v>73</v>
      </c>
    </row>
    <row r="36" spans="1:12" ht="12" customHeight="1" x14ac:dyDescent="0.2"/>
    <row r="37" spans="1:12" ht="12" customHeight="1" x14ac:dyDescent="0.2">
      <c r="A37" s="1" t="s">
        <v>74</v>
      </c>
      <c r="B37" s="1">
        <v>497.44704882000002</v>
      </c>
      <c r="C37" s="1">
        <v>2562</v>
      </c>
      <c r="D37" s="1">
        <v>2159.741724</v>
      </c>
      <c r="E37" s="1">
        <v>5476.6</v>
      </c>
      <c r="F37" s="1">
        <v>678.2</v>
      </c>
      <c r="G37" s="1">
        <v>921</v>
      </c>
      <c r="H37" s="1">
        <v>0</v>
      </c>
      <c r="I37" s="1">
        <v>0</v>
      </c>
      <c r="J37" s="1">
        <v>34.76905</v>
      </c>
      <c r="K37" s="2">
        <f t="shared" ref="K37:K42" si="4">SUM(B37:J37)</f>
        <v>12329.757822820002</v>
      </c>
    </row>
    <row r="38" spans="1:12" ht="12" customHeight="1" x14ac:dyDescent="0.2">
      <c r="A38" s="1" t="s">
        <v>75</v>
      </c>
      <c r="B38" s="1">
        <v>161.23664392000001</v>
      </c>
      <c r="C38" s="1">
        <v>0</v>
      </c>
      <c r="E38" s="1">
        <v>135.5</v>
      </c>
      <c r="F38" s="1">
        <v>134.5</v>
      </c>
      <c r="G38" s="1">
        <v>256</v>
      </c>
      <c r="H38" s="1">
        <v>2.94</v>
      </c>
      <c r="I38" s="1">
        <v>0</v>
      </c>
      <c r="J38" s="1">
        <v>0</v>
      </c>
      <c r="K38" s="2">
        <f t="shared" si="4"/>
        <v>690.17664392000006</v>
      </c>
    </row>
    <row r="39" spans="1:12" ht="12" customHeight="1" x14ac:dyDescent="0.2">
      <c r="A39" s="1" t="s">
        <v>76</v>
      </c>
      <c r="B39" s="1">
        <v>137.64518751</v>
      </c>
      <c r="C39" s="1">
        <v>0</v>
      </c>
      <c r="D39" s="1">
        <v>25022.25853771</v>
      </c>
      <c r="E39" s="1">
        <f>63.4+3106</f>
        <v>3169.4</v>
      </c>
      <c r="F39" s="1">
        <v>30.9</v>
      </c>
      <c r="G39" s="1">
        <v>7673</v>
      </c>
      <c r="H39" s="1">
        <v>11.645</v>
      </c>
      <c r="I39" s="1">
        <v>0</v>
      </c>
      <c r="J39" s="1">
        <v>5717.6976050000003</v>
      </c>
      <c r="K39" s="2">
        <f t="shared" si="4"/>
        <v>41762.546330220001</v>
      </c>
    </row>
    <row r="40" spans="1:12" ht="12" customHeight="1" x14ac:dyDescent="0.2">
      <c r="A40" s="1" t="s">
        <v>77</v>
      </c>
      <c r="B40" s="1">
        <v>0</v>
      </c>
      <c r="C40" s="1">
        <v>0</v>
      </c>
      <c r="D40" s="1">
        <v>7714.3210937499998</v>
      </c>
      <c r="E40" s="1">
        <v>3895</v>
      </c>
      <c r="F40" s="1">
        <f>0.2+22.6+586.6</f>
        <v>609.4</v>
      </c>
      <c r="G40" s="1">
        <v>8419</v>
      </c>
      <c r="H40" s="1">
        <v>22.620999999999999</v>
      </c>
      <c r="I40" s="1">
        <v>2925.0633521899999</v>
      </c>
      <c r="J40" s="1">
        <v>12948.8027256</v>
      </c>
      <c r="K40" s="2">
        <f t="shared" si="4"/>
        <v>36534.208171539998</v>
      </c>
    </row>
    <row r="41" spans="1:12" ht="12" customHeight="1" x14ac:dyDescent="0.2">
      <c r="A41" s="1" t="s">
        <v>78</v>
      </c>
      <c r="B41" s="1">
        <v>0</v>
      </c>
      <c r="C41" s="1">
        <v>0</v>
      </c>
      <c r="D41" s="1">
        <v>52.990029</v>
      </c>
      <c r="E41" s="1">
        <v>0</v>
      </c>
      <c r="F41" s="1">
        <f>67.1</f>
        <v>67.099999999999994</v>
      </c>
      <c r="G41" s="1">
        <v>0</v>
      </c>
      <c r="H41" s="1">
        <v>0</v>
      </c>
      <c r="I41" s="1">
        <v>0</v>
      </c>
      <c r="J41" s="1">
        <v>8578.2983170000007</v>
      </c>
      <c r="K41" s="2">
        <f t="shared" si="4"/>
        <v>8698.3883460000015</v>
      </c>
    </row>
    <row r="42" spans="1:12" ht="12" customHeight="1" x14ac:dyDescent="0.2">
      <c r="A42" s="1" t="s">
        <v>79</v>
      </c>
      <c r="B42" s="1">
        <v>0</v>
      </c>
      <c r="C42" s="1">
        <v>207</v>
      </c>
      <c r="E42" s="1">
        <v>0</v>
      </c>
      <c r="F42" s="1">
        <v>2.1</v>
      </c>
      <c r="G42" s="1">
        <v>0</v>
      </c>
      <c r="H42" s="1">
        <v>61.055</v>
      </c>
      <c r="I42" s="1">
        <v>0</v>
      </c>
      <c r="J42" s="1">
        <v>829.90708099999995</v>
      </c>
      <c r="K42" s="2">
        <f t="shared" si="4"/>
        <v>1100.062081</v>
      </c>
    </row>
    <row r="43" spans="1:12" ht="12" customHeight="1" x14ac:dyDescent="0.2"/>
    <row r="44" spans="1:12" s="2" customFormat="1" ht="12" customHeight="1" x14ac:dyDescent="0.2">
      <c r="A44" s="7" t="s">
        <v>12</v>
      </c>
      <c r="B44" s="2">
        <f>SUM(B37:B42)</f>
        <v>796.32888025</v>
      </c>
      <c r="C44" s="2">
        <f t="shared" ref="C44:J44" si="5">SUM(C37:C42)</f>
        <v>2769</v>
      </c>
      <c r="D44" s="2">
        <f t="shared" si="5"/>
        <v>34949.311384460001</v>
      </c>
      <c r="E44" s="2">
        <f t="shared" si="5"/>
        <v>12676.5</v>
      </c>
      <c r="F44" s="2">
        <f t="shared" si="5"/>
        <v>1522.1999999999998</v>
      </c>
      <c r="G44" s="2">
        <f t="shared" si="5"/>
        <v>17269</v>
      </c>
      <c r="H44" s="2">
        <f t="shared" si="5"/>
        <v>98.260999999999996</v>
      </c>
      <c r="I44" s="2">
        <f t="shared" si="5"/>
        <v>2925.0633521899999</v>
      </c>
      <c r="J44" s="2">
        <f t="shared" si="5"/>
        <v>28109.474778600004</v>
      </c>
      <c r="K44" s="2">
        <f>SUM(B44:J44)</f>
        <v>101115.13939550001</v>
      </c>
      <c r="L44" s="34"/>
    </row>
    <row r="45" spans="1:12" ht="12" customHeight="1" x14ac:dyDescent="0.2"/>
    <row r="46" spans="1:12" ht="12" customHeight="1" x14ac:dyDescent="0.2">
      <c r="A46" s="2" t="s">
        <v>45</v>
      </c>
    </row>
    <row r="47" spans="1:12" ht="12" customHeight="1" x14ac:dyDescent="0.2"/>
    <row r="48" spans="1:12" ht="12" customHeight="1" x14ac:dyDescent="0.2">
      <c r="A48" s="1" t="s">
        <v>46</v>
      </c>
      <c r="B48" s="1">
        <v>11942.08725364</v>
      </c>
      <c r="C48" s="1">
        <v>20815</v>
      </c>
      <c r="D48" s="1">
        <v>61264.643698079999</v>
      </c>
      <c r="E48" s="1">
        <v>43900.32</v>
      </c>
      <c r="F48" s="1">
        <v>10034.5</v>
      </c>
      <c r="G48" s="1">
        <v>40412</v>
      </c>
      <c r="H48" s="1">
        <v>28413.823</v>
      </c>
      <c r="I48" s="1">
        <v>18289.260408720002</v>
      </c>
      <c r="J48" s="1">
        <f>31923.13892159+203.78943599+10407.88383226+335.05713332</f>
        <v>42869.869323159997</v>
      </c>
      <c r="K48" s="2">
        <f>SUM(B48:J48)</f>
        <v>277941.50368359999</v>
      </c>
    </row>
    <row r="49" spans="1:12" ht="12" customHeight="1" x14ac:dyDescent="0.2">
      <c r="A49" s="1" t="s">
        <v>47</v>
      </c>
      <c r="B49" s="1">
        <v>961.00260610999999</v>
      </c>
      <c r="C49" s="1">
        <v>0</v>
      </c>
      <c r="E49" s="1">
        <v>1401.64</v>
      </c>
      <c r="F49" s="1">
        <v>421.8</v>
      </c>
      <c r="G49" s="1">
        <v>957</v>
      </c>
      <c r="H49" s="1">
        <v>902.55100000000004</v>
      </c>
      <c r="I49" s="1">
        <v>44.201739850000003</v>
      </c>
      <c r="K49" s="2">
        <f>SUM(B49:J49)</f>
        <v>4688.1953459600009</v>
      </c>
    </row>
    <row r="50" spans="1:12" ht="12" customHeight="1" x14ac:dyDescent="0.2"/>
    <row r="51" spans="1:12" s="2" customFormat="1" ht="12" customHeight="1" x14ac:dyDescent="0.2">
      <c r="A51" s="7" t="s">
        <v>12</v>
      </c>
      <c r="B51" s="2">
        <f>SUM(B48:B49)</f>
        <v>12903.08985975</v>
      </c>
      <c r="C51" s="2">
        <f t="shared" ref="C51:J51" si="6">SUM(C48:C49)</f>
        <v>20815</v>
      </c>
      <c r="D51" s="2">
        <f t="shared" si="6"/>
        <v>61264.643698079999</v>
      </c>
      <c r="E51" s="2">
        <f t="shared" si="6"/>
        <v>45301.96</v>
      </c>
      <c r="F51" s="2">
        <f t="shared" si="6"/>
        <v>10456.299999999999</v>
      </c>
      <c r="G51" s="2">
        <f t="shared" si="6"/>
        <v>41369</v>
      </c>
      <c r="H51" s="2">
        <f t="shared" si="6"/>
        <v>29316.374</v>
      </c>
      <c r="I51" s="2">
        <f t="shared" si="6"/>
        <v>18333.462148570001</v>
      </c>
      <c r="J51" s="2">
        <f t="shared" si="6"/>
        <v>42869.869323159997</v>
      </c>
      <c r="K51" s="2">
        <f>SUM(B51:J51)</f>
        <v>282629.69902955997</v>
      </c>
      <c r="L51" s="34"/>
    </row>
    <row r="52" spans="1:12" ht="12" customHeight="1" x14ac:dyDescent="0.2"/>
    <row r="53" spans="1:12" s="2" customFormat="1" ht="12" customHeight="1" x14ac:dyDescent="0.2">
      <c r="A53" s="2" t="s">
        <v>48</v>
      </c>
      <c r="B53" s="2">
        <v>583.99213669000005</v>
      </c>
      <c r="C53" s="2">
        <v>479</v>
      </c>
      <c r="D53" s="2">
        <v>2621.373</v>
      </c>
      <c r="E53" s="2">
        <f>957.17+472.89</f>
        <v>1430.06</v>
      </c>
      <c r="F53" s="2">
        <v>923.2</v>
      </c>
      <c r="G53" s="2">
        <v>2723</v>
      </c>
      <c r="H53" s="2">
        <v>3.3</v>
      </c>
      <c r="I53" s="2">
        <v>0</v>
      </c>
      <c r="J53" s="2">
        <v>4811.3555869299998</v>
      </c>
      <c r="K53" s="2">
        <f>SUM(B53:J53)</f>
        <v>13575.280723619999</v>
      </c>
      <c r="L53" s="34">
        <v>583.99213669000005</v>
      </c>
    </row>
    <row r="54" spans="1:12" ht="12" customHeight="1" x14ac:dyDescent="0.2"/>
    <row r="55" spans="1:12" ht="12" customHeight="1" x14ac:dyDescent="0.2">
      <c r="A55" s="2" t="s">
        <v>49</v>
      </c>
    </row>
    <row r="56" spans="1:12" ht="12" customHeight="1" x14ac:dyDescent="0.2"/>
    <row r="57" spans="1:12" ht="12" customHeight="1" x14ac:dyDescent="0.2">
      <c r="A57" s="1" t="s">
        <v>50</v>
      </c>
      <c r="B57" s="26">
        <v>704.21678367000004</v>
      </c>
      <c r="C57" s="24">
        <f>1585.15+9.184</f>
        <v>1594.3340000000001</v>
      </c>
      <c r="D57" s="1">
        <f>4069.7621008-14.1821008</f>
        <v>4055.58</v>
      </c>
      <c r="E57" s="1">
        <v>3966.87</v>
      </c>
      <c r="F57" s="1">
        <f>1506.75+3.18</f>
        <v>1509.93</v>
      </c>
      <c r="G57" s="1">
        <v>3394.9940000000001</v>
      </c>
      <c r="H57" s="1">
        <v>1872.528</v>
      </c>
      <c r="I57" s="1">
        <v>1020.364</v>
      </c>
      <c r="J57" s="1">
        <f>6477.8+55.408</f>
        <v>6533.2080000000005</v>
      </c>
      <c r="K57" s="2">
        <f t="shared" ref="K57:K67" si="7">SUM(B57:J57)</f>
        <v>24652.02478367</v>
      </c>
      <c r="L57" s="26">
        <v>704.21678367000004</v>
      </c>
    </row>
    <row r="58" spans="1:12" ht="12" customHeight="1" x14ac:dyDescent="0.2">
      <c r="A58" s="1" t="s">
        <v>80</v>
      </c>
      <c r="C58" s="1">
        <v>5.5746167800000004</v>
      </c>
      <c r="D58" s="1">
        <f>14.182</f>
        <v>14.182</v>
      </c>
      <c r="F58" s="1">
        <v>5.3</v>
      </c>
      <c r="G58" s="1">
        <v>12</v>
      </c>
      <c r="I58" s="22">
        <v>3.5670654499999999</v>
      </c>
      <c r="J58" s="1">
        <v>22.780968720000001</v>
      </c>
      <c r="K58" s="2">
        <f t="shared" si="7"/>
        <v>63.404650950000004</v>
      </c>
    </row>
    <row r="59" spans="1:12" ht="12" customHeight="1" x14ac:dyDescent="0.2">
      <c r="A59" s="1" t="s">
        <v>81</v>
      </c>
      <c r="B59" s="1">
        <v>0</v>
      </c>
      <c r="C59" s="1">
        <f>120</f>
        <v>120</v>
      </c>
      <c r="D59" s="1">
        <f>764</f>
        <v>764</v>
      </c>
      <c r="E59" s="31">
        <f>661.14-703</f>
        <v>-41.860000000000014</v>
      </c>
      <c r="F59" s="1">
        <f>138.2</f>
        <v>138.19999999999999</v>
      </c>
      <c r="G59" s="1">
        <v>0</v>
      </c>
      <c r="H59" s="1">
        <v>141</v>
      </c>
      <c r="I59" s="22">
        <v>206.374</v>
      </c>
      <c r="J59" s="1">
        <v>0</v>
      </c>
      <c r="K59" s="2">
        <f t="shared" si="7"/>
        <v>1327.7139999999999</v>
      </c>
      <c r="L59" s="1">
        <v>0</v>
      </c>
    </row>
    <row r="60" spans="1:12" ht="12" customHeight="1" x14ac:dyDescent="0.2">
      <c r="A60" s="1" t="s">
        <v>52</v>
      </c>
      <c r="B60" s="1">
        <v>19.131482009999999</v>
      </c>
      <c r="C60" s="1">
        <v>25</v>
      </c>
      <c r="D60" s="1">
        <v>22.308799220000001</v>
      </c>
      <c r="E60" s="1">
        <v>0</v>
      </c>
      <c r="F60" s="1">
        <v>15.97</v>
      </c>
      <c r="G60" s="1">
        <v>86</v>
      </c>
      <c r="H60" s="1">
        <v>1.6950000000000001</v>
      </c>
      <c r="I60" s="1">
        <v>0</v>
      </c>
      <c r="J60" s="1">
        <v>0</v>
      </c>
      <c r="K60" s="2">
        <f t="shared" si="7"/>
        <v>170.10528123</v>
      </c>
      <c r="L60" s="1">
        <v>19.131482009999999</v>
      </c>
    </row>
    <row r="61" spans="1:12" ht="12" customHeight="1" x14ac:dyDescent="0.2">
      <c r="A61" s="1" t="s">
        <v>53</v>
      </c>
      <c r="B61" s="1">
        <v>231.94054896</v>
      </c>
      <c r="C61" s="1">
        <v>849</v>
      </c>
      <c r="D61" s="1">
        <v>1241.8752456699999</v>
      </c>
      <c r="E61" s="31">
        <f>1587.47+703</f>
        <v>2290.4700000000003</v>
      </c>
      <c r="F61" s="1">
        <f>71.14+262.84+58.5+151.78+3.33+0.53</f>
        <v>548.12</v>
      </c>
      <c r="G61" s="1">
        <v>1513</v>
      </c>
      <c r="H61" s="1">
        <v>1063.8320000000001</v>
      </c>
      <c r="I61" s="1">
        <v>481.11884659999998</v>
      </c>
      <c r="J61" s="1">
        <v>1440.3005175000001</v>
      </c>
      <c r="K61" s="2">
        <f t="shared" si="7"/>
        <v>9659.6571587300004</v>
      </c>
      <c r="L61" s="1">
        <v>231.94054896</v>
      </c>
    </row>
    <row r="62" spans="1:12" ht="12" customHeight="1" x14ac:dyDescent="0.2">
      <c r="A62" s="1" t="s">
        <v>60</v>
      </c>
      <c r="E62" s="1">
        <f>-(686.9+15.9+44.4)</f>
        <v>-747.19999999999993</v>
      </c>
      <c r="K62" s="2">
        <f t="shared" si="7"/>
        <v>-747.19999999999993</v>
      </c>
    </row>
    <row r="63" spans="1:12" s="2" customFormat="1" ht="12" customHeight="1" x14ac:dyDescent="0.2">
      <c r="A63" s="2" t="s">
        <v>12</v>
      </c>
      <c r="B63" s="2">
        <f>SUM(B57:B62)</f>
        <v>955.28881464000006</v>
      </c>
      <c r="C63" s="2">
        <f t="shared" ref="C63:J63" si="8">SUM(C57:C62)</f>
        <v>2593.9086167800001</v>
      </c>
      <c r="D63" s="2">
        <f t="shared" si="8"/>
        <v>6097.946044889999</v>
      </c>
      <c r="E63" s="2">
        <f t="shared" si="8"/>
        <v>5468.28</v>
      </c>
      <c r="F63" s="2">
        <f t="shared" si="8"/>
        <v>2217.52</v>
      </c>
      <c r="G63" s="2">
        <f t="shared" si="8"/>
        <v>5005.9940000000006</v>
      </c>
      <c r="H63" s="2">
        <f t="shared" si="8"/>
        <v>3079.0550000000003</v>
      </c>
      <c r="I63" s="2">
        <f t="shared" si="8"/>
        <v>1711.4239120500001</v>
      </c>
      <c r="J63" s="2">
        <f t="shared" si="8"/>
        <v>7996.2894862200001</v>
      </c>
      <c r="K63" s="2">
        <f t="shared" si="7"/>
        <v>35125.705874579995</v>
      </c>
      <c r="L63" s="34">
        <f>SUM(L57:L61)</f>
        <v>955.28881464000006</v>
      </c>
    </row>
    <row r="64" spans="1:12" ht="12" customHeight="1" x14ac:dyDescent="0.2">
      <c r="K64" s="1"/>
    </row>
    <row r="65" spans="1:12" ht="12" customHeight="1" x14ac:dyDescent="0.2">
      <c r="A65" s="1" t="s">
        <v>42</v>
      </c>
      <c r="B65" s="1">
        <f t="shared" ref="B65:J65" si="9">B30</f>
        <v>847.18522670999994</v>
      </c>
      <c r="C65" s="1">
        <f t="shared" si="9"/>
        <v>2641</v>
      </c>
      <c r="D65" s="1">
        <f t="shared" si="9"/>
        <v>4412.7170162000002</v>
      </c>
      <c r="E65" s="1">
        <f t="shared" si="9"/>
        <v>5850.7999999999993</v>
      </c>
      <c r="F65" s="1">
        <f t="shared" si="9"/>
        <v>2369.54</v>
      </c>
      <c r="G65" s="1">
        <f t="shared" si="9"/>
        <v>4548</v>
      </c>
      <c r="H65" s="1">
        <f t="shared" si="9"/>
        <v>2943.5620000000004</v>
      </c>
      <c r="I65" s="1">
        <f t="shared" si="9"/>
        <v>1798.52025207</v>
      </c>
      <c r="J65" s="1">
        <f t="shared" si="9"/>
        <v>7215.6332779999993</v>
      </c>
      <c r="K65" s="2">
        <f t="shared" si="7"/>
        <v>32626.95777298</v>
      </c>
      <c r="L65" s="1">
        <f>L30</f>
        <v>720.89943619000007</v>
      </c>
    </row>
    <row r="66" spans="1:12" ht="12" customHeight="1" x14ac:dyDescent="0.2"/>
    <row r="67" spans="1:12" s="2" customFormat="1" ht="12" customHeight="1" x14ac:dyDescent="0.2">
      <c r="A67" s="7" t="s">
        <v>54</v>
      </c>
      <c r="B67" s="8">
        <f>SUM(B57:B61)-B65</f>
        <v>108.10358793000012</v>
      </c>
      <c r="C67" s="8">
        <f t="shared" ref="C67:J67" si="10">SUM(C57:C61)-C65</f>
        <v>-47.091383219999898</v>
      </c>
      <c r="D67" s="8">
        <f t="shared" si="10"/>
        <v>1685.2290286899988</v>
      </c>
      <c r="E67" s="8">
        <f t="shared" si="10"/>
        <v>364.68000000000029</v>
      </c>
      <c r="F67" s="8">
        <f t="shared" si="10"/>
        <v>-152.01999999999998</v>
      </c>
      <c r="G67" s="8">
        <f t="shared" si="10"/>
        <v>457.9940000000006</v>
      </c>
      <c r="H67" s="8">
        <f t="shared" si="10"/>
        <v>135.49299999999994</v>
      </c>
      <c r="I67" s="8">
        <f t="shared" si="10"/>
        <v>-87.096340019999843</v>
      </c>
      <c r="J67" s="8">
        <f t="shared" si="10"/>
        <v>780.65620822000074</v>
      </c>
      <c r="K67" s="8">
        <f t="shared" si="7"/>
        <v>3245.9481016000009</v>
      </c>
      <c r="L67" s="151">
        <f>SUM(L57:L61)-L65</f>
        <v>234.38937844999998</v>
      </c>
    </row>
    <row r="68" spans="1:12" s="2" customFormat="1" ht="12" customHeight="1" x14ac:dyDescent="0.2">
      <c r="A68" s="7"/>
      <c r="B68" s="8"/>
      <c r="C68" s="8"/>
      <c r="D68" s="8"/>
      <c r="E68" s="8"/>
      <c r="F68" s="8"/>
      <c r="G68" s="8"/>
      <c r="H68" s="8"/>
      <c r="I68" s="8"/>
      <c r="J68" s="8"/>
      <c r="K68" s="8"/>
      <c r="L68" s="151"/>
    </row>
    <row r="69" spans="1:12" ht="12" customHeight="1" x14ac:dyDescent="0.2">
      <c r="A69" s="1" t="s">
        <v>82</v>
      </c>
    </row>
    <row r="70" spans="1:12" ht="12" customHeight="1" x14ac:dyDescent="0.2">
      <c r="A70" s="1" t="s">
        <v>83</v>
      </c>
    </row>
    <row r="71" spans="1:12" ht="12" customHeight="1" x14ac:dyDescent="0.2">
      <c r="A71" s="1" t="s">
        <v>61</v>
      </c>
    </row>
    <row r="72" spans="1:12" ht="12" customHeight="1" x14ac:dyDescent="0.2">
      <c r="A72" s="1" t="s">
        <v>84</v>
      </c>
    </row>
    <row r="73" spans="1:12" ht="12" customHeight="1" x14ac:dyDescent="0.2">
      <c r="A73" s="1" t="s">
        <v>85</v>
      </c>
    </row>
    <row r="74" spans="1:12" ht="12" customHeight="1" x14ac:dyDescent="0.2">
      <c r="A74" s="1" t="s">
        <v>55</v>
      </c>
    </row>
    <row r="75" spans="1:12" x14ac:dyDescent="0.2">
      <c r="L75" s="89"/>
    </row>
    <row r="76" spans="1:12" x14ac:dyDescent="0.2">
      <c r="L76" s="89"/>
    </row>
    <row r="77" spans="1:12" x14ac:dyDescent="0.2">
      <c r="L77" s="89"/>
    </row>
    <row r="78" spans="1:12" x14ac:dyDescent="0.2">
      <c r="L78" s="89"/>
    </row>
    <row r="79" spans="1:12" x14ac:dyDescent="0.2">
      <c r="L79" s="89"/>
    </row>
    <row r="80" spans="1:12" x14ac:dyDescent="0.2">
      <c r="L80" s="89"/>
    </row>
    <row r="81" spans="12:12" x14ac:dyDescent="0.2">
      <c r="L81" s="92"/>
    </row>
    <row r="82" spans="12:12" x14ac:dyDescent="0.2">
      <c r="L82" s="92"/>
    </row>
    <row r="83" spans="12:12" x14ac:dyDescent="0.2">
      <c r="L83" s="92"/>
    </row>
  </sheetData>
  <phoneticPr fontId="0" type="noConversion"/>
  <printOptions horizontalCentered="1"/>
  <pageMargins left="0.39370078740157483" right="0.39370078740157483" top="0.39370078740157483" bottom="0.19685039370078741" header="0.51181102362204722" footer="0.19685039370078741"/>
  <pageSetup paperSize="9" scale="90" orientation="landscape" horizontalDpi="4294967292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5"/>
  <sheetViews>
    <sheetView workbookViewId="0">
      <pane xSplit="1" ySplit="4" topLeftCell="B5" activePane="bottomRight" state="frozenSplit"/>
      <selection pane="topRight" activeCell="E62" sqref="E62"/>
      <selection pane="bottomLeft" activeCell="A53" sqref="A53"/>
      <selection pane="bottomRight" activeCell="B5" sqref="B5"/>
    </sheetView>
  </sheetViews>
  <sheetFormatPr baseColWidth="10" defaultRowHeight="12.75" x14ac:dyDescent="0.2"/>
  <cols>
    <col min="1" max="1" width="38.28515625" style="1" customWidth="1"/>
    <col min="2" max="10" width="11.42578125" style="1"/>
    <col min="11" max="11" width="11.42578125" style="2"/>
    <col min="12" max="16384" width="11.42578125" style="1"/>
  </cols>
  <sheetData>
    <row r="1" spans="1:11" x14ac:dyDescent="0.2">
      <c r="A1" s="2" t="s">
        <v>86</v>
      </c>
    </row>
    <row r="2" spans="1:11" x14ac:dyDescent="0.2">
      <c r="A2" s="1" t="s">
        <v>40</v>
      </c>
    </row>
    <row r="4" spans="1:11" s="3" customFormat="1" x14ac:dyDescent="0.2">
      <c r="A4" s="5"/>
      <c r="B4" s="3" t="s">
        <v>3</v>
      </c>
      <c r="C4" s="3" t="s">
        <v>4</v>
      </c>
      <c r="D4" s="3" t="s">
        <v>5</v>
      </c>
      <c r="E4" s="3" t="s">
        <v>6</v>
      </c>
      <c r="F4" s="3" t="s">
        <v>7</v>
      </c>
      <c r="G4" s="3" t="s">
        <v>8</v>
      </c>
      <c r="H4" s="3" t="s">
        <v>9</v>
      </c>
      <c r="I4" s="3" t="s">
        <v>10</v>
      </c>
      <c r="J4" s="3" t="s">
        <v>87</v>
      </c>
      <c r="K4" s="4" t="s">
        <v>12</v>
      </c>
    </row>
    <row r="6" spans="1:11" ht="15.75" x14ac:dyDescent="0.25">
      <c r="A6" s="6" t="s">
        <v>42</v>
      </c>
    </row>
    <row r="8" spans="1:11" x14ac:dyDescent="0.2">
      <c r="A8" s="2" t="s">
        <v>13</v>
      </c>
    </row>
    <row r="10" spans="1:11" x14ac:dyDescent="0.2">
      <c r="A10" s="1" t="s">
        <v>66</v>
      </c>
      <c r="B10" s="1">
        <v>537.06575228999998</v>
      </c>
      <c r="C10" s="1">
        <v>1979</v>
      </c>
      <c r="D10" s="1">
        <v>2690.9292779299999</v>
      </c>
      <c r="E10" s="1">
        <v>4089</v>
      </c>
      <c r="F10" s="1">
        <v>988.97</v>
      </c>
      <c r="G10" s="1">
        <v>1359</v>
      </c>
      <c r="H10" s="1">
        <v>1908.0989999999999</v>
      </c>
      <c r="I10" s="1">
        <v>1113.2359302499999</v>
      </c>
      <c r="J10" s="1">
        <v>722.21204999999998</v>
      </c>
      <c r="K10" s="2">
        <f t="shared" ref="K10:K15" si="0">SUM(B10:J10)</f>
        <v>15387.512010469998</v>
      </c>
    </row>
    <row r="11" spans="1:11" x14ac:dyDescent="0.2">
      <c r="A11" s="1" t="s">
        <v>67</v>
      </c>
      <c r="B11" s="1">
        <v>0</v>
      </c>
      <c r="C11" s="1">
        <v>28</v>
      </c>
      <c r="D11" s="1">
        <v>0.316</v>
      </c>
      <c r="E11" s="1">
        <v>0</v>
      </c>
      <c r="F11" s="1">
        <v>0</v>
      </c>
      <c r="G11" s="1">
        <v>0</v>
      </c>
      <c r="H11" s="1">
        <v>12.548</v>
      </c>
      <c r="I11" s="1">
        <v>0</v>
      </c>
      <c r="J11" s="1">
        <v>279.56059299999998</v>
      </c>
      <c r="K11" s="2">
        <f t="shared" si="0"/>
        <v>320.42459299999996</v>
      </c>
    </row>
    <row r="12" spans="1:11" x14ac:dyDescent="0.2">
      <c r="A12" s="1" t="s">
        <v>68</v>
      </c>
      <c r="B12" s="1">
        <v>22.818083250000001</v>
      </c>
      <c r="C12" s="1">
        <v>49</v>
      </c>
      <c r="D12" s="1">
        <v>632.83994853000002</v>
      </c>
      <c r="E12" s="1">
        <f>23+461</f>
        <v>484</v>
      </c>
      <c r="F12" s="1">
        <f>356.14+767.33</f>
        <v>1123.47</v>
      </c>
      <c r="G12" s="1">
        <v>719</v>
      </c>
      <c r="H12" s="1">
        <v>58.423999999999999</v>
      </c>
      <c r="I12" s="1">
        <v>139.65982811000001</v>
      </c>
      <c r="J12" s="1">
        <v>1198.36854604</v>
      </c>
      <c r="K12" s="2">
        <f t="shared" si="0"/>
        <v>4427.5804059299999</v>
      </c>
    </row>
    <row r="13" spans="1:11" x14ac:dyDescent="0.2">
      <c r="A13" t="s">
        <v>69</v>
      </c>
      <c r="B13" s="1">
        <v>6.12979538</v>
      </c>
      <c r="C13" s="1">
        <v>0</v>
      </c>
      <c r="D13" s="1">
        <v>227.98376239000001</v>
      </c>
      <c r="E13" s="1">
        <v>10</v>
      </c>
      <c r="F13" s="1">
        <v>19.149999999999999</v>
      </c>
      <c r="G13" s="1">
        <v>166</v>
      </c>
      <c r="H13" s="1">
        <v>235.32900000000001</v>
      </c>
      <c r="I13" s="1">
        <v>0</v>
      </c>
      <c r="J13" s="1">
        <v>4332.4194748899999</v>
      </c>
      <c r="K13" s="2">
        <f t="shared" si="0"/>
        <v>4997.0120326599999</v>
      </c>
    </row>
    <row r="14" spans="1:11" x14ac:dyDescent="0.2">
      <c r="A14" s="1" t="s">
        <v>70</v>
      </c>
      <c r="B14" s="1">
        <v>0</v>
      </c>
      <c r="C14" s="1">
        <v>0</v>
      </c>
      <c r="D14" s="1">
        <v>0</v>
      </c>
      <c r="E14" s="1">
        <v>0</v>
      </c>
      <c r="F14" s="1">
        <v>0</v>
      </c>
      <c r="G14" s="1">
        <v>0</v>
      </c>
      <c r="H14" s="1">
        <v>0</v>
      </c>
      <c r="I14" s="1">
        <v>0</v>
      </c>
      <c r="J14" s="1">
        <v>0</v>
      </c>
      <c r="K14" s="2">
        <f t="shared" si="0"/>
        <v>0</v>
      </c>
    </row>
    <row r="15" spans="1:11" x14ac:dyDescent="0.2">
      <c r="A15" s="1" t="s">
        <v>71</v>
      </c>
      <c r="B15" s="1">
        <v>1.1912100000000001</v>
      </c>
      <c r="C15" s="1">
        <v>76</v>
      </c>
      <c r="D15" s="1">
        <f>40.587219+55.15993535</f>
        <v>95.747154349999988</v>
      </c>
      <c r="E15" s="1">
        <f>157+73+401</f>
        <v>631</v>
      </c>
      <c r="F15" s="1">
        <v>114.1</v>
      </c>
      <c r="G15" s="1">
        <f>103+274</f>
        <v>377</v>
      </c>
      <c r="H15" s="1">
        <v>116.58799999999999</v>
      </c>
      <c r="I15" s="1">
        <f>19.580653+9.839073+74.819888</f>
        <v>104.23961400000002</v>
      </c>
      <c r="J15" s="1">
        <v>370.07226400000002</v>
      </c>
      <c r="K15" s="2">
        <f t="shared" si="0"/>
        <v>1885.9382423500001</v>
      </c>
    </row>
    <row r="17" spans="1:11" s="7" customFormat="1" x14ac:dyDescent="0.2">
      <c r="A17" s="7" t="s">
        <v>12</v>
      </c>
      <c r="B17" s="7">
        <f t="shared" ref="B17:J17" si="1">SUM(B10:B15)</f>
        <v>567.20484091999992</v>
      </c>
      <c r="C17" s="7">
        <f t="shared" si="1"/>
        <v>2132</v>
      </c>
      <c r="D17" s="7">
        <f t="shared" si="1"/>
        <v>3647.8161431999997</v>
      </c>
      <c r="E17" s="7">
        <f t="shared" si="1"/>
        <v>5214</v>
      </c>
      <c r="F17" s="7">
        <f t="shared" si="1"/>
        <v>2245.69</v>
      </c>
      <c r="G17" s="7">
        <f t="shared" si="1"/>
        <v>2621</v>
      </c>
      <c r="H17" s="7">
        <f t="shared" si="1"/>
        <v>2330.9880000000003</v>
      </c>
      <c r="I17" s="28">
        <f t="shared" si="1"/>
        <v>1357.13537236</v>
      </c>
      <c r="J17" s="7">
        <f t="shared" si="1"/>
        <v>6902.6329279300007</v>
      </c>
      <c r="K17" s="2">
        <f>SUM(B17:J17)</f>
        <v>27018.467284410002</v>
      </c>
    </row>
    <row r="20" spans="1:11" x14ac:dyDescent="0.2">
      <c r="A20" s="2" t="s">
        <v>14</v>
      </c>
    </row>
    <row r="22" spans="1:11" x14ac:dyDescent="0.2">
      <c r="A22" s="1" t="s">
        <v>72</v>
      </c>
      <c r="B22" s="1">
        <v>100.6</v>
      </c>
      <c r="C22" s="1">
        <v>0</v>
      </c>
      <c r="D22" s="1">
        <v>10.91</v>
      </c>
      <c r="E22" s="1">
        <v>60</v>
      </c>
      <c r="F22" s="1">
        <v>73.89</v>
      </c>
      <c r="G22" s="1">
        <v>425</v>
      </c>
      <c r="H22" s="1">
        <v>2.1619999999999999</v>
      </c>
      <c r="I22" s="1">
        <v>0</v>
      </c>
      <c r="J22" s="1">
        <v>0</v>
      </c>
      <c r="K22" s="2">
        <f>SUM(B22:J22)</f>
        <v>672.56200000000001</v>
      </c>
    </row>
    <row r="23" spans="1:11" x14ac:dyDescent="0.2">
      <c r="A23" s="1" t="s">
        <v>68</v>
      </c>
      <c r="B23" s="1">
        <v>0</v>
      </c>
      <c r="C23" s="1">
        <v>39</v>
      </c>
      <c r="D23" s="1">
        <v>1000.41791176</v>
      </c>
      <c r="E23" s="1">
        <v>562</v>
      </c>
      <c r="F23" s="1">
        <f>9.46+90.69</f>
        <v>100.15</v>
      </c>
      <c r="G23" s="1">
        <v>1157</v>
      </c>
      <c r="H23" s="1">
        <v>307.12799999999999</v>
      </c>
      <c r="I23" s="1">
        <v>323.51117263999998</v>
      </c>
      <c r="J23" s="1">
        <v>2045.46444557</v>
      </c>
      <c r="K23" s="2">
        <f>SUM(B23:J23)</f>
        <v>5534.6715299700008</v>
      </c>
    </row>
    <row r="24" spans="1:11" x14ac:dyDescent="0.2">
      <c r="A24" t="s">
        <v>69</v>
      </c>
      <c r="B24" s="1">
        <v>0</v>
      </c>
      <c r="C24" s="1">
        <v>97</v>
      </c>
      <c r="D24" s="1">
        <v>8.2608940000000004</v>
      </c>
      <c r="E24" s="1">
        <v>0</v>
      </c>
      <c r="F24" s="1">
        <v>1.36</v>
      </c>
      <c r="G24" s="1">
        <v>306</v>
      </c>
      <c r="H24" s="1">
        <v>164.82900000000001</v>
      </c>
      <c r="I24" s="1">
        <v>0</v>
      </c>
      <c r="J24" s="1">
        <v>554.75690899999995</v>
      </c>
      <c r="K24" s="2">
        <f>SUM(B24:J24)</f>
        <v>1132.206803</v>
      </c>
    </row>
    <row r="25" spans="1:11" x14ac:dyDescent="0.2">
      <c r="A25" s="1" t="s">
        <v>70</v>
      </c>
      <c r="B25" s="1">
        <v>0</v>
      </c>
      <c r="C25" s="1">
        <v>0</v>
      </c>
      <c r="D25" s="1">
        <v>0</v>
      </c>
      <c r="E25" s="1">
        <v>0</v>
      </c>
      <c r="F25" s="1">
        <v>0</v>
      </c>
      <c r="G25" s="1">
        <v>0</v>
      </c>
      <c r="H25" s="1">
        <v>0.52200000000000002</v>
      </c>
      <c r="I25" s="1">
        <v>0</v>
      </c>
      <c r="J25" s="1">
        <v>4.3224860700000001</v>
      </c>
      <c r="K25" s="2">
        <f>SUM(B25:J25)</f>
        <v>4.8444860700000003</v>
      </c>
    </row>
    <row r="26" spans="1:11" x14ac:dyDescent="0.2">
      <c r="A26" s="1" t="s">
        <v>71</v>
      </c>
      <c r="B26" s="1">
        <v>0</v>
      </c>
      <c r="C26" s="1">
        <v>0</v>
      </c>
      <c r="D26" s="1">
        <f>22.314699+4.91163</f>
        <v>27.226329</v>
      </c>
      <c r="E26" s="1">
        <f>16+12+4+0</f>
        <v>32</v>
      </c>
      <c r="F26" s="1">
        <v>1.35</v>
      </c>
      <c r="G26" s="1">
        <f>4+326</f>
        <v>330</v>
      </c>
      <c r="H26" s="1">
        <v>0.72299999999999998</v>
      </c>
      <c r="I26" s="1">
        <v>0</v>
      </c>
      <c r="J26" s="1">
        <v>16.019486000000001</v>
      </c>
      <c r="K26" s="2">
        <f>SUM(B26:J26)</f>
        <v>407.31881499999997</v>
      </c>
    </row>
    <row r="28" spans="1:11" s="7" customFormat="1" x14ac:dyDescent="0.2">
      <c r="A28" s="7" t="s">
        <v>12</v>
      </c>
      <c r="B28" s="7">
        <f t="shared" ref="B28:J28" si="2">SUM(B22:B26)</f>
        <v>100.6</v>
      </c>
      <c r="C28" s="7">
        <f t="shared" si="2"/>
        <v>136</v>
      </c>
      <c r="D28" s="7">
        <f t="shared" si="2"/>
        <v>1046.8151347600001</v>
      </c>
      <c r="E28" s="7">
        <f t="shared" si="2"/>
        <v>654</v>
      </c>
      <c r="F28" s="7">
        <f t="shared" si="2"/>
        <v>176.75000000000003</v>
      </c>
      <c r="G28" s="7">
        <f t="shared" si="2"/>
        <v>2218</v>
      </c>
      <c r="H28" s="7">
        <f t="shared" si="2"/>
        <v>475.36399999999998</v>
      </c>
      <c r="I28" s="7">
        <f t="shared" si="2"/>
        <v>323.51117263999998</v>
      </c>
      <c r="J28" s="7">
        <f t="shared" si="2"/>
        <v>2620.56332664</v>
      </c>
      <c r="K28" s="2">
        <f>SUM(B28:J28)</f>
        <v>7751.6036340399996</v>
      </c>
    </row>
    <row r="30" spans="1:11" s="2" customFormat="1" x14ac:dyDescent="0.2">
      <c r="A30" s="7" t="s">
        <v>43</v>
      </c>
      <c r="B30" s="2">
        <f t="shared" ref="B30:J30" si="3">B17+B28</f>
        <v>667.80484091999995</v>
      </c>
      <c r="C30" s="2">
        <f t="shared" si="3"/>
        <v>2268</v>
      </c>
      <c r="D30" s="2">
        <f t="shared" si="3"/>
        <v>4694.6312779599994</v>
      </c>
      <c r="E30" s="2">
        <f t="shared" si="3"/>
        <v>5868</v>
      </c>
      <c r="F30" s="2">
        <f t="shared" si="3"/>
        <v>2422.44</v>
      </c>
      <c r="G30" s="2">
        <f t="shared" si="3"/>
        <v>4839</v>
      </c>
      <c r="H30" s="2">
        <f t="shared" si="3"/>
        <v>2806.3520000000003</v>
      </c>
      <c r="I30" s="2">
        <f t="shared" si="3"/>
        <v>1680.6465450000001</v>
      </c>
      <c r="J30" s="2">
        <f t="shared" si="3"/>
        <v>9523.1962545700007</v>
      </c>
      <c r="K30" s="2">
        <f>SUM(B30:J30)</f>
        <v>34770.070918450001</v>
      </c>
    </row>
    <row r="33" spans="1:11" ht="15" customHeight="1" x14ac:dyDescent="0.25">
      <c r="A33" s="6" t="s">
        <v>44</v>
      </c>
    </row>
    <row r="34" spans="1:11" ht="12" customHeight="1" x14ac:dyDescent="0.2"/>
    <row r="35" spans="1:11" ht="12" customHeight="1" x14ac:dyDescent="0.2">
      <c r="A35" s="2" t="s">
        <v>73</v>
      </c>
    </row>
    <row r="36" spans="1:11" ht="12" customHeight="1" x14ac:dyDescent="0.2"/>
    <row r="37" spans="1:11" ht="12" customHeight="1" x14ac:dyDescent="0.2">
      <c r="A37" s="1" t="s">
        <v>74</v>
      </c>
      <c r="B37" s="1">
        <v>651.88629652999998</v>
      </c>
      <c r="C37" s="1">
        <v>1458</v>
      </c>
      <c r="D37" s="1">
        <v>1660.59444607</v>
      </c>
      <c r="E37" s="1">
        <v>4026</v>
      </c>
      <c r="F37" s="1">
        <v>560.70000000000005</v>
      </c>
      <c r="G37" s="1">
        <v>1002</v>
      </c>
      <c r="H37" s="1">
        <v>1361.0630000000001</v>
      </c>
      <c r="I37" s="1">
        <v>0</v>
      </c>
      <c r="J37" s="1">
        <v>1.1304000000000001</v>
      </c>
      <c r="K37" s="2">
        <f t="shared" ref="K37:K42" si="4">SUM(B37:J37)</f>
        <v>10721.3741426</v>
      </c>
    </row>
    <row r="38" spans="1:11" ht="12" customHeight="1" x14ac:dyDescent="0.2">
      <c r="A38" s="1" t="s">
        <v>75</v>
      </c>
      <c r="B38" s="1">
        <v>153.56311514000001</v>
      </c>
      <c r="C38" s="1">
        <v>0</v>
      </c>
      <c r="E38" s="1">
        <v>112</v>
      </c>
      <c r="F38" s="1">
        <v>107.6</v>
      </c>
      <c r="G38" s="1">
        <v>414</v>
      </c>
      <c r="H38" s="1">
        <v>0.626</v>
      </c>
      <c r="I38" s="1">
        <v>0</v>
      </c>
      <c r="J38" s="1">
        <v>0</v>
      </c>
      <c r="K38" s="2">
        <f t="shared" si="4"/>
        <v>787.78911514000004</v>
      </c>
    </row>
    <row r="39" spans="1:11" ht="12" customHeight="1" x14ac:dyDescent="0.2">
      <c r="A39" s="1" t="s">
        <v>76</v>
      </c>
      <c r="B39" s="1">
        <v>315.53995055000001</v>
      </c>
      <c r="C39" s="1">
        <v>0</v>
      </c>
      <c r="D39" s="1">
        <v>28729.731089100002</v>
      </c>
      <c r="E39" s="1">
        <f>29+2861</f>
        <v>2890</v>
      </c>
      <c r="F39" s="1">
        <v>11</v>
      </c>
      <c r="G39" s="1">
        <v>9845</v>
      </c>
      <c r="H39" s="1">
        <v>67.623999999999995</v>
      </c>
      <c r="I39" s="1">
        <v>0</v>
      </c>
      <c r="J39" s="1">
        <v>4999.8390714999996</v>
      </c>
      <c r="K39" s="2">
        <f t="shared" si="4"/>
        <v>46858.734111150006</v>
      </c>
    </row>
    <row r="40" spans="1:11" ht="12" customHeight="1" x14ac:dyDescent="0.2">
      <c r="A40" s="1" t="s">
        <v>77</v>
      </c>
      <c r="B40" s="1">
        <v>0</v>
      </c>
      <c r="C40" s="1">
        <v>0</v>
      </c>
      <c r="D40" s="1">
        <v>7718.6705519899997</v>
      </c>
      <c r="E40" s="1">
        <v>3789</v>
      </c>
      <c r="F40" s="1">
        <f>12.8+493.1</f>
        <v>505.90000000000003</v>
      </c>
      <c r="G40" s="1">
        <v>7821</v>
      </c>
      <c r="H40" s="1">
        <v>17.239000000000001</v>
      </c>
      <c r="I40" s="1">
        <v>3042.2565435500001</v>
      </c>
      <c r="J40" s="1">
        <v>12190.079572000001</v>
      </c>
      <c r="K40" s="2">
        <f t="shared" si="4"/>
        <v>35084.145667540004</v>
      </c>
    </row>
    <row r="41" spans="1:11" ht="12" customHeight="1" x14ac:dyDescent="0.2">
      <c r="A41" s="1" t="s">
        <v>78</v>
      </c>
      <c r="B41" s="1">
        <v>0</v>
      </c>
      <c r="C41" s="28">
        <v>0</v>
      </c>
      <c r="D41" s="1">
        <v>68.132026330000002</v>
      </c>
      <c r="E41" s="1">
        <v>0</v>
      </c>
      <c r="F41" s="1">
        <v>19.100000000000001</v>
      </c>
      <c r="G41" s="1">
        <v>0</v>
      </c>
      <c r="H41" s="1">
        <v>154</v>
      </c>
      <c r="I41" s="1">
        <v>0</v>
      </c>
      <c r="J41" s="1">
        <v>6285.9646469999998</v>
      </c>
      <c r="K41" s="2">
        <f t="shared" si="4"/>
        <v>6527.1966733299996</v>
      </c>
    </row>
    <row r="42" spans="1:11" ht="12" customHeight="1" x14ac:dyDescent="0.2">
      <c r="A42" s="1" t="s">
        <v>79</v>
      </c>
      <c r="B42" s="1">
        <v>0</v>
      </c>
      <c r="C42" s="1">
        <v>168</v>
      </c>
      <c r="F42" s="1">
        <v>1.95</v>
      </c>
      <c r="G42" s="1">
        <v>0</v>
      </c>
      <c r="H42" s="1">
        <v>25.509</v>
      </c>
      <c r="I42" s="1">
        <v>0</v>
      </c>
      <c r="J42" s="1">
        <v>933.75395900000001</v>
      </c>
      <c r="K42" s="2">
        <f t="shared" si="4"/>
        <v>1129.212959</v>
      </c>
    </row>
    <row r="43" spans="1:11" ht="12" customHeight="1" x14ac:dyDescent="0.2"/>
    <row r="44" spans="1:11" s="2" customFormat="1" ht="12" customHeight="1" x14ac:dyDescent="0.2">
      <c r="A44" s="7" t="s">
        <v>12</v>
      </c>
      <c r="B44" s="2">
        <f t="shared" ref="B44:J44" si="5">SUM(B37:B42)</f>
        <v>1120.98936222</v>
      </c>
      <c r="C44" s="2">
        <f t="shared" si="5"/>
        <v>1626</v>
      </c>
      <c r="D44" s="2">
        <f t="shared" si="5"/>
        <v>38177.128113490005</v>
      </c>
      <c r="E44" s="2">
        <f t="shared" si="5"/>
        <v>10817</v>
      </c>
      <c r="F44" s="2">
        <f t="shared" si="5"/>
        <v>1206.25</v>
      </c>
      <c r="G44" s="2">
        <f t="shared" si="5"/>
        <v>19082</v>
      </c>
      <c r="H44" s="2">
        <f t="shared" si="5"/>
        <v>1626.0610000000001</v>
      </c>
      <c r="I44" s="2">
        <f t="shared" si="5"/>
        <v>3042.2565435500001</v>
      </c>
      <c r="J44" s="2">
        <f t="shared" si="5"/>
        <v>24410.767649500001</v>
      </c>
      <c r="K44" s="2">
        <f>SUM(B44:J44)</f>
        <v>101108.45266876002</v>
      </c>
    </row>
    <row r="45" spans="1:11" ht="12" customHeight="1" x14ac:dyDescent="0.2"/>
    <row r="46" spans="1:11" ht="12" customHeight="1" x14ac:dyDescent="0.2">
      <c r="A46" s="2" t="s">
        <v>45</v>
      </c>
    </row>
    <row r="47" spans="1:11" ht="12" customHeight="1" x14ac:dyDescent="0.2"/>
    <row r="48" spans="1:11" ht="12" customHeight="1" x14ac:dyDescent="0.2">
      <c r="A48" s="1" t="s">
        <v>46</v>
      </c>
      <c r="B48" s="1">
        <v>12274.227025730001</v>
      </c>
      <c r="C48" s="1">
        <v>25914</v>
      </c>
      <c r="D48" s="1">
        <v>62626.768561309997</v>
      </c>
      <c r="E48" s="1">
        <v>46382</v>
      </c>
      <c r="F48" s="1">
        <v>10782.8</v>
      </c>
      <c r="G48" s="1">
        <v>41769</v>
      </c>
      <c r="H48" s="1">
        <v>29282.851999999999</v>
      </c>
      <c r="I48" s="1">
        <v>19247.192432110001</v>
      </c>
      <c r="J48" s="1">
        <f>30852.79287254+184.22887973+10338.40135237+317.34987934</f>
        <v>41692.772983980001</v>
      </c>
      <c r="K48" s="2">
        <f>SUM(B48:J48)</f>
        <v>289971.61300312995</v>
      </c>
    </row>
    <row r="49" spans="1:11" ht="12" customHeight="1" x14ac:dyDescent="0.2">
      <c r="A49" s="1" t="s">
        <v>47</v>
      </c>
      <c r="B49" s="1">
        <v>1059.00142888</v>
      </c>
      <c r="C49" s="1">
        <v>0</v>
      </c>
      <c r="E49" s="1">
        <v>1369</v>
      </c>
      <c r="F49" s="1">
        <v>437.2</v>
      </c>
      <c r="G49" s="1">
        <v>1258</v>
      </c>
      <c r="H49" s="1">
        <v>873.70799999999997</v>
      </c>
      <c r="I49" s="1">
        <v>39.145098330000003</v>
      </c>
      <c r="K49" s="2">
        <f>SUM(B49:J49)</f>
        <v>5036.0545272099998</v>
      </c>
    </row>
    <row r="50" spans="1:11" ht="12" customHeight="1" x14ac:dyDescent="0.2"/>
    <row r="51" spans="1:11" s="2" customFormat="1" ht="12" customHeight="1" x14ac:dyDescent="0.2">
      <c r="A51" s="7" t="s">
        <v>12</v>
      </c>
      <c r="B51" s="2">
        <f t="shared" ref="B51:J51" si="6">SUM(B48:B49)</f>
        <v>13333.22845461</v>
      </c>
      <c r="C51" s="2">
        <f t="shared" si="6"/>
        <v>25914</v>
      </c>
      <c r="D51" s="2">
        <f t="shared" si="6"/>
        <v>62626.768561309997</v>
      </c>
      <c r="E51" s="2">
        <f t="shared" si="6"/>
        <v>47751</v>
      </c>
      <c r="F51" s="2">
        <f t="shared" si="6"/>
        <v>11220</v>
      </c>
      <c r="G51" s="2">
        <f t="shared" si="6"/>
        <v>43027</v>
      </c>
      <c r="H51" s="2">
        <f t="shared" si="6"/>
        <v>30156.559999999998</v>
      </c>
      <c r="I51" s="2">
        <f t="shared" si="6"/>
        <v>19286.33753044</v>
      </c>
      <c r="J51" s="2">
        <f t="shared" si="6"/>
        <v>41692.772983980001</v>
      </c>
      <c r="K51" s="2">
        <f>SUM(B51:J51)</f>
        <v>295007.66753034003</v>
      </c>
    </row>
    <row r="52" spans="1:11" ht="12" customHeight="1" x14ac:dyDescent="0.2"/>
    <row r="53" spans="1:11" s="2" customFormat="1" ht="12" customHeight="1" x14ac:dyDescent="0.2">
      <c r="A53" s="2" t="s">
        <v>48</v>
      </c>
      <c r="B53" s="2">
        <v>825</v>
      </c>
      <c r="C53" s="2">
        <v>390</v>
      </c>
      <c r="D53" s="2">
        <v>4162.42754539</v>
      </c>
      <c r="E53" s="2">
        <f>325+120</f>
        <v>445</v>
      </c>
      <c r="F53" s="2">
        <v>869.4</v>
      </c>
      <c r="G53" s="2">
        <v>2627</v>
      </c>
      <c r="H53" s="2">
        <v>0</v>
      </c>
      <c r="J53" s="2">
        <v>3511.3785957300001</v>
      </c>
      <c r="K53" s="2">
        <f>SUM(B53:J53)</f>
        <v>12830.206141119999</v>
      </c>
    </row>
    <row r="54" spans="1:11" ht="12" customHeight="1" x14ac:dyDescent="0.2"/>
    <row r="55" spans="1:11" ht="12" customHeight="1" x14ac:dyDescent="0.2">
      <c r="A55" s="2" t="s">
        <v>49</v>
      </c>
    </row>
    <row r="56" spans="1:11" ht="12" customHeight="1" x14ac:dyDescent="0.2"/>
    <row r="57" spans="1:11" ht="12" customHeight="1" x14ac:dyDescent="0.2">
      <c r="A57" s="1" t="s">
        <v>50</v>
      </c>
      <c r="B57" s="26">
        <f>703.15+0.705</f>
        <v>703.85500000000002</v>
      </c>
      <c r="C57" s="1">
        <v>1594.3340000000001</v>
      </c>
      <c r="D57" s="1">
        <v>4055.58</v>
      </c>
      <c r="E57" s="1">
        <v>3966.8679999999999</v>
      </c>
      <c r="F57" s="1">
        <v>1508.7115490200001</v>
      </c>
      <c r="G57" s="1">
        <v>3375.7322140000001</v>
      </c>
      <c r="H57" s="26">
        <f>1862+10.528</f>
        <v>1872.528</v>
      </c>
      <c r="I57" s="1">
        <v>1020.364</v>
      </c>
      <c r="J57" s="1">
        <f>6477.8+55.408</f>
        <v>6533.2080000000005</v>
      </c>
      <c r="K57" s="2">
        <f t="shared" ref="K57:K63" si="7">SUM(B57:J57)</f>
        <v>24631.180763019998</v>
      </c>
    </row>
    <row r="58" spans="1:11" ht="12" customHeight="1" x14ac:dyDescent="0.2">
      <c r="A58" s="1" t="s">
        <v>80</v>
      </c>
      <c r="D58" s="1">
        <v>22.63911332</v>
      </c>
      <c r="F58" s="1">
        <v>8.4587209600000008</v>
      </c>
      <c r="G58" s="1">
        <v>18.93928253</v>
      </c>
      <c r="H58" s="1">
        <v>10.453053540000001</v>
      </c>
      <c r="I58" s="22">
        <v>5.6941633700000001</v>
      </c>
      <c r="J58" s="1">
        <v>36.365623100000001</v>
      </c>
      <c r="K58" s="2">
        <f t="shared" si="7"/>
        <v>102.54995682000001</v>
      </c>
    </row>
    <row r="59" spans="1:11" ht="12" customHeight="1" x14ac:dyDescent="0.2">
      <c r="A59" s="1" t="s">
        <v>81</v>
      </c>
      <c r="B59" s="1">
        <v>0</v>
      </c>
      <c r="C59" s="1">
        <v>120</v>
      </c>
      <c r="D59" s="1">
        <v>764</v>
      </c>
      <c r="E59" s="24">
        <f>-538.15803239</f>
        <v>-538.15803239000002</v>
      </c>
      <c r="F59" s="1">
        <v>180</v>
      </c>
      <c r="G59" s="24">
        <f>-295.47755676</f>
        <v>-295.47755676000003</v>
      </c>
      <c r="H59" s="1">
        <v>34</v>
      </c>
      <c r="I59" s="22">
        <v>329.53091600000005</v>
      </c>
      <c r="J59" s="1">
        <v>0</v>
      </c>
      <c r="K59" s="2">
        <f t="shared" si="7"/>
        <v>593.89532684999995</v>
      </c>
    </row>
    <row r="60" spans="1:11" ht="12" customHeight="1" x14ac:dyDescent="0.2">
      <c r="A60" s="1" t="s">
        <v>52</v>
      </c>
      <c r="B60" s="1">
        <v>11.881884189999999</v>
      </c>
      <c r="C60" s="1">
        <v>21</v>
      </c>
      <c r="D60" s="1">
        <v>70.235264999999998</v>
      </c>
      <c r="E60" s="1">
        <v>0</v>
      </c>
      <c r="F60" s="1">
        <v>18.68</v>
      </c>
      <c r="G60" s="1">
        <v>100</v>
      </c>
      <c r="H60" s="1">
        <v>7.3280000000000003</v>
      </c>
      <c r="I60" s="1">
        <v>0</v>
      </c>
      <c r="J60" s="1">
        <v>0</v>
      </c>
      <c r="K60" s="2">
        <f t="shared" si="7"/>
        <v>229.12514919</v>
      </c>
    </row>
    <row r="61" spans="1:11" ht="12" customHeight="1" x14ac:dyDescent="0.2">
      <c r="A61" s="1" t="s">
        <v>53</v>
      </c>
      <c r="B61" s="1">
        <v>194.26847802</v>
      </c>
      <c r="C61" s="1">
        <v>473</v>
      </c>
      <c r="D61" s="1">
        <v>1599.33452033</v>
      </c>
      <c r="E61" s="24">
        <f>1499+538.15803239</f>
        <v>2037.15803239</v>
      </c>
      <c r="F61" s="1">
        <f>55.16+266.45+65.71+174.14+4.72+0.23</f>
        <v>566.41000000000008</v>
      </c>
      <c r="G61" s="24">
        <f>1248+295.47755676</f>
        <v>1543.47755676</v>
      </c>
      <c r="H61" s="1">
        <f>939.279+34.801</f>
        <v>974.08</v>
      </c>
      <c r="I61" s="1">
        <v>410.14141881</v>
      </c>
      <c r="J61" s="1">
        <v>1653.6568532700001</v>
      </c>
      <c r="K61" s="2">
        <f t="shared" si="7"/>
        <v>9451.5268595799989</v>
      </c>
    </row>
    <row r="62" spans="1:11" ht="12" customHeight="1" x14ac:dyDescent="0.2">
      <c r="A62" s="1" t="s">
        <v>60</v>
      </c>
      <c r="E62" s="31">
        <f>-(522+16+32)</f>
        <v>-570</v>
      </c>
      <c r="K62" s="2">
        <f t="shared" si="7"/>
        <v>-570</v>
      </c>
    </row>
    <row r="63" spans="1:11" s="2" customFormat="1" ht="12" customHeight="1" x14ac:dyDescent="0.2">
      <c r="A63" s="2" t="s">
        <v>12</v>
      </c>
      <c r="B63" s="2">
        <f>SUM(B57:B62)</f>
        <v>910.00536221000004</v>
      </c>
      <c r="C63" s="2">
        <f t="shared" ref="C63:J63" si="8">SUM(C57:C62)</f>
        <v>2208.3339999999998</v>
      </c>
      <c r="D63" s="2">
        <f t="shared" si="8"/>
        <v>6511.7888986500002</v>
      </c>
      <c r="E63" s="2">
        <f t="shared" si="8"/>
        <v>4895.8679999999995</v>
      </c>
      <c r="F63" s="2">
        <f t="shared" si="8"/>
        <v>2282.26026998</v>
      </c>
      <c r="G63" s="2">
        <f t="shared" si="8"/>
        <v>4742.6714965299998</v>
      </c>
      <c r="H63" s="2">
        <f t="shared" si="8"/>
        <v>2898.3890535400001</v>
      </c>
      <c r="I63" s="2">
        <f t="shared" si="8"/>
        <v>1765.73049818</v>
      </c>
      <c r="J63" s="2">
        <f t="shared" si="8"/>
        <v>8223.2304763700013</v>
      </c>
      <c r="K63" s="2">
        <f t="shared" si="7"/>
        <v>34438.278055460003</v>
      </c>
    </row>
    <row r="64" spans="1:11" ht="12" customHeight="1" x14ac:dyDescent="0.2">
      <c r="K64" s="1">
        <f>K60+K61+K62</f>
        <v>9110.6520087699992</v>
      </c>
    </row>
    <row r="65" spans="1:11" ht="12" customHeight="1" x14ac:dyDescent="0.2">
      <c r="A65" s="1" t="s">
        <v>42</v>
      </c>
      <c r="B65" s="1">
        <f t="shared" ref="B65:J65" si="9">B30</f>
        <v>667.80484091999995</v>
      </c>
      <c r="C65" s="1">
        <f t="shared" si="9"/>
        <v>2268</v>
      </c>
      <c r="D65" s="1">
        <f t="shared" si="9"/>
        <v>4694.6312779599994</v>
      </c>
      <c r="E65" s="1">
        <f t="shared" si="9"/>
        <v>5868</v>
      </c>
      <c r="F65" s="1">
        <f t="shared" si="9"/>
        <v>2422.44</v>
      </c>
      <c r="G65" s="1">
        <f t="shared" si="9"/>
        <v>4839</v>
      </c>
      <c r="H65" s="1">
        <f t="shared" si="9"/>
        <v>2806.3520000000003</v>
      </c>
      <c r="I65" s="1">
        <f t="shared" si="9"/>
        <v>1680.6465450000001</v>
      </c>
      <c r="J65" s="1">
        <f t="shared" si="9"/>
        <v>9523.1962545700007</v>
      </c>
      <c r="K65" s="2">
        <f>SUM(B65:J65)</f>
        <v>34770.070918450001</v>
      </c>
    </row>
    <row r="66" spans="1:11" ht="12" customHeight="1" x14ac:dyDescent="0.2"/>
    <row r="67" spans="1:11" s="2" customFormat="1" ht="12" customHeight="1" x14ac:dyDescent="0.2">
      <c r="A67" s="7" t="s">
        <v>54</v>
      </c>
      <c r="B67" s="8">
        <f t="shared" ref="B67:J67" si="10">SUM(B57:B61)-B65</f>
        <v>242.2005212900001</v>
      </c>
      <c r="C67" s="8">
        <f t="shared" si="10"/>
        <v>-59.666000000000167</v>
      </c>
      <c r="D67" s="8">
        <f t="shared" si="10"/>
        <v>1817.1576206900008</v>
      </c>
      <c r="E67" s="8">
        <f t="shared" si="10"/>
        <v>-402.13200000000052</v>
      </c>
      <c r="F67" s="8">
        <f t="shared" si="10"/>
        <v>-140.17973002000008</v>
      </c>
      <c r="G67" s="8">
        <f t="shared" si="10"/>
        <v>-96.328503470000214</v>
      </c>
      <c r="H67" s="8">
        <f t="shared" si="10"/>
        <v>92.037053539999761</v>
      </c>
      <c r="I67" s="8">
        <f t="shared" si="10"/>
        <v>85.08395317999998</v>
      </c>
      <c r="J67" s="8">
        <f t="shared" si="10"/>
        <v>-1299.9657781999995</v>
      </c>
      <c r="K67" s="8">
        <f>SUM(B67:J67)</f>
        <v>238.20713701000022</v>
      </c>
    </row>
    <row r="68" spans="1:11" s="2" customFormat="1" ht="12" customHeight="1" x14ac:dyDescent="0.2">
      <c r="A68" s="7"/>
      <c r="B68" s="8"/>
      <c r="C68" s="8"/>
      <c r="D68" s="8"/>
      <c r="E68" s="8"/>
      <c r="F68" s="8"/>
      <c r="G68" s="8"/>
      <c r="H68" s="8"/>
      <c r="I68" s="8"/>
      <c r="J68" s="8"/>
      <c r="K68" s="8"/>
    </row>
    <row r="69" spans="1:11" ht="12" customHeight="1" x14ac:dyDescent="0.2">
      <c r="A69" s="1" t="s">
        <v>82</v>
      </c>
    </row>
    <row r="70" spans="1:11" ht="12" customHeight="1" x14ac:dyDescent="0.2">
      <c r="A70" s="1" t="s">
        <v>83</v>
      </c>
    </row>
    <row r="71" spans="1:11" ht="12" customHeight="1" x14ac:dyDescent="0.2">
      <c r="A71" s="1" t="s">
        <v>92</v>
      </c>
    </row>
    <row r="72" spans="1:11" ht="12" customHeight="1" x14ac:dyDescent="0.2">
      <c r="A72" s="1" t="s">
        <v>90</v>
      </c>
    </row>
    <row r="73" spans="1:11" ht="12" customHeight="1" x14ac:dyDescent="0.2">
      <c r="A73" s="1" t="s">
        <v>88</v>
      </c>
    </row>
    <row r="74" spans="1:11" ht="12" customHeight="1" x14ac:dyDescent="0.2">
      <c r="A74" s="1" t="s">
        <v>89</v>
      </c>
    </row>
    <row r="75" spans="1:11" ht="12" customHeight="1" x14ac:dyDescent="0.2"/>
  </sheetData>
  <phoneticPr fontId="0" type="noConversion"/>
  <printOptions horizontalCentered="1"/>
  <pageMargins left="0.39370078740157483" right="0.39370078740157483" top="0.39370078740157483" bottom="0.19685039370078741" header="0.51181102362204722" footer="0.19"/>
  <pageSetup paperSize="9" scale="90" orientation="landscape" horizontalDpi="4294967292" verticalDpi="3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6"/>
  <sheetViews>
    <sheetView workbookViewId="0">
      <pane xSplit="1" ySplit="4" topLeftCell="B5" activePane="bottomRight" state="frozenSplit"/>
      <selection pane="topRight" activeCell="E62" sqref="E62"/>
      <selection pane="bottomLeft" activeCell="A53" sqref="A53"/>
      <selection pane="bottomRight" activeCell="B5" sqref="B5"/>
    </sheetView>
  </sheetViews>
  <sheetFormatPr baseColWidth="10" defaultRowHeight="12.75" x14ac:dyDescent="0.2"/>
  <cols>
    <col min="1" max="1" width="38.28515625" style="1" customWidth="1"/>
    <col min="2" max="10" width="11.42578125" style="3"/>
    <col min="11" max="11" width="11.42578125" style="33"/>
    <col min="12" max="16384" width="11.42578125" style="1"/>
  </cols>
  <sheetData>
    <row r="1" spans="1:11" x14ac:dyDescent="0.2">
      <c r="A1" s="2" t="s">
        <v>91</v>
      </c>
    </row>
    <row r="2" spans="1:11" x14ac:dyDescent="0.2">
      <c r="A2" s="1" t="s">
        <v>40</v>
      </c>
    </row>
    <row r="4" spans="1:11" s="3" customFormat="1" x14ac:dyDescent="0.2">
      <c r="A4" s="5"/>
      <c r="B4" s="3" t="s">
        <v>3</v>
      </c>
      <c r="C4" s="3" t="s">
        <v>4</v>
      </c>
      <c r="D4" s="3" t="s">
        <v>5</v>
      </c>
      <c r="E4" s="3" t="s">
        <v>6</v>
      </c>
      <c r="F4" s="3" t="s">
        <v>7</v>
      </c>
      <c r="G4" s="3" t="s">
        <v>8</v>
      </c>
      <c r="H4" s="3" t="s">
        <v>9</v>
      </c>
      <c r="I4" s="3" t="s">
        <v>10</v>
      </c>
      <c r="J4" s="3" t="s">
        <v>11</v>
      </c>
      <c r="K4" s="33" t="s">
        <v>12</v>
      </c>
    </row>
    <row r="6" spans="1:11" ht="15.75" x14ac:dyDescent="0.25">
      <c r="A6" s="6" t="s">
        <v>42</v>
      </c>
    </row>
    <row r="8" spans="1:11" x14ac:dyDescent="0.2">
      <c r="A8" s="2" t="s">
        <v>13</v>
      </c>
    </row>
    <row r="10" spans="1:11" x14ac:dyDescent="0.2">
      <c r="A10" s="1" t="s">
        <v>66</v>
      </c>
      <c r="B10" s="3">
        <v>484.69</v>
      </c>
      <c r="C10" s="3">
        <v>1477</v>
      </c>
      <c r="D10" s="3">
        <v>2496.7404929999998</v>
      </c>
      <c r="E10" s="3">
        <v>2875</v>
      </c>
      <c r="F10" s="3">
        <v>920.53</v>
      </c>
      <c r="G10" s="3">
        <v>1404</v>
      </c>
      <c r="H10" s="3">
        <v>2032.721</v>
      </c>
      <c r="I10" s="3">
        <v>1178.1879248600001</v>
      </c>
      <c r="J10" s="3">
        <v>158.90217999999999</v>
      </c>
      <c r="K10" s="33">
        <f t="shared" ref="K10:K15" si="0">SUM(B10:J10)</f>
        <v>13027.771597859999</v>
      </c>
    </row>
    <row r="11" spans="1:11" x14ac:dyDescent="0.2">
      <c r="A11" s="1" t="s">
        <v>67</v>
      </c>
      <c r="B11" s="3">
        <v>0</v>
      </c>
      <c r="C11" s="3">
        <v>21</v>
      </c>
      <c r="D11" s="3">
        <v>0.32500000000000001</v>
      </c>
      <c r="E11" s="3">
        <v>0</v>
      </c>
      <c r="F11" s="3">
        <v>0</v>
      </c>
      <c r="G11" s="3">
        <v>0</v>
      </c>
      <c r="H11" s="3">
        <v>3.3079999999999998</v>
      </c>
      <c r="I11" s="3">
        <v>0</v>
      </c>
      <c r="J11" s="3">
        <v>383.20160700000002</v>
      </c>
      <c r="K11" s="33">
        <f t="shared" si="0"/>
        <v>407.83460700000001</v>
      </c>
    </row>
    <row r="12" spans="1:11" x14ac:dyDescent="0.2">
      <c r="A12" s="1" t="s">
        <v>68</v>
      </c>
      <c r="B12" s="3">
        <v>40.717616890000002</v>
      </c>
      <c r="C12" s="3">
        <v>49</v>
      </c>
      <c r="D12" s="3">
        <v>816.26830798000003</v>
      </c>
      <c r="E12" s="3">
        <f>11+455</f>
        <v>466</v>
      </c>
      <c r="F12" s="3">
        <f>311.05+850.81</f>
        <v>1161.8599999999999</v>
      </c>
      <c r="G12" s="3">
        <v>824</v>
      </c>
      <c r="H12" s="3">
        <v>64.191999999999993</v>
      </c>
      <c r="I12" s="3">
        <v>172.13646166000001</v>
      </c>
      <c r="J12" s="3">
        <v>968.05068441000003</v>
      </c>
      <c r="K12" s="33">
        <f t="shared" si="0"/>
        <v>4562.2250709399996</v>
      </c>
    </row>
    <row r="13" spans="1:11" x14ac:dyDescent="0.2">
      <c r="A13" t="s">
        <v>69</v>
      </c>
      <c r="B13" s="3">
        <v>0</v>
      </c>
      <c r="C13" s="3">
        <v>0</v>
      </c>
      <c r="D13" s="3">
        <v>177.89724946000001</v>
      </c>
      <c r="E13" s="3">
        <f>4</f>
        <v>4</v>
      </c>
      <c r="F13" s="3">
        <v>32.36</v>
      </c>
      <c r="G13" s="3">
        <v>23</v>
      </c>
      <c r="H13" s="3">
        <v>320.45999999999998</v>
      </c>
      <c r="I13" s="3">
        <v>0</v>
      </c>
      <c r="J13" s="3">
        <v>3720.85759848</v>
      </c>
      <c r="K13" s="33">
        <f t="shared" si="0"/>
        <v>4278.5748479399999</v>
      </c>
    </row>
    <row r="14" spans="1:11" x14ac:dyDescent="0.2">
      <c r="A14" s="1" t="s">
        <v>70</v>
      </c>
      <c r="B14" s="3">
        <v>0</v>
      </c>
      <c r="C14" s="3">
        <v>0</v>
      </c>
      <c r="D14" s="3">
        <v>0</v>
      </c>
      <c r="E14" s="3">
        <v>0</v>
      </c>
      <c r="F14" s="3">
        <v>0</v>
      </c>
      <c r="G14" s="3">
        <v>0</v>
      </c>
      <c r="H14" s="3">
        <v>0</v>
      </c>
      <c r="I14" s="3">
        <v>0</v>
      </c>
      <c r="J14" s="3">
        <v>0</v>
      </c>
      <c r="K14" s="33">
        <f t="shared" si="0"/>
        <v>0</v>
      </c>
    </row>
    <row r="15" spans="1:11" x14ac:dyDescent="0.2">
      <c r="A15" s="1" t="s">
        <v>71</v>
      </c>
      <c r="B15" s="3">
        <v>1.0783959999999999</v>
      </c>
      <c r="C15" s="3">
        <v>83</v>
      </c>
      <c r="D15" s="3">
        <f>37.113615+49.277482</f>
        <v>86.391097000000002</v>
      </c>
      <c r="E15" s="3">
        <v>719</v>
      </c>
      <c r="F15" s="3">
        <v>109.57</v>
      </c>
      <c r="G15" s="3">
        <f>116+310</f>
        <v>426</v>
      </c>
      <c r="H15" s="3">
        <v>123.819</v>
      </c>
      <c r="I15" s="3">
        <f>18.884302+10.068905+72.958843</f>
        <v>101.91205000000001</v>
      </c>
      <c r="J15" s="3">
        <v>373.77062799999999</v>
      </c>
      <c r="K15" s="33">
        <f t="shared" si="0"/>
        <v>2024.5411709999998</v>
      </c>
    </row>
    <row r="17" spans="1:11" s="28" customFormat="1" x14ac:dyDescent="0.2">
      <c r="A17" s="28" t="s">
        <v>12</v>
      </c>
      <c r="B17" s="29">
        <f t="shared" ref="B17:J17" si="1">SUM(B10:B15)</f>
        <v>526.48601288999998</v>
      </c>
      <c r="C17" s="29">
        <f t="shared" si="1"/>
        <v>1630</v>
      </c>
      <c r="D17" s="29">
        <f t="shared" si="1"/>
        <v>3577.6221474399995</v>
      </c>
      <c r="E17" s="29">
        <f t="shared" si="1"/>
        <v>4064</v>
      </c>
      <c r="F17" s="29">
        <f t="shared" si="1"/>
        <v>2224.3200000000002</v>
      </c>
      <c r="G17" s="29">
        <f t="shared" si="1"/>
        <v>2677</v>
      </c>
      <c r="H17" s="29">
        <f t="shared" si="1"/>
        <v>2544.5</v>
      </c>
      <c r="I17" s="29">
        <f t="shared" si="1"/>
        <v>1452.2364365200001</v>
      </c>
      <c r="J17" s="29">
        <f t="shared" si="1"/>
        <v>5604.7826978900002</v>
      </c>
      <c r="K17" s="29">
        <f>SUM(B17:J17)</f>
        <v>24300.947294739999</v>
      </c>
    </row>
    <row r="20" spans="1:11" x14ac:dyDescent="0.2">
      <c r="A20" s="2" t="s">
        <v>14</v>
      </c>
    </row>
    <row r="22" spans="1:11" x14ac:dyDescent="0.2">
      <c r="A22" s="1" t="s">
        <v>72</v>
      </c>
      <c r="B22" s="3">
        <v>93.83</v>
      </c>
      <c r="C22" s="3">
        <v>0</v>
      </c>
      <c r="D22" s="3">
        <v>13.275645069999999</v>
      </c>
      <c r="E22" s="3">
        <v>63</v>
      </c>
      <c r="F22" s="3">
        <v>75.86</v>
      </c>
      <c r="G22" s="3">
        <v>523</v>
      </c>
      <c r="H22" s="3">
        <v>0.59899999999999998</v>
      </c>
      <c r="I22" s="3">
        <v>0</v>
      </c>
      <c r="J22" s="3">
        <v>2.3073E-2</v>
      </c>
      <c r="K22" s="33">
        <f>SUM(B22:J22)</f>
        <v>769.58771806999994</v>
      </c>
    </row>
    <row r="23" spans="1:11" x14ac:dyDescent="0.2">
      <c r="A23" s="1" t="s">
        <v>68</v>
      </c>
      <c r="B23" s="3">
        <v>0</v>
      </c>
      <c r="C23" s="3">
        <v>33</v>
      </c>
      <c r="D23" s="3">
        <v>850.72574369999995</v>
      </c>
      <c r="E23" s="3">
        <v>580</v>
      </c>
      <c r="F23" s="3">
        <f>6.77+93.01</f>
        <v>99.78</v>
      </c>
      <c r="G23" s="3">
        <v>1187</v>
      </c>
      <c r="H23" s="3">
        <v>292.59500000000003</v>
      </c>
      <c r="I23" s="3">
        <v>347.15738618</v>
      </c>
      <c r="J23" s="3">
        <v>1915.3820523899999</v>
      </c>
      <c r="K23" s="33">
        <f>SUM(B23:J23)</f>
        <v>5305.6401822699991</v>
      </c>
    </row>
    <row r="24" spans="1:11" x14ac:dyDescent="0.2">
      <c r="A24" t="s">
        <v>69</v>
      </c>
      <c r="B24" s="3">
        <v>0</v>
      </c>
      <c r="C24" s="3">
        <v>115</v>
      </c>
      <c r="D24" s="3">
        <v>142.953464</v>
      </c>
      <c r="E24" s="3">
        <v>0</v>
      </c>
      <c r="F24" s="3">
        <v>1.47</v>
      </c>
      <c r="G24" s="3">
        <v>278</v>
      </c>
      <c r="H24" s="3">
        <v>207.22900000000001</v>
      </c>
      <c r="I24" s="3">
        <v>0</v>
      </c>
      <c r="J24" s="3">
        <v>566.94468099999995</v>
      </c>
      <c r="K24" s="33">
        <f>SUM(B24:J24)</f>
        <v>1311.597145</v>
      </c>
    </row>
    <row r="25" spans="1:11" x14ac:dyDescent="0.2">
      <c r="A25" s="1" t="s">
        <v>70</v>
      </c>
      <c r="B25" s="3">
        <v>0</v>
      </c>
      <c r="C25" s="3">
        <v>0</v>
      </c>
      <c r="D25" s="3">
        <v>0</v>
      </c>
      <c r="E25" s="3">
        <v>0</v>
      </c>
      <c r="F25" s="3">
        <v>0</v>
      </c>
      <c r="G25" s="3">
        <v>0</v>
      </c>
      <c r="H25" s="3">
        <v>0.35199999999999998</v>
      </c>
      <c r="I25" s="3">
        <v>0</v>
      </c>
      <c r="J25" s="3">
        <v>4.3116125900000002</v>
      </c>
      <c r="K25" s="33">
        <f>SUM(B25:J25)</f>
        <v>4.6636125900000005</v>
      </c>
    </row>
    <row r="26" spans="1:11" x14ac:dyDescent="0.2">
      <c r="A26" s="1" t="s">
        <v>71</v>
      </c>
      <c r="B26" s="3">
        <v>0</v>
      </c>
      <c r="C26" s="3">
        <v>0</v>
      </c>
      <c r="D26" s="3">
        <f>18.449992+5.113216</f>
        <v>23.563208000000003</v>
      </c>
      <c r="E26" s="3">
        <v>30</v>
      </c>
      <c r="F26" s="3">
        <v>1.28</v>
      </c>
      <c r="G26" s="3">
        <f>4+349</f>
        <v>353</v>
      </c>
      <c r="H26" s="3">
        <v>0.61</v>
      </c>
      <c r="I26" s="3">
        <v>0</v>
      </c>
      <c r="J26" s="3">
        <v>26.461075000000001</v>
      </c>
      <c r="K26" s="33">
        <f>SUM(B26:J26)</f>
        <v>434.91428300000001</v>
      </c>
    </row>
    <row r="28" spans="1:11" s="28" customFormat="1" x14ac:dyDescent="0.2">
      <c r="A28" s="28" t="s">
        <v>12</v>
      </c>
      <c r="B28" s="29">
        <f t="shared" ref="B28:J28" si="2">SUM(B22:B26)</f>
        <v>93.83</v>
      </c>
      <c r="C28" s="29">
        <f t="shared" si="2"/>
        <v>148</v>
      </c>
      <c r="D28" s="29">
        <f t="shared" si="2"/>
        <v>1030.5180607699999</v>
      </c>
      <c r="E28" s="29">
        <f t="shared" si="2"/>
        <v>673</v>
      </c>
      <c r="F28" s="29">
        <f t="shared" si="2"/>
        <v>178.39</v>
      </c>
      <c r="G28" s="29">
        <f t="shared" si="2"/>
        <v>2341</v>
      </c>
      <c r="H28" s="29">
        <f t="shared" si="2"/>
        <v>501.38499999999999</v>
      </c>
      <c r="I28" s="29">
        <f t="shared" si="2"/>
        <v>347.15738618</v>
      </c>
      <c r="J28" s="29">
        <f t="shared" si="2"/>
        <v>2513.1224939799999</v>
      </c>
      <c r="K28" s="29">
        <f>SUM(B28:J28)</f>
        <v>7826.4029409300001</v>
      </c>
    </row>
    <row r="30" spans="1:11" s="34" customFormat="1" x14ac:dyDescent="0.2">
      <c r="A30" s="34" t="s">
        <v>43</v>
      </c>
      <c r="B30" s="33">
        <f t="shared" ref="B30:J30" si="3">B17+B28</f>
        <v>620.31601289000002</v>
      </c>
      <c r="C30" s="33">
        <f t="shared" si="3"/>
        <v>1778</v>
      </c>
      <c r="D30" s="33">
        <f t="shared" si="3"/>
        <v>4608.1402082099994</v>
      </c>
      <c r="E30" s="33">
        <f t="shared" si="3"/>
        <v>4737</v>
      </c>
      <c r="F30" s="33">
        <f t="shared" si="3"/>
        <v>2402.71</v>
      </c>
      <c r="G30" s="33">
        <f t="shared" si="3"/>
        <v>5018</v>
      </c>
      <c r="H30" s="33">
        <f t="shared" si="3"/>
        <v>3045.8850000000002</v>
      </c>
      <c r="I30" s="33">
        <f t="shared" si="3"/>
        <v>1799.3938227000001</v>
      </c>
      <c r="J30" s="33">
        <f t="shared" si="3"/>
        <v>8117.9051918700006</v>
      </c>
      <c r="K30" s="33">
        <f>SUM(B30:J30)</f>
        <v>32127.350235670005</v>
      </c>
    </row>
    <row r="33" spans="1:11" ht="15" customHeight="1" x14ac:dyDescent="0.25">
      <c r="A33" s="6" t="s">
        <v>44</v>
      </c>
    </row>
    <row r="34" spans="1:11" ht="12" customHeight="1" x14ac:dyDescent="0.2"/>
    <row r="35" spans="1:11" ht="12" customHeight="1" x14ac:dyDescent="0.2">
      <c r="A35" s="2" t="s">
        <v>73</v>
      </c>
    </row>
    <row r="36" spans="1:11" ht="12" customHeight="1" x14ac:dyDescent="0.2"/>
    <row r="37" spans="1:11" ht="12" customHeight="1" x14ac:dyDescent="0.2">
      <c r="A37" s="1" t="s">
        <v>74</v>
      </c>
      <c r="B37" s="3">
        <v>469.13618559999998</v>
      </c>
      <c r="C37" s="3">
        <v>1857</v>
      </c>
      <c r="D37" s="3">
        <v>3371.8766639999999</v>
      </c>
      <c r="E37" s="3">
        <v>3916</v>
      </c>
      <c r="F37" s="3">
        <v>476.8</v>
      </c>
      <c r="G37" s="3">
        <v>1088</v>
      </c>
      <c r="H37" s="3">
        <v>0</v>
      </c>
      <c r="I37" s="3">
        <v>0</v>
      </c>
      <c r="J37" s="3">
        <v>1</v>
      </c>
      <c r="K37" s="33">
        <f t="shared" ref="K37:K42" si="4">SUM(B37:J37)</f>
        <v>11179.812849599999</v>
      </c>
    </row>
    <row r="38" spans="1:11" ht="12" customHeight="1" x14ac:dyDescent="0.2">
      <c r="A38" s="1" t="s">
        <v>75</v>
      </c>
      <c r="B38" s="3">
        <v>147.64801120000001</v>
      </c>
      <c r="C38" s="3">
        <v>0</v>
      </c>
      <c r="E38" s="3">
        <v>62</v>
      </c>
      <c r="F38" s="3">
        <v>72.8</v>
      </c>
      <c r="G38" s="3">
        <v>292</v>
      </c>
      <c r="H38" s="3">
        <v>0.48199999999999998</v>
      </c>
      <c r="I38" s="3">
        <v>0</v>
      </c>
      <c r="J38" s="3">
        <v>0</v>
      </c>
      <c r="K38" s="33">
        <f t="shared" si="4"/>
        <v>574.93001119999997</v>
      </c>
    </row>
    <row r="39" spans="1:11" ht="12" customHeight="1" x14ac:dyDescent="0.2">
      <c r="A39" s="1" t="s">
        <v>76</v>
      </c>
      <c r="B39" s="3">
        <v>308.08696108999999</v>
      </c>
      <c r="C39" s="3">
        <v>0</v>
      </c>
      <c r="D39" s="3">
        <v>30481.619425199999</v>
      </c>
      <c r="E39" s="3">
        <f>11+3179</f>
        <v>3190</v>
      </c>
      <c r="F39" s="3">
        <v>4.0999999999999996</v>
      </c>
      <c r="G39" s="3">
        <v>10789</v>
      </c>
      <c r="H39" s="3">
        <v>14.186999999999999</v>
      </c>
      <c r="I39" s="3">
        <v>0</v>
      </c>
      <c r="J39" s="3">
        <v>4457.2</v>
      </c>
      <c r="K39" s="33">
        <f t="shared" si="4"/>
        <v>49244.19338628999</v>
      </c>
    </row>
    <row r="40" spans="1:11" ht="12" customHeight="1" x14ac:dyDescent="0.2">
      <c r="A40" s="1" t="s">
        <v>77</v>
      </c>
      <c r="B40" s="3">
        <v>0</v>
      </c>
      <c r="C40" s="3">
        <v>0</v>
      </c>
      <c r="D40" s="3">
        <v>7960.9029632900001</v>
      </c>
      <c r="E40" s="3">
        <v>3839</v>
      </c>
      <c r="F40" s="3">
        <f>5.7+409.3</f>
        <v>415</v>
      </c>
      <c r="G40" s="3">
        <v>7796</v>
      </c>
      <c r="H40" s="3">
        <v>13.8</v>
      </c>
      <c r="I40" s="3">
        <v>3024.3914243700001</v>
      </c>
      <c r="J40" s="3">
        <v>11537.4</v>
      </c>
      <c r="K40" s="33">
        <f t="shared" si="4"/>
        <v>34586.494387660001</v>
      </c>
    </row>
    <row r="41" spans="1:11" ht="12" customHeight="1" x14ac:dyDescent="0.2">
      <c r="A41" s="1" t="s">
        <v>78</v>
      </c>
      <c r="B41" s="3">
        <v>0</v>
      </c>
      <c r="C41" s="3">
        <v>0</v>
      </c>
      <c r="D41" s="3">
        <v>81.769724330000003</v>
      </c>
      <c r="E41" s="3">
        <v>141</v>
      </c>
      <c r="F41" s="3">
        <v>32.4</v>
      </c>
      <c r="G41" s="3">
        <v>0</v>
      </c>
      <c r="H41" s="3">
        <v>0</v>
      </c>
      <c r="I41" s="3">
        <v>0</v>
      </c>
      <c r="J41" s="3">
        <v>5105</v>
      </c>
      <c r="K41" s="33">
        <f t="shared" si="4"/>
        <v>5360.1697243300005</v>
      </c>
    </row>
    <row r="42" spans="1:11" ht="12" customHeight="1" x14ac:dyDescent="0.2">
      <c r="A42" s="1" t="s">
        <v>79</v>
      </c>
      <c r="B42" s="3">
        <v>0</v>
      </c>
      <c r="C42" s="3">
        <v>117</v>
      </c>
      <c r="E42" s="3">
        <v>0</v>
      </c>
      <c r="F42" s="3">
        <v>1.9</v>
      </c>
      <c r="G42" s="3">
        <v>0</v>
      </c>
      <c r="H42" s="3">
        <v>15.118</v>
      </c>
      <c r="I42" s="3">
        <v>0</v>
      </c>
      <c r="J42" s="3">
        <v>1014.3</v>
      </c>
      <c r="K42" s="33">
        <f t="shared" si="4"/>
        <v>1148.318</v>
      </c>
    </row>
    <row r="43" spans="1:11" ht="12" customHeight="1" x14ac:dyDescent="0.2"/>
    <row r="44" spans="1:11" s="2" customFormat="1" ht="12" customHeight="1" x14ac:dyDescent="0.2">
      <c r="A44" s="7" t="s">
        <v>12</v>
      </c>
      <c r="B44" s="33">
        <f t="shared" ref="B44:J44" si="5">SUM(B37:B42)</f>
        <v>924.87115788999995</v>
      </c>
      <c r="C44" s="33">
        <f t="shared" si="5"/>
        <v>1974</v>
      </c>
      <c r="D44" s="33">
        <f t="shared" si="5"/>
        <v>41896.168776819999</v>
      </c>
      <c r="E44" s="33">
        <f t="shared" si="5"/>
        <v>11148</v>
      </c>
      <c r="F44" s="33">
        <f t="shared" si="5"/>
        <v>1003</v>
      </c>
      <c r="G44" s="33">
        <f t="shared" si="5"/>
        <v>19965</v>
      </c>
      <c r="H44" s="33">
        <f t="shared" si="5"/>
        <v>43.587000000000003</v>
      </c>
      <c r="I44" s="33">
        <f t="shared" si="5"/>
        <v>3024.3914243700001</v>
      </c>
      <c r="J44" s="33">
        <f t="shared" si="5"/>
        <v>22114.899999999998</v>
      </c>
      <c r="K44" s="33">
        <f>SUM(B44:J44)</f>
        <v>102093.91835907999</v>
      </c>
    </row>
    <row r="45" spans="1:11" ht="12" customHeight="1" x14ac:dyDescent="0.2"/>
    <row r="46" spans="1:11" ht="12" customHeight="1" x14ac:dyDescent="0.2">
      <c r="A46" s="2" t="s">
        <v>45</v>
      </c>
    </row>
    <row r="47" spans="1:11" ht="12" customHeight="1" x14ac:dyDescent="0.2"/>
    <row r="48" spans="1:11" ht="12" customHeight="1" x14ac:dyDescent="0.2">
      <c r="A48" s="1" t="s">
        <v>46</v>
      </c>
      <c r="B48" s="3">
        <v>12636.9657499</v>
      </c>
      <c r="C48" s="3">
        <v>29090</v>
      </c>
      <c r="D48" s="3">
        <v>63825.187301290003</v>
      </c>
      <c r="E48" s="3">
        <v>47976</v>
      </c>
      <c r="F48" s="3">
        <v>11442.3</v>
      </c>
      <c r="G48" s="3">
        <v>45718</v>
      </c>
      <c r="H48" s="3">
        <v>30830.987000000001</v>
      </c>
      <c r="I48" s="3">
        <v>20237.287964409999</v>
      </c>
      <c r="J48" s="3">
        <f>1318.3+28302.8+163+10194.6+303.9</f>
        <v>40282.6</v>
      </c>
      <c r="K48" s="33">
        <f>SUM(B48:J48)</f>
        <v>302039.32801559998</v>
      </c>
    </row>
    <row r="49" spans="1:11" ht="12" customHeight="1" x14ac:dyDescent="0.2">
      <c r="A49" s="1" t="s">
        <v>47</v>
      </c>
      <c r="B49" s="3">
        <v>1141.37355695</v>
      </c>
      <c r="C49" s="3">
        <v>0</v>
      </c>
      <c r="E49" s="3">
        <v>1350</v>
      </c>
      <c r="F49" s="3">
        <v>463.3</v>
      </c>
      <c r="G49" s="3">
        <v>1664</v>
      </c>
      <c r="H49" s="3">
        <v>852.37699999999995</v>
      </c>
      <c r="I49" s="3">
        <v>34.861109429999999</v>
      </c>
      <c r="K49" s="33">
        <f>SUM(B49:J49)</f>
        <v>5505.9116663800005</v>
      </c>
    </row>
    <row r="50" spans="1:11" ht="12" customHeight="1" x14ac:dyDescent="0.2"/>
    <row r="51" spans="1:11" s="34" customFormat="1" ht="12" customHeight="1" x14ac:dyDescent="0.2">
      <c r="A51" s="34" t="s">
        <v>12</v>
      </c>
      <c r="B51" s="33">
        <f t="shared" ref="B51:J51" si="6">SUM(B48:B49)</f>
        <v>13778.339306850001</v>
      </c>
      <c r="C51" s="33">
        <f t="shared" si="6"/>
        <v>29090</v>
      </c>
      <c r="D51" s="33">
        <f t="shared" si="6"/>
        <v>63825.187301290003</v>
      </c>
      <c r="E51" s="33">
        <f t="shared" si="6"/>
        <v>49326</v>
      </c>
      <c r="F51" s="33">
        <f t="shared" si="6"/>
        <v>11905.599999999999</v>
      </c>
      <c r="G51" s="33">
        <f t="shared" si="6"/>
        <v>47382</v>
      </c>
      <c r="H51" s="33">
        <f t="shared" si="6"/>
        <v>31683.364000000001</v>
      </c>
      <c r="I51" s="33">
        <f t="shared" si="6"/>
        <v>20272.149073839999</v>
      </c>
      <c r="J51" s="33">
        <f t="shared" si="6"/>
        <v>40282.6</v>
      </c>
      <c r="K51" s="33">
        <f>SUM(B51:J51)</f>
        <v>307545.23968197999</v>
      </c>
    </row>
    <row r="52" spans="1:11" ht="12" customHeight="1" x14ac:dyDescent="0.2"/>
    <row r="53" spans="1:11" s="2" customFormat="1" ht="12" customHeight="1" x14ac:dyDescent="0.2">
      <c r="A53" s="2" t="s">
        <v>48</v>
      </c>
      <c r="B53" s="33">
        <v>987.79321403999995</v>
      </c>
      <c r="C53" s="33">
        <v>878</v>
      </c>
      <c r="D53" s="33">
        <v>5240.0312157400003</v>
      </c>
      <c r="E53" s="33">
        <v>369</v>
      </c>
      <c r="F53" s="33">
        <v>1020</v>
      </c>
      <c r="G53" s="33">
        <v>2401</v>
      </c>
      <c r="H53" s="33">
        <v>0</v>
      </c>
      <c r="I53" s="33">
        <v>0</v>
      </c>
      <c r="J53" s="33">
        <v>4079.7756933300002</v>
      </c>
      <c r="K53" s="33">
        <f>SUM(B53:J53)</f>
        <v>14975.600123110002</v>
      </c>
    </row>
    <row r="54" spans="1:11" ht="12" customHeight="1" x14ac:dyDescent="0.2"/>
    <row r="55" spans="1:11" ht="12" customHeight="1" x14ac:dyDescent="0.2">
      <c r="A55" s="2" t="s">
        <v>49</v>
      </c>
    </row>
    <row r="56" spans="1:11" ht="12" customHeight="1" x14ac:dyDescent="0.2"/>
    <row r="57" spans="1:11" ht="12" customHeight="1" x14ac:dyDescent="0.2">
      <c r="A57" s="1" t="s">
        <v>50</v>
      </c>
      <c r="B57" s="35">
        <f>703.15-0.462</f>
        <v>702.68799999999999</v>
      </c>
      <c r="C57" s="35">
        <f>1585.15+5.544</f>
        <v>1590.6940000000002</v>
      </c>
      <c r="D57" s="3">
        <v>4042.0333959999998</v>
      </c>
      <c r="E57" s="3">
        <v>3964</v>
      </c>
      <c r="F57" s="3">
        <v>1506.799859</v>
      </c>
      <c r="G57" s="3">
        <v>3373.65</v>
      </c>
      <c r="H57" s="37">
        <v>1870.5139999999999</v>
      </c>
      <c r="I57" s="3">
        <v>1020.364</v>
      </c>
      <c r="J57" s="3">
        <v>6533.2079999999996</v>
      </c>
      <c r="K57" s="33">
        <f>SUM(B57:J57)</f>
        <v>24603.951255</v>
      </c>
    </row>
    <row r="58" spans="1:11" ht="12" customHeight="1" x14ac:dyDescent="0.2">
      <c r="A58" s="1" t="s">
        <v>80</v>
      </c>
      <c r="C58" s="3">
        <v>7.5637801800000002</v>
      </c>
      <c r="D58" s="3">
        <v>19.24263088</v>
      </c>
      <c r="F58" s="3">
        <v>7.1896828499999996</v>
      </c>
      <c r="G58" s="3">
        <v>16.09787528</v>
      </c>
      <c r="H58" s="37">
        <v>8.8849999999999998</v>
      </c>
      <c r="I58" s="22">
        <v>4.8398840700000001</v>
      </c>
      <c r="J58" s="3">
        <v>30.909791030000001</v>
      </c>
      <c r="K58" s="33">
        <f>SUM(B58:J58)</f>
        <v>94.728644290000005</v>
      </c>
    </row>
    <row r="59" spans="1:11" ht="12" customHeight="1" x14ac:dyDescent="0.2">
      <c r="A59" s="1" t="s">
        <v>81</v>
      </c>
      <c r="B59" s="3">
        <v>0</v>
      </c>
      <c r="C59" s="3">
        <v>125</v>
      </c>
      <c r="D59" s="3">
        <v>239.78308913000001</v>
      </c>
      <c r="E59" s="36">
        <v>-453</v>
      </c>
      <c r="F59" s="3">
        <v>230</v>
      </c>
      <c r="G59" s="30">
        <f>7-339</f>
        <v>-332</v>
      </c>
      <c r="H59" s="3">
        <v>301</v>
      </c>
      <c r="I59" s="22">
        <v>350.60173609934901</v>
      </c>
      <c r="J59" s="3">
        <v>0</v>
      </c>
      <c r="K59" s="33">
        <f>SUM(B59:J59)</f>
        <v>461.38482522934902</v>
      </c>
    </row>
    <row r="60" spans="1:11" ht="12" customHeight="1" x14ac:dyDescent="0.2">
      <c r="A60" s="1" t="s">
        <v>52</v>
      </c>
      <c r="B60" s="3">
        <v>20.066156750000001</v>
      </c>
      <c r="C60" s="3">
        <v>20</v>
      </c>
      <c r="D60" s="3">
        <v>65.626655999999997</v>
      </c>
      <c r="E60" s="3">
        <v>0</v>
      </c>
      <c r="F60" s="3">
        <f>20.23-5.04</f>
        <v>15.190000000000001</v>
      </c>
      <c r="G60" s="3">
        <v>79</v>
      </c>
      <c r="H60" s="3">
        <v>6.8109999999999999</v>
      </c>
      <c r="I60" s="3">
        <v>0</v>
      </c>
      <c r="K60" s="33">
        <f>SUM(B60:J60)</f>
        <v>206.69381275000001</v>
      </c>
    </row>
    <row r="61" spans="1:11" ht="12" customHeight="1" x14ac:dyDescent="0.2">
      <c r="A61" s="1" t="s">
        <v>53</v>
      </c>
      <c r="B61" s="3">
        <v>225.25474772999999</v>
      </c>
      <c r="C61" s="3">
        <v>528</v>
      </c>
      <c r="D61" s="3">
        <v>1566.7608076500001</v>
      </c>
      <c r="E61" s="36">
        <f>1250+453</f>
        <v>1703</v>
      </c>
      <c r="F61" s="3">
        <f>(30.37+259.25+1.2+57.2+168.62+76.53+0.59)</f>
        <v>593.76</v>
      </c>
      <c r="G61" s="30">
        <f>1384+339</f>
        <v>1723</v>
      </c>
      <c r="H61" s="3">
        <v>863.99099999999999</v>
      </c>
      <c r="I61" s="3">
        <v>499.90248767000003</v>
      </c>
      <c r="J61" s="3">
        <v>2122.18449844</v>
      </c>
      <c r="K61" s="33">
        <f>SUM(B61:J61)</f>
        <v>9825.8535414899998</v>
      </c>
    </row>
    <row r="62" spans="1:11" ht="12" customHeight="1" x14ac:dyDescent="0.2">
      <c r="A62" s="1" t="s">
        <v>60</v>
      </c>
      <c r="E62" s="31">
        <f>-(446+7+12)</f>
        <v>-465</v>
      </c>
    </row>
    <row r="63" spans="1:11" s="34" customFormat="1" ht="12" customHeight="1" x14ac:dyDescent="0.2">
      <c r="A63" s="34" t="s">
        <v>12</v>
      </c>
      <c r="B63" s="33">
        <f t="shared" ref="B63:J63" si="7">SUM(B57:B62)</f>
        <v>948.00890447999996</v>
      </c>
      <c r="C63" s="33">
        <f t="shared" si="7"/>
        <v>2271.2577801800003</v>
      </c>
      <c r="D63" s="33">
        <f t="shared" si="7"/>
        <v>5933.4465796599998</v>
      </c>
      <c r="E63" s="33">
        <f t="shared" si="7"/>
        <v>4749</v>
      </c>
      <c r="F63" s="33">
        <f t="shared" si="7"/>
        <v>2352.9395418499998</v>
      </c>
      <c r="G63" s="33">
        <f t="shared" si="7"/>
        <v>4859.7478752799998</v>
      </c>
      <c r="H63" s="33">
        <f t="shared" si="7"/>
        <v>3051.201</v>
      </c>
      <c r="I63" s="33">
        <f t="shared" si="7"/>
        <v>1875.7081078393489</v>
      </c>
      <c r="J63" s="33">
        <f t="shared" si="7"/>
        <v>8686.3022894699989</v>
      </c>
      <c r="K63" s="33">
        <f>SUM(B63:J63)</f>
        <v>34727.612078759354</v>
      </c>
    </row>
    <row r="64" spans="1:11" ht="12" customHeight="1" x14ac:dyDescent="0.2"/>
    <row r="65" spans="1:11" ht="12" customHeight="1" x14ac:dyDescent="0.2">
      <c r="A65" s="1" t="s">
        <v>42</v>
      </c>
      <c r="B65" s="3">
        <f t="shared" ref="B65:J65" si="8">B30</f>
        <v>620.31601289000002</v>
      </c>
      <c r="C65" s="3">
        <f t="shared" si="8"/>
        <v>1778</v>
      </c>
      <c r="D65" s="3">
        <f t="shared" si="8"/>
        <v>4608.1402082099994</v>
      </c>
      <c r="E65" s="3">
        <f t="shared" si="8"/>
        <v>4737</v>
      </c>
      <c r="F65" s="3">
        <f t="shared" si="8"/>
        <v>2402.71</v>
      </c>
      <c r="G65" s="3">
        <f t="shared" si="8"/>
        <v>5018</v>
      </c>
      <c r="H65" s="3">
        <f t="shared" si="8"/>
        <v>3045.8850000000002</v>
      </c>
      <c r="I65" s="3">
        <f t="shared" si="8"/>
        <v>1799.3938227000001</v>
      </c>
      <c r="J65" s="3">
        <f t="shared" si="8"/>
        <v>8117.9051918700006</v>
      </c>
      <c r="K65" s="33">
        <f>SUM(B65:J65)</f>
        <v>32127.350235670005</v>
      </c>
    </row>
    <row r="66" spans="1:11" ht="12" customHeight="1" x14ac:dyDescent="0.2">
      <c r="H66" s="27"/>
    </row>
    <row r="67" spans="1:11" s="2" customFormat="1" ht="12" customHeight="1" x14ac:dyDescent="0.2">
      <c r="A67" s="7" t="s">
        <v>54</v>
      </c>
      <c r="B67" s="3">
        <f t="shared" ref="B67:J67" si="9">SUM(B57:B61)-B65</f>
        <v>327.69289158999993</v>
      </c>
      <c r="C67" s="3">
        <f t="shared" si="9"/>
        <v>493.25778018000028</v>
      </c>
      <c r="D67" s="3">
        <f t="shared" si="9"/>
        <v>1325.3063714500004</v>
      </c>
      <c r="E67" s="3">
        <f t="shared" si="9"/>
        <v>477</v>
      </c>
      <c r="F67" s="3">
        <f t="shared" si="9"/>
        <v>-49.770458150000195</v>
      </c>
      <c r="G67" s="3">
        <f t="shared" si="9"/>
        <v>-158.25212472000021</v>
      </c>
      <c r="H67" s="3">
        <f t="shared" si="9"/>
        <v>5.3159999999998035</v>
      </c>
      <c r="I67" s="3">
        <f t="shared" si="9"/>
        <v>76.31428513934884</v>
      </c>
      <c r="J67" s="3">
        <f t="shared" si="9"/>
        <v>568.39709759999823</v>
      </c>
      <c r="K67" s="33">
        <f>SUM(B67:J67)</f>
        <v>3065.2618430893472</v>
      </c>
    </row>
    <row r="68" spans="1:11" s="2" customFormat="1" ht="12" customHeight="1" x14ac:dyDescent="0.2">
      <c r="A68" s="7"/>
      <c r="B68" s="3"/>
      <c r="C68" s="3"/>
      <c r="D68" s="3"/>
      <c r="E68" s="3"/>
      <c r="F68" s="3"/>
      <c r="G68" s="3"/>
      <c r="H68" s="3"/>
      <c r="I68" s="3"/>
      <c r="J68" s="3"/>
      <c r="K68" s="33"/>
    </row>
    <row r="69" spans="1:11" ht="12" customHeight="1" x14ac:dyDescent="0.2">
      <c r="A69" s="1" t="s">
        <v>82</v>
      </c>
    </row>
    <row r="70" spans="1:11" ht="12" customHeight="1" x14ac:dyDescent="0.2">
      <c r="A70" s="1" t="s">
        <v>83</v>
      </c>
    </row>
    <row r="71" spans="1:11" ht="12" customHeight="1" x14ac:dyDescent="0.2">
      <c r="A71" s="1" t="s">
        <v>94</v>
      </c>
    </row>
    <row r="72" spans="1:11" ht="12" customHeight="1" x14ac:dyDescent="0.2">
      <c r="A72" s="1" t="s">
        <v>93</v>
      </c>
    </row>
    <row r="73" spans="1:11" ht="12" customHeight="1" x14ac:dyDescent="0.2">
      <c r="A73" s="1" t="s">
        <v>95</v>
      </c>
    </row>
    <row r="74" spans="1:11" ht="12" customHeight="1" x14ac:dyDescent="0.2">
      <c r="A74" s="1" t="s">
        <v>96</v>
      </c>
    </row>
    <row r="75" spans="1:11" ht="12" customHeight="1" x14ac:dyDescent="0.2">
      <c r="A75" s="1" t="s">
        <v>97</v>
      </c>
    </row>
    <row r="76" spans="1:11" ht="12" customHeight="1" x14ac:dyDescent="0.2"/>
  </sheetData>
  <phoneticPr fontId="0" type="noConversion"/>
  <printOptions horizontalCentered="1"/>
  <pageMargins left="0.39370078740157483" right="0.39370078740157483" top="0.39370078740157483" bottom="0.19685039370078741" header="0.51181102362204722" footer="0.19"/>
  <pageSetup paperSize="9" scale="90" orientation="landscape" horizontalDpi="4294967292" verticalDpi="3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K79"/>
  <sheetViews>
    <sheetView workbookViewId="0">
      <pane xSplit="1" ySplit="4" topLeftCell="B5" activePane="bottomRight" state="frozenSplit"/>
      <selection activeCell="B5" sqref="B5"/>
      <selection pane="topRight" activeCell="B5" sqref="B5"/>
      <selection pane="bottomLeft" activeCell="B5" sqref="B5"/>
      <selection pane="bottomRight" activeCell="B5" sqref="B5"/>
    </sheetView>
  </sheetViews>
  <sheetFormatPr baseColWidth="10" defaultRowHeight="12.75" x14ac:dyDescent="0.2"/>
  <cols>
    <col min="1" max="1" width="38.28515625" style="1" customWidth="1"/>
    <col min="2" max="10" width="11.42578125" style="3"/>
    <col min="11" max="11" width="11.42578125" style="33"/>
    <col min="12" max="16384" width="11.42578125" style="1"/>
  </cols>
  <sheetData>
    <row r="1" spans="1:11" x14ac:dyDescent="0.2">
      <c r="A1" s="2" t="s">
        <v>98</v>
      </c>
    </row>
    <row r="2" spans="1:11" x14ac:dyDescent="0.2">
      <c r="A2" s="1" t="s">
        <v>179</v>
      </c>
    </row>
    <row r="4" spans="1:11" s="3" customFormat="1" x14ac:dyDescent="0.2">
      <c r="A4" s="5"/>
      <c r="B4" s="3" t="s">
        <v>3</v>
      </c>
      <c r="C4" s="3" t="s">
        <v>4</v>
      </c>
      <c r="D4" s="3" t="s">
        <v>5</v>
      </c>
      <c r="E4" s="3" t="s">
        <v>6</v>
      </c>
      <c r="F4" s="3" t="s">
        <v>7</v>
      </c>
      <c r="G4" s="3" t="s">
        <v>8</v>
      </c>
      <c r="H4" s="3" t="s">
        <v>9</v>
      </c>
      <c r="I4" s="3" t="s">
        <v>10</v>
      </c>
      <c r="J4" s="3" t="s">
        <v>11</v>
      </c>
      <c r="K4" s="33" t="s">
        <v>12</v>
      </c>
    </row>
    <row r="6" spans="1:11" ht="15.75" x14ac:dyDescent="0.25">
      <c r="A6" s="6" t="s">
        <v>42</v>
      </c>
    </row>
    <row r="8" spans="1:11" x14ac:dyDescent="0.2">
      <c r="A8" s="2" t="s">
        <v>13</v>
      </c>
    </row>
    <row r="10" spans="1:11" x14ac:dyDescent="0.2">
      <c r="A10" s="1" t="s">
        <v>66</v>
      </c>
      <c r="B10" s="3">
        <v>915.60486500000002</v>
      </c>
      <c r="C10" s="3">
        <v>1491</v>
      </c>
      <c r="D10" s="3">
        <v>7213.7989129999996</v>
      </c>
      <c r="E10" s="3">
        <v>3684</v>
      </c>
      <c r="F10" s="3">
        <v>1005.84</v>
      </c>
      <c r="G10" s="3">
        <v>1493</v>
      </c>
      <c r="H10" s="3">
        <v>1801.107</v>
      </c>
      <c r="I10" s="3">
        <v>1017.66589717</v>
      </c>
      <c r="J10" s="3">
        <v>70.883650000000003</v>
      </c>
      <c r="K10" s="33">
        <f t="shared" ref="K10:K15" si="0">SUM(B10:J10)</f>
        <v>18692.900325170001</v>
      </c>
    </row>
    <row r="11" spans="1:11" x14ac:dyDescent="0.2">
      <c r="A11" s="1" t="s">
        <v>67</v>
      </c>
      <c r="B11" s="3">
        <v>12.39174</v>
      </c>
      <c r="C11" s="3">
        <v>16</v>
      </c>
      <c r="D11" s="3">
        <v>6.2E-2</v>
      </c>
      <c r="E11" s="3">
        <v>0</v>
      </c>
      <c r="F11" s="3">
        <v>0</v>
      </c>
      <c r="G11" s="3">
        <v>0</v>
      </c>
      <c r="H11" s="3">
        <v>0.34</v>
      </c>
      <c r="I11" s="3">
        <v>0</v>
      </c>
      <c r="J11" s="3">
        <v>331.577113</v>
      </c>
      <c r="K11" s="33">
        <f t="shared" si="0"/>
        <v>360.37085300000001</v>
      </c>
    </row>
    <row r="12" spans="1:11" x14ac:dyDescent="0.2">
      <c r="A12" s="1" t="s">
        <v>68</v>
      </c>
      <c r="B12" s="3">
        <v>121.339467</v>
      </c>
      <c r="C12" s="3">
        <v>50</v>
      </c>
      <c r="D12" s="3">
        <v>1037.54927679</v>
      </c>
      <c r="E12" s="3">
        <f>4.8+491.9+96.9</f>
        <v>593.6</v>
      </c>
      <c r="F12" s="3">
        <f>277.18+860.22</f>
        <v>1137.4000000000001</v>
      </c>
      <c r="G12" s="3">
        <v>1190</v>
      </c>
      <c r="H12" s="3">
        <v>123.02200000000001</v>
      </c>
      <c r="I12" s="3">
        <v>121.01034112000001</v>
      </c>
      <c r="J12" s="3">
        <v>930.71561565000002</v>
      </c>
      <c r="K12" s="33">
        <f t="shared" si="0"/>
        <v>5304.6367005600005</v>
      </c>
    </row>
    <row r="13" spans="1:11" x14ac:dyDescent="0.2">
      <c r="A13" t="s">
        <v>69</v>
      </c>
      <c r="B13" s="3">
        <v>0</v>
      </c>
      <c r="C13" s="3">
        <v>0</v>
      </c>
      <c r="D13" s="3">
        <v>233.47059032999999</v>
      </c>
      <c r="E13" s="3">
        <v>0.42</v>
      </c>
      <c r="F13" s="3">
        <v>13.2</v>
      </c>
      <c r="G13" s="3">
        <v>40</v>
      </c>
      <c r="H13" s="3">
        <v>382.68299999999999</v>
      </c>
      <c r="I13" s="3">
        <v>0</v>
      </c>
      <c r="J13" s="3">
        <v>5181.7830051000001</v>
      </c>
      <c r="K13" s="33">
        <f t="shared" si="0"/>
        <v>5851.55659543</v>
      </c>
    </row>
    <row r="14" spans="1:11" x14ac:dyDescent="0.2">
      <c r="A14" s="1" t="s">
        <v>70</v>
      </c>
      <c r="B14" s="3">
        <v>0</v>
      </c>
      <c r="C14" s="3">
        <v>0</v>
      </c>
      <c r="D14" s="3">
        <v>0</v>
      </c>
      <c r="E14" s="3">
        <v>0</v>
      </c>
      <c r="F14" s="3">
        <v>0</v>
      </c>
      <c r="G14" s="3">
        <v>0</v>
      </c>
      <c r="H14" s="3">
        <v>0</v>
      </c>
      <c r="I14" s="3">
        <v>0</v>
      </c>
      <c r="J14" s="3">
        <v>0</v>
      </c>
      <c r="K14" s="33">
        <f t="shared" si="0"/>
        <v>0</v>
      </c>
    </row>
    <row r="15" spans="1:11" x14ac:dyDescent="0.2">
      <c r="A15" s="1" t="s">
        <v>71</v>
      </c>
      <c r="B15" s="3">
        <v>0.70091970000000003</v>
      </c>
      <c r="C15" s="3">
        <v>82</v>
      </c>
      <c r="D15" s="3">
        <f>36.834798+54.748489</f>
        <v>91.583286999999999</v>
      </c>
      <c r="E15" s="3">
        <f>143.3+71.7+501.4</f>
        <v>716.4</v>
      </c>
      <c r="F15" s="3">
        <v>89.67</v>
      </c>
      <c r="G15" s="3">
        <f>102+272</f>
        <v>374</v>
      </c>
      <c r="H15" s="3">
        <v>119.904</v>
      </c>
      <c r="I15" s="3">
        <f>17.140838+8.75491697+67.560641</f>
        <v>93.456395970000003</v>
      </c>
      <c r="J15" s="3">
        <v>421.10864500000002</v>
      </c>
      <c r="K15" s="33">
        <f t="shared" si="0"/>
        <v>1988.8232476699998</v>
      </c>
    </row>
    <row r="17" spans="1:11" s="28" customFormat="1" x14ac:dyDescent="0.2">
      <c r="A17" s="28" t="s">
        <v>12</v>
      </c>
      <c r="B17" s="29">
        <f t="shared" ref="B17:J17" si="1">SUM(B10:B15)</f>
        <v>1050.0369917</v>
      </c>
      <c r="C17" s="29">
        <f t="shared" si="1"/>
        <v>1639</v>
      </c>
      <c r="D17" s="29">
        <f t="shared" si="1"/>
        <v>8576.4640671199995</v>
      </c>
      <c r="E17" s="29">
        <f t="shared" si="1"/>
        <v>4994.42</v>
      </c>
      <c r="F17" s="29">
        <f t="shared" si="1"/>
        <v>2246.11</v>
      </c>
      <c r="G17" s="29">
        <f t="shared" si="1"/>
        <v>3097</v>
      </c>
      <c r="H17" s="29">
        <f t="shared" si="1"/>
        <v>2427.056</v>
      </c>
      <c r="I17" s="29">
        <f t="shared" si="1"/>
        <v>1232.1326342599998</v>
      </c>
      <c r="J17" s="29">
        <f t="shared" si="1"/>
        <v>6936.0680287499999</v>
      </c>
      <c r="K17" s="29">
        <f>SUM(B17:J17)</f>
        <v>32198.287721829998</v>
      </c>
    </row>
    <row r="20" spans="1:11" x14ac:dyDescent="0.2">
      <c r="A20" s="2" t="s">
        <v>14</v>
      </c>
    </row>
    <row r="22" spans="1:11" x14ac:dyDescent="0.2">
      <c r="A22" s="1" t="s">
        <v>72</v>
      </c>
      <c r="B22" s="3">
        <v>235.40870000000001</v>
      </c>
      <c r="C22" s="3">
        <v>0</v>
      </c>
      <c r="D22" s="3">
        <v>5.9950000000000001</v>
      </c>
      <c r="E22" s="3">
        <v>14.46</v>
      </c>
      <c r="F22" s="3">
        <v>30.27</v>
      </c>
      <c r="G22" s="3">
        <v>371</v>
      </c>
      <c r="H22" s="3">
        <v>0.125</v>
      </c>
      <c r="I22" s="3">
        <v>0</v>
      </c>
      <c r="J22" s="3">
        <v>0</v>
      </c>
      <c r="K22" s="33">
        <f>SUM(B22:J22)</f>
        <v>657.25870000000009</v>
      </c>
    </row>
    <row r="23" spans="1:11" x14ac:dyDescent="0.2">
      <c r="A23" s="1" t="s">
        <v>68</v>
      </c>
      <c r="B23" s="3">
        <v>0</v>
      </c>
      <c r="C23" s="3">
        <v>27</v>
      </c>
      <c r="D23" s="3">
        <v>797.83803364000005</v>
      </c>
      <c r="E23" s="3">
        <v>574</v>
      </c>
      <c r="F23" s="3">
        <f>3.95+95.35</f>
        <v>99.3</v>
      </c>
      <c r="G23" s="3">
        <v>1267</v>
      </c>
      <c r="H23" s="3">
        <v>265.56700000000001</v>
      </c>
      <c r="I23" s="3">
        <v>320.33211201</v>
      </c>
      <c r="J23" s="3">
        <v>1710.0274447300001</v>
      </c>
      <c r="K23" s="33">
        <f>SUM(B23:J23)</f>
        <v>5061.0645903799996</v>
      </c>
    </row>
    <row r="24" spans="1:11" x14ac:dyDescent="0.2">
      <c r="A24" t="s">
        <v>69</v>
      </c>
      <c r="B24" s="3">
        <v>0</v>
      </c>
      <c r="C24" s="3">
        <v>134</v>
      </c>
      <c r="D24" s="3">
        <v>161.53492299999999</v>
      </c>
      <c r="E24" s="3">
        <v>0</v>
      </c>
      <c r="F24" s="3">
        <v>2.5299999999999998</v>
      </c>
      <c r="G24" s="3">
        <v>210</v>
      </c>
      <c r="H24" s="3">
        <v>111.11</v>
      </c>
      <c r="I24" s="3">
        <v>0</v>
      </c>
      <c r="J24" s="3">
        <v>1441.22784563</v>
      </c>
      <c r="K24" s="33">
        <f>SUM(B24:J24)</f>
        <v>2060.4027686300001</v>
      </c>
    </row>
    <row r="25" spans="1:11" x14ac:dyDescent="0.2">
      <c r="A25" s="1" t="s">
        <v>70</v>
      </c>
      <c r="B25" s="3">
        <v>0</v>
      </c>
      <c r="C25" s="3">
        <v>0</v>
      </c>
      <c r="D25" s="3">
        <v>0</v>
      </c>
      <c r="E25" s="3">
        <v>0</v>
      </c>
      <c r="F25" s="3">
        <v>0</v>
      </c>
      <c r="G25" s="3">
        <v>0</v>
      </c>
      <c r="H25" s="3">
        <v>0.248</v>
      </c>
      <c r="I25" s="3">
        <v>0</v>
      </c>
      <c r="J25" s="3">
        <v>3.9657390299999999</v>
      </c>
      <c r="K25" s="33">
        <f>SUM(B25:J25)</f>
        <v>4.2137390300000002</v>
      </c>
    </row>
    <row r="26" spans="1:11" x14ac:dyDescent="0.2">
      <c r="A26" s="1" t="s">
        <v>71</v>
      </c>
      <c r="B26" s="3">
        <v>0</v>
      </c>
      <c r="C26" s="3">
        <v>0</v>
      </c>
      <c r="D26" s="3">
        <f>16.575489+5.8784386</f>
        <v>22.4539276</v>
      </c>
      <c r="E26" s="3">
        <f>11.4+9.7+3.2</f>
        <v>24.3</v>
      </c>
      <c r="F26" s="3">
        <v>1.43</v>
      </c>
      <c r="G26" s="3">
        <f>4+309</f>
        <v>313</v>
      </c>
      <c r="H26" s="3">
        <v>0.68100000000000005</v>
      </c>
      <c r="I26" s="3">
        <v>0</v>
      </c>
      <c r="J26" s="3">
        <v>38.005595999999997</v>
      </c>
      <c r="K26" s="33">
        <f>SUM(B26:J26)</f>
        <v>399.87052359999996</v>
      </c>
    </row>
    <row r="28" spans="1:11" s="28" customFormat="1" x14ac:dyDescent="0.2">
      <c r="A28" s="28" t="s">
        <v>12</v>
      </c>
      <c r="B28" s="29">
        <f t="shared" ref="B28:J28" si="2">SUM(B22:B26)</f>
        <v>235.40870000000001</v>
      </c>
      <c r="C28" s="29">
        <f t="shared" si="2"/>
        <v>161</v>
      </c>
      <c r="D28" s="29">
        <f t="shared" si="2"/>
        <v>987.82188424000014</v>
      </c>
      <c r="E28" s="29">
        <f t="shared" si="2"/>
        <v>612.76</v>
      </c>
      <c r="F28" s="29">
        <f t="shared" si="2"/>
        <v>133.53</v>
      </c>
      <c r="G28" s="29">
        <f t="shared" si="2"/>
        <v>2161</v>
      </c>
      <c r="H28" s="29">
        <f t="shared" si="2"/>
        <v>377.73099999999999</v>
      </c>
      <c r="I28" s="29">
        <f t="shared" si="2"/>
        <v>320.33211201</v>
      </c>
      <c r="J28" s="29">
        <f t="shared" si="2"/>
        <v>3193.2266253899998</v>
      </c>
      <c r="K28" s="29">
        <f>SUM(B28:J28)</f>
        <v>8182.8103216399995</v>
      </c>
    </row>
    <row r="30" spans="1:11" s="34" customFormat="1" x14ac:dyDescent="0.2">
      <c r="A30" s="34" t="s">
        <v>43</v>
      </c>
      <c r="B30" s="33">
        <f t="shared" ref="B30:J30" si="3">B17+B28</f>
        <v>1285.4456917</v>
      </c>
      <c r="C30" s="33">
        <f t="shared" si="3"/>
        <v>1800</v>
      </c>
      <c r="D30" s="33">
        <f t="shared" si="3"/>
        <v>9564.2859513599997</v>
      </c>
      <c r="E30" s="33">
        <f t="shared" si="3"/>
        <v>5607.18</v>
      </c>
      <c r="F30" s="33">
        <f t="shared" si="3"/>
        <v>2379.6400000000003</v>
      </c>
      <c r="G30" s="33">
        <f t="shared" si="3"/>
        <v>5258</v>
      </c>
      <c r="H30" s="33">
        <f t="shared" si="3"/>
        <v>2804.7870000000003</v>
      </c>
      <c r="I30" s="33">
        <f t="shared" si="3"/>
        <v>1552.4647462699998</v>
      </c>
      <c r="J30" s="33">
        <f t="shared" si="3"/>
        <v>10129.29465414</v>
      </c>
      <c r="K30" s="33">
        <f>SUM(B30:J30)</f>
        <v>40381.098043470003</v>
      </c>
    </row>
    <row r="33" spans="1:11" ht="15" customHeight="1" x14ac:dyDescent="0.25">
      <c r="A33" s="6" t="s">
        <v>44</v>
      </c>
    </row>
    <row r="34" spans="1:11" ht="12" customHeight="1" x14ac:dyDescent="0.2"/>
    <row r="35" spans="1:11" ht="12" customHeight="1" x14ac:dyDescent="0.2">
      <c r="A35" s="2" t="s">
        <v>73</v>
      </c>
    </row>
    <row r="36" spans="1:11" ht="12" customHeight="1" x14ac:dyDescent="0.2"/>
    <row r="37" spans="1:11" ht="12" customHeight="1" x14ac:dyDescent="0.2">
      <c r="A37" s="1" t="s">
        <v>74</v>
      </c>
      <c r="B37" s="3">
        <v>602.31103729999995</v>
      </c>
      <c r="C37" s="3">
        <v>1733</v>
      </c>
      <c r="D37" s="3">
        <v>0</v>
      </c>
      <c r="E37" s="3">
        <v>3248</v>
      </c>
      <c r="F37" s="3">
        <v>480.25</v>
      </c>
      <c r="G37" s="3">
        <v>949</v>
      </c>
      <c r="H37" s="3">
        <v>1261.059</v>
      </c>
      <c r="I37" s="3">
        <v>0</v>
      </c>
      <c r="J37" s="3">
        <v>265.54820000000001</v>
      </c>
      <c r="K37" s="33">
        <f t="shared" ref="K37:K42" si="4">SUM(B37:J37)</f>
        <v>8539.1682372999985</v>
      </c>
    </row>
    <row r="38" spans="1:11" ht="12" customHeight="1" x14ac:dyDescent="0.2">
      <c r="A38" s="1" t="s">
        <v>75</v>
      </c>
      <c r="B38" s="3">
        <v>194.73210316000001</v>
      </c>
      <c r="C38" s="3">
        <v>0</v>
      </c>
      <c r="D38" s="3">
        <v>0</v>
      </c>
      <c r="E38" s="3">
        <v>47.6</v>
      </c>
      <c r="F38" s="3">
        <v>85.53</v>
      </c>
      <c r="G38" s="3">
        <v>286</v>
      </c>
      <c r="H38" s="3">
        <v>0.14899999999999999</v>
      </c>
      <c r="I38" s="3">
        <v>0</v>
      </c>
      <c r="J38" s="3">
        <v>0</v>
      </c>
      <c r="K38" s="33">
        <f t="shared" si="4"/>
        <v>614.01110316000006</v>
      </c>
    </row>
    <row r="39" spans="1:11" ht="12" customHeight="1" x14ac:dyDescent="0.2">
      <c r="A39" s="1" t="s">
        <v>76</v>
      </c>
      <c r="B39" s="3">
        <v>369.94830345000003</v>
      </c>
      <c r="C39" s="3">
        <v>0</v>
      </c>
      <c r="D39" s="3">
        <v>31132.720148410001</v>
      </c>
      <c r="E39" s="3">
        <f>3.9+5649.2</f>
        <v>5653.0999999999995</v>
      </c>
      <c r="F39" s="3">
        <v>1.38</v>
      </c>
      <c r="G39" s="3">
        <v>12413</v>
      </c>
      <c r="H39" s="3">
        <v>24.016999999999999</v>
      </c>
      <c r="I39" s="3">
        <v>0</v>
      </c>
      <c r="J39" s="3">
        <v>3733.6037099999999</v>
      </c>
      <c r="K39" s="33">
        <f t="shared" si="4"/>
        <v>53327.76916186</v>
      </c>
    </row>
    <row r="40" spans="1:11" ht="12" customHeight="1" x14ac:dyDescent="0.2">
      <c r="A40" s="1" t="s">
        <v>77</v>
      </c>
      <c r="B40" s="3">
        <v>0</v>
      </c>
      <c r="C40" s="3">
        <v>0</v>
      </c>
      <c r="D40" s="3">
        <v>8289.4303356500004</v>
      </c>
      <c r="E40" s="3">
        <v>4063.2</v>
      </c>
      <c r="F40" s="3">
        <v>327.39999999999998</v>
      </c>
      <c r="G40" s="3">
        <v>8045</v>
      </c>
      <c r="H40" s="3">
        <v>12.183</v>
      </c>
      <c r="I40" s="3">
        <v>3014.4434003599999</v>
      </c>
      <c r="J40" s="3">
        <v>10584.6621099</v>
      </c>
      <c r="K40" s="33">
        <f t="shared" si="4"/>
        <v>34336.318845910006</v>
      </c>
    </row>
    <row r="41" spans="1:11" ht="12" customHeight="1" x14ac:dyDescent="0.2">
      <c r="A41" s="1" t="s">
        <v>78</v>
      </c>
      <c r="B41" s="3">
        <v>0</v>
      </c>
      <c r="C41" s="3">
        <v>0</v>
      </c>
      <c r="D41" s="3">
        <v>148.90763537999999</v>
      </c>
      <c r="F41" s="3">
        <v>13.21</v>
      </c>
      <c r="G41" s="3">
        <v>0</v>
      </c>
      <c r="H41" s="3">
        <v>196.727</v>
      </c>
      <c r="I41" s="3">
        <v>0</v>
      </c>
      <c r="J41" s="3">
        <v>3995.6702300000002</v>
      </c>
      <c r="K41" s="33">
        <f t="shared" si="4"/>
        <v>4354.5148653800006</v>
      </c>
    </row>
    <row r="42" spans="1:11" ht="12" customHeight="1" x14ac:dyDescent="0.2">
      <c r="A42" s="1" t="s">
        <v>79</v>
      </c>
      <c r="B42" s="3">
        <v>0</v>
      </c>
      <c r="C42" s="3">
        <v>111</v>
      </c>
      <c r="F42" s="3">
        <v>3.52</v>
      </c>
      <c r="G42" s="3">
        <v>0</v>
      </c>
      <c r="H42" s="3">
        <v>7.12</v>
      </c>
      <c r="I42" s="3">
        <v>0</v>
      </c>
      <c r="J42" s="3">
        <v>738.00616600000001</v>
      </c>
      <c r="K42" s="33">
        <f t="shared" si="4"/>
        <v>859.64616599999999</v>
      </c>
    </row>
    <row r="43" spans="1:11" ht="12" customHeight="1" x14ac:dyDescent="0.2"/>
    <row r="44" spans="1:11" s="2" customFormat="1" ht="12" customHeight="1" x14ac:dyDescent="0.2">
      <c r="A44" s="7" t="s">
        <v>12</v>
      </c>
      <c r="B44" s="33">
        <f t="shared" ref="B44:J44" si="5">SUM(B37:B42)</f>
        <v>1166.9914439099998</v>
      </c>
      <c r="C44" s="33">
        <f t="shared" si="5"/>
        <v>1844</v>
      </c>
      <c r="D44" s="33">
        <f t="shared" si="5"/>
        <v>39571.05811944</v>
      </c>
      <c r="E44" s="33">
        <f t="shared" si="5"/>
        <v>13011.899999999998</v>
      </c>
      <c r="F44" s="33">
        <f t="shared" si="5"/>
        <v>911.29</v>
      </c>
      <c r="G44" s="33">
        <f t="shared" si="5"/>
        <v>21693</v>
      </c>
      <c r="H44" s="33">
        <f t="shared" si="5"/>
        <v>1501.2549999999999</v>
      </c>
      <c r="I44" s="33">
        <f t="shared" si="5"/>
        <v>3014.4434003599999</v>
      </c>
      <c r="J44" s="33">
        <f t="shared" si="5"/>
        <v>19317.4904159</v>
      </c>
      <c r="K44" s="33">
        <f>SUM(B44:J44)</f>
        <v>102031.42837961002</v>
      </c>
    </row>
    <row r="45" spans="1:11" ht="12" customHeight="1" x14ac:dyDescent="0.2"/>
    <row r="46" spans="1:11" ht="12" customHeight="1" x14ac:dyDescent="0.2">
      <c r="A46" s="2" t="s">
        <v>45</v>
      </c>
    </row>
    <row r="47" spans="1:11" ht="12" customHeight="1" x14ac:dyDescent="0.2"/>
    <row r="48" spans="1:11" ht="12" customHeight="1" x14ac:dyDescent="0.2">
      <c r="A48" s="1" t="s">
        <v>46</v>
      </c>
      <c r="B48" s="3">
        <v>13090.838880879999</v>
      </c>
      <c r="C48" s="3">
        <v>28978</v>
      </c>
      <c r="D48" s="3">
        <v>69372.084408120005</v>
      </c>
      <c r="E48" s="3">
        <v>45084.2</v>
      </c>
      <c r="F48" s="3">
        <v>12130.48</v>
      </c>
      <c r="G48" s="3">
        <v>41909</v>
      </c>
      <c r="H48" s="3">
        <v>32096.834999999999</v>
      </c>
      <c r="I48" s="3">
        <v>20936.40019538</v>
      </c>
      <c r="J48" s="3">
        <f>35842.05235717+1.45004164+862.96439412+706.86173553+269.72991785</f>
        <v>37683.058446310002</v>
      </c>
      <c r="K48" s="33">
        <f>SUM(B48:J48)</f>
        <v>301280.89693068998</v>
      </c>
    </row>
    <row r="49" spans="1:11" ht="12" customHeight="1" x14ac:dyDescent="0.2">
      <c r="A49" s="1" t="s">
        <v>47</v>
      </c>
      <c r="B49" s="3">
        <v>1261.43114339</v>
      </c>
      <c r="C49" s="3">
        <v>0</v>
      </c>
      <c r="D49" s="3">
        <v>0</v>
      </c>
      <c r="E49" s="3">
        <v>1297.8</v>
      </c>
      <c r="F49" s="3">
        <v>454.01</v>
      </c>
      <c r="G49" s="3">
        <v>1908</v>
      </c>
      <c r="H49" s="3">
        <v>827.95</v>
      </c>
      <c r="I49" s="3">
        <v>30.400847089999999</v>
      </c>
      <c r="J49" s="3">
        <v>33.773871489999998</v>
      </c>
      <c r="K49" s="33">
        <f>SUM(B49:J49)</f>
        <v>5813.3658619699991</v>
      </c>
    </row>
    <row r="50" spans="1:11" ht="12" customHeight="1" x14ac:dyDescent="0.2"/>
    <row r="51" spans="1:11" s="34" customFormat="1" ht="12" customHeight="1" x14ac:dyDescent="0.2">
      <c r="A51" s="34" t="s">
        <v>12</v>
      </c>
      <c r="B51" s="33">
        <f t="shared" ref="B51:J51" si="6">SUM(B48:B49)</f>
        <v>14352.270024269999</v>
      </c>
      <c r="C51" s="33">
        <f t="shared" si="6"/>
        <v>28978</v>
      </c>
      <c r="D51" s="33">
        <f t="shared" si="6"/>
        <v>69372.084408120005</v>
      </c>
      <c r="E51" s="33">
        <f t="shared" si="6"/>
        <v>46382</v>
      </c>
      <c r="F51" s="33">
        <f t="shared" si="6"/>
        <v>12584.49</v>
      </c>
      <c r="G51" s="33">
        <f t="shared" si="6"/>
        <v>43817</v>
      </c>
      <c r="H51" s="33">
        <f t="shared" si="6"/>
        <v>32924.784999999996</v>
      </c>
      <c r="I51" s="33">
        <f t="shared" si="6"/>
        <v>20966.801042470001</v>
      </c>
      <c r="J51" s="33">
        <f t="shared" si="6"/>
        <v>37716.832317799999</v>
      </c>
      <c r="K51" s="33">
        <f>SUM(B51:J51)</f>
        <v>307094.26279266004</v>
      </c>
    </row>
    <row r="52" spans="1:11" ht="12" customHeight="1" x14ac:dyDescent="0.2">
      <c r="E52" s="3">
        <f>E51/13.7603</f>
        <v>3370.711394373669</v>
      </c>
    </row>
    <row r="53" spans="1:11" s="2" customFormat="1" ht="12" customHeight="1" x14ac:dyDescent="0.2">
      <c r="A53" s="2" t="s">
        <v>48</v>
      </c>
      <c r="B53" s="71">
        <f>84.14*13.7603</f>
        <v>1157.7916420000001</v>
      </c>
      <c r="C53" s="33">
        <v>1133</v>
      </c>
      <c r="D53" s="33">
        <v>2052.5902608599999</v>
      </c>
      <c r="E53" s="33">
        <v>1738</v>
      </c>
      <c r="F53" s="33">
        <v>822.67</v>
      </c>
      <c r="G53" s="72">
        <v>2219</v>
      </c>
      <c r="H53" s="33">
        <v>0</v>
      </c>
      <c r="I53" s="33">
        <v>0</v>
      </c>
      <c r="J53" s="33">
        <v>5721.3738068800003</v>
      </c>
      <c r="K53" s="33">
        <f>SUM(B53:J53)</f>
        <v>14844.42570974</v>
      </c>
    </row>
    <row r="54" spans="1:11" ht="12" customHeight="1" x14ac:dyDescent="0.2"/>
    <row r="55" spans="1:11" ht="12" customHeight="1" x14ac:dyDescent="0.2">
      <c r="A55" s="2" t="s">
        <v>49</v>
      </c>
    </row>
    <row r="56" spans="1:11" ht="12" customHeight="1" x14ac:dyDescent="0.2">
      <c r="D56" s="38"/>
    </row>
    <row r="57" spans="1:11" ht="12" customHeight="1" x14ac:dyDescent="0.2">
      <c r="A57" s="1" t="s">
        <v>50</v>
      </c>
      <c r="B57" s="35">
        <f>703.15-0.125</f>
        <v>703.02499999999998</v>
      </c>
      <c r="C57" s="35">
        <f>1585.15+0.63</f>
        <v>1585.7800000000002</v>
      </c>
      <c r="D57" s="3">
        <f>4032.7+2.888495</f>
        <v>4035.588495</v>
      </c>
      <c r="E57" s="3">
        <v>3949.3474236900001</v>
      </c>
      <c r="F57" s="3">
        <f>1506.75+0.019</f>
        <v>1506.769</v>
      </c>
      <c r="G57" s="3">
        <f>3373.65+0.065502</f>
        <v>3373.715502</v>
      </c>
      <c r="H57" s="3">
        <v>1864.913</v>
      </c>
      <c r="I57" s="3">
        <f>1014.3+6.064</f>
        <v>1020.3639999999999</v>
      </c>
      <c r="J57" s="3">
        <f>6477.8+55.408</f>
        <v>6533.2080000000005</v>
      </c>
      <c r="K57" s="33">
        <f t="shared" ref="K57:K63" si="7">SUM(B57:J57)</f>
        <v>24572.710420690004</v>
      </c>
    </row>
    <row r="58" spans="1:11" ht="12" customHeight="1" x14ac:dyDescent="0.2">
      <c r="A58" s="1" t="s">
        <v>80</v>
      </c>
      <c r="C58" s="3">
        <v>10.32712291</v>
      </c>
      <c r="D58" s="3">
        <v>26.27271146</v>
      </c>
      <c r="F58" s="3">
        <v>9.8163533100000002</v>
      </c>
      <c r="G58" s="3">
        <v>21.979054479999999</v>
      </c>
      <c r="H58" s="37"/>
      <c r="I58" s="22">
        <v>6.6080817500000002</v>
      </c>
      <c r="J58" s="3">
        <v>42.20233846</v>
      </c>
      <c r="K58" s="33">
        <f t="shared" si="7"/>
        <v>117.20566237</v>
      </c>
    </row>
    <row r="59" spans="1:11" ht="12" customHeight="1" x14ac:dyDescent="0.2">
      <c r="A59" s="1" t="s">
        <v>81</v>
      </c>
      <c r="C59" s="25">
        <f>-189.337</f>
        <v>-189.33699999999999</v>
      </c>
      <c r="D59" s="3">
        <v>327.60000000000002</v>
      </c>
      <c r="E59" s="36">
        <v>-653</v>
      </c>
      <c r="F59" s="3">
        <v>0</v>
      </c>
      <c r="H59" s="3">
        <v>120</v>
      </c>
      <c r="I59" s="22">
        <v>353.53011199999997</v>
      </c>
      <c r="J59" s="3">
        <v>0</v>
      </c>
      <c r="K59" s="33">
        <f t="shared" si="7"/>
        <v>-41.206887999999992</v>
      </c>
    </row>
    <row r="60" spans="1:11" ht="12" customHeight="1" x14ac:dyDescent="0.2">
      <c r="A60" s="1" t="s">
        <v>52</v>
      </c>
      <c r="B60" s="3">
        <v>22.02080814</v>
      </c>
      <c r="C60" s="3">
        <v>31</v>
      </c>
      <c r="D60" s="3">
        <v>87.672470000000004</v>
      </c>
      <c r="E60" s="3">
        <v>0</v>
      </c>
      <c r="F60" s="3">
        <v>12.63</v>
      </c>
      <c r="G60" s="3">
        <v>112</v>
      </c>
      <c r="H60" s="3">
        <v>3.069</v>
      </c>
      <c r="I60" s="3">
        <v>0</v>
      </c>
      <c r="K60" s="33">
        <f t="shared" si="7"/>
        <v>268.39227814000003</v>
      </c>
    </row>
    <row r="61" spans="1:11" ht="12" customHeight="1" x14ac:dyDescent="0.2">
      <c r="A61" s="1" t="s">
        <v>53</v>
      </c>
      <c r="B61" s="3">
        <v>245.91048007000001</v>
      </c>
      <c r="C61" s="25">
        <f>565+189.337</f>
        <v>754.33699999999999</v>
      </c>
      <c r="D61" s="3">
        <v>1899.7113200199999</v>
      </c>
      <c r="E61" s="3">
        <f>923+3018</f>
        <v>3941</v>
      </c>
      <c r="F61" s="3">
        <f>7.6+285.71+1.47+46.88+172.31+37.59+0.05-2.74</f>
        <v>548.87</v>
      </c>
      <c r="G61" s="3">
        <v>1768</v>
      </c>
      <c r="H61" s="3">
        <v>846.44200000000001</v>
      </c>
      <c r="I61" s="3">
        <v>515.67498159000002</v>
      </c>
      <c r="J61" s="3">
        <v>5195.48242923</v>
      </c>
      <c r="K61" s="33">
        <f t="shared" si="7"/>
        <v>15715.428210909999</v>
      </c>
    </row>
    <row r="62" spans="1:11" ht="12" customHeight="1" x14ac:dyDescent="0.2">
      <c r="A62" s="1" t="s">
        <v>60</v>
      </c>
      <c r="E62" s="40">
        <f>-62.5-21.4</f>
        <v>-83.9</v>
      </c>
      <c r="K62" s="33">
        <f t="shared" si="7"/>
        <v>-83.9</v>
      </c>
    </row>
    <row r="63" spans="1:11" s="34" customFormat="1" ht="12" customHeight="1" x14ac:dyDescent="0.2">
      <c r="A63" s="34" t="s">
        <v>12</v>
      </c>
      <c r="B63" s="33">
        <f t="shared" ref="B63:J63" si="8">SUM(B57:B62)</f>
        <v>970.95628820999991</v>
      </c>
      <c r="C63" s="33">
        <f t="shared" si="8"/>
        <v>2192.1071229100003</v>
      </c>
      <c r="D63" s="33">
        <f t="shared" si="8"/>
        <v>6376.8449964800011</v>
      </c>
      <c r="E63" s="33">
        <f t="shared" si="8"/>
        <v>7153.4474236900005</v>
      </c>
      <c r="F63" s="33">
        <f t="shared" si="8"/>
        <v>2078.0853533100003</v>
      </c>
      <c r="G63" s="33">
        <f t="shared" si="8"/>
        <v>5275.6945564799998</v>
      </c>
      <c r="H63" s="33">
        <f t="shared" si="8"/>
        <v>2834.424</v>
      </c>
      <c r="I63" s="33">
        <f t="shared" si="8"/>
        <v>1896.1771753399998</v>
      </c>
      <c r="J63" s="33">
        <f t="shared" si="8"/>
        <v>11770.89276769</v>
      </c>
      <c r="K63" s="33">
        <f t="shared" si="7"/>
        <v>40548.629684110005</v>
      </c>
    </row>
    <row r="64" spans="1:11" ht="12" customHeight="1" x14ac:dyDescent="0.2"/>
    <row r="65" spans="1:11" ht="12" customHeight="1" x14ac:dyDescent="0.2">
      <c r="A65" s="1" t="s">
        <v>42</v>
      </c>
      <c r="B65" s="3">
        <f t="shared" ref="B65:J65" si="9">B30</f>
        <v>1285.4456917</v>
      </c>
      <c r="C65" s="3">
        <f t="shared" si="9"/>
        <v>1800</v>
      </c>
      <c r="D65" s="3">
        <f t="shared" si="9"/>
        <v>9564.2859513599997</v>
      </c>
      <c r="E65" s="3">
        <f t="shared" si="9"/>
        <v>5607.18</v>
      </c>
      <c r="F65" s="3">
        <f t="shared" si="9"/>
        <v>2379.6400000000003</v>
      </c>
      <c r="G65" s="3">
        <f t="shared" si="9"/>
        <v>5258</v>
      </c>
      <c r="H65" s="3">
        <f t="shared" si="9"/>
        <v>2804.7870000000003</v>
      </c>
      <c r="I65" s="3">
        <f t="shared" si="9"/>
        <v>1552.4647462699998</v>
      </c>
      <c r="J65" s="3">
        <f t="shared" si="9"/>
        <v>10129.29465414</v>
      </c>
      <c r="K65" s="33">
        <f>SUM(B65:J65)</f>
        <v>40381.098043470003</v>
      </c>
    </row>
    <row r="66" spans="1:11" ht="12" customHeight="1" x14ac:dyDescent="0.2">
      <c r="H66" s="27"/>
    </row>
    <row r="67" spans="1:11" s="2" customFormat="1" ht="12" customHeight="1" x14ac:dyDescent="0.2">
      <c r="A67" s="7" t="s">
        <v>54</v>
      </c>
      <c r="B67" s="3">
        <f t="shared" ref="B67:J67" si="10">SUM(B57:B61)-B65</f>
        <v>-314.48940349000009</v>
      </c>
      <c r="C67" s="3">
        <f t="shared" si="10"/>
        <v>392.10712291000027</v>
      </c>
      <c r="D67" s="3">
        <f t="shared" si="10"/>
        <v>-3187.4409548799986</v>
      </c>
      <c r="E67" s="3">
        <f t="shared" si="10"/>
        <v>1630.1674236899999</v>
      </c>
      <c r="F67" s="3">
        <f t="shared" si="10"/>
        <v>-301.55464669000003</v>
      </c>
      <c r="G67" s="3">
        <f t="shared" si="10"/>
        <v>17.694556479999846</v>
      </c>
      <c r="H67" s="3">
        <f t="shared" si="10"/>
        <v>29.636999999999716</v>
      </c>
      <c r="I67" s="3">
        <f t="shared" si="10"/>
        <v>343.7124290700001</v>
      </c>
      <c r="J67" s="3">
        <f t="shared" si="10"/>
        <v>1641.5981135500006</v>
      </c>
      <c r="K67" s="33">
        <f>SUM(B67:J67)</f>
        <v>251.43164064000143</v>
      </c>
    </row>
    <row r="68" spans="1:11" s="2" customFormat="1" ht="12" customHeight="1" x14ac:dyDescent="0.2">
      <c r="A68" s="7"/>
      <c r="B68" s="3"/>
      <c r="C68" s="3"/>
      <c r="D68" s="3"/>
      <c r="E68" s="3"/>
      <c r="F68" s="3"/>
      <c r="G68" s="3"/>
      <c r="H68" s="3"/>
      <c r="I68" s="3"/>
      <c r="J68" s="3"/>
      <c r="K68" s="33"/>
    </row>
    <row r="69" spans="1:11" ht="12" customHeight="1" x14ac:dyDescent="0.2">
      <c r="A69" s="1" t="s">
        <v>82</v>
      </c>
    </row>
    <row r="70" spans="1:11" ht="12" customHeight="1" x14ac:dyDescent="0.2">
      <c r="A70" s="1" t="s">
        <v>83</v>
      </c>
    </row>
    <row r="71" spans="1:11" ht="12" customHeight="1" x14ac:dyDescent="0.2">
      <c r="A71" s="1" t="s">
        <v>99</v>
      </c>
    </row>
    <row r="72" spans="1:11" ht="12" customHeight="1" x14ac:dyDescent="0.2">
      <c r="A72" s="1" t="s">
        <v>100</v>
      </c>
    </row>
    <row r="73" spans="1:11" ht="12" customHeight="1" x14ac:dyDescent="0.2">
      <c r="A73" s="1" t="s">
        <v>101</v>
      </c>
    </row>
    <row r="74" spans="1:11" ht="12" customHeight="1" x14ac:dyDescent="0.2">
      <c r="A74" s="1" t="s">
        <v>102</v>
      </c>
    </row>
    <row r="75" spans="1:11" ht="12" customHeight="1" x14ac:dyDescent="0.2">
      <c r="A75" s="43" t="s">
        <v>135</v>
      </c>
    </row>
    <row r="76" spans="1:11" ht="12" customHeight="1" x14ac:dyDescent="0.2">
      <c r="A76" s="67" t="s">
        <v>155</v>
      </c>
    </row>
    <row r="77" spans="1:11" s="3" customFormat="1" ht="10.5" customHeight="1" x14ac:dyDescent="0.2">
      <c r="D77" s="39"/>
      <c r="K77" s="33"/>
    </row>
    <row r="78" spans="1:11" x14ac:dyDescent="0.2">
      <c r="D78" s="39"/>
    </row>
    <row r="79" spans="1:11" x14ac:dyDescent="0.2">
      <c r="D79" s="39"/>
    </row>
  </sheetData>
  <phoneticPr fontId="0" type="noConversion"/>
  <printOptions horizontalCentered="1"/>
  <pageMargins left="0.39370078740157483" right="0.39370078740157483" top="0.39370078740157483" bottom="0.19685039370078741" header="0.51181102362204722" footer="0.19"/>
  <pageSetup paperSize="9" scale="90" orientation="landscape" horizontalDpi="4294967292" verticalDpi="300" r:id="rId1"/>
  <headerFooter alignWithMargins="0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99"/>
  <sheetViews>
    <sheetView workbookViewId="0">
      <pane xSplit="1" ySplit="4" topLeftCell="B5" activePane="bottomRight" state="frozenSplit"/>
      <selection activeCell="B5" sqref="B5"/>
      <selection pane="topRight" activeCell="B5" sqref="B5"/>
      <selection pane="bottomLeft" activeCell="B5" sqref="B5"/>
      <selection pane="bottomRight" activeCell="B5" sqref="B5"/>
    </sheetView>
  </sheetViews>
  <sheetFormatPr baseColWidth="10" defaultRowHeight="12.75" x14ac:dyDescent="0.2"/>
  <cols>
    <col min="1" max="1" width="41.28515625" style="1" customWidth="1"/>
    <col min="2" max="2" width="10.5703125" style="3" customWidth="1"/>
    <col min="3" max="3" width="11.42578125" style="3"/>
    <col min="4" max="4" width="13" style="3" customWidth="1"/>
    <col min="5" max="10" width="11.42578125" style="3"/>
    <col min="11" max="11" width="13.85546875" style="33" customWidth="1"/>
    <col min="12" max="16384" width="11.42578125" style="1"/>
  </cols>
  <sheetData>
    <row r="1" spans="1:11" x14ac:dyDescent="0.2">
      <c r="A1" s="2" t="s">
        <v>103</v>
      </c>
    </row>
    <row r="2" spans="1:11" x14ac:dyDescent="0.2">
      <c r="A2" s="1" t="s">
        <v>154</v>
      </c>
    </row>
    <row r="4" spans="1:11" s="3" customFormat="1" x14ac:dyDescent="0.2">
      <c r="A4" s="5"/>
      <c r="B4" s="3" t="s">
        <v>3</v>
      </c>
      <c r="C4" s="3" t="s">
        <v>4</v>
      </c>
      <c r="D4" s="3" t="s">
        <v>5</v>
      </c>
      <c r="E4" s="3" t="s">
        <v>6</v>
      </c>
      <c r="F4" s="3" t="s">
        <v>7</v>
      </c>
      <c r="G4" s="3" t="s">
        <v>8</v>
      </c>
      <c r="H4" s="3" t="s">
        <v>9</v>
      </c>
      <c r="I4" s="3" t="s">
        <v>10</v>
      </c>
      <c r="J4" s="3" t="s">
        <v>11</v>
      </c>
      <c r="K4" s="33" t="s">
        <v>12</v>
      </c>
    </row>
    <row r="6" spans="1:11" ht="15.75" x14ac:dyDescent="0.25">
      <c r="A6" s="6" t="s">
        <v>42</v>
      </c>
    </row>
    <row r="8" spans="1:11" x14ac:dyDescent="0.2">
      <c r="A8" s="2" t="s">
        <v>13</v>
      </c>
    </row>
    <row r="10" spans="1:11" x14ac:dyDescent="0.2">
      <c r="A10" s="1" t="s">
        <v>72</v>
      </c>
      <c r="B10" s="32">
        <v>54.454821930000001</v>
      </c>
      <c r="C10" s="32">
        <v>121.72</v>
      </c>
      <c r="D10" s="32">
        <v>103.09750514</v>
      </c>
      <c r="E10" s="32">
        <v>226.06</v>
      </c>
      <c r="F10" s="32">
        <v>49.844732</v>
      </c>
      <c r="G10" s="32">
        <v>67.260000000000005</v>
      </c>
      <c r="H10" s="32">
        <v>122.521</v>
      </c>
      <c r="I10" s="32">
        <v>71.041128</v>
      </c>
      <c r="J10" s="32">
        <v>30.687863709999998</v>
      </c>
      <c r="K10" s="41">
        <f t="shared" ref="K10:K15" si="0">SUM(B10:J10)</f>
        <v>846.68705077999994</v>
      </c>
    </row>
    <row r="11" spans="1:11" x14ac:dyDescent="0.2">
      <c r="A11" s="1" t="s">
        <v>104</v>
      </c>
      <c r="C11" s="32">
        <v>0</v>
      </c>
      <c r="D11" s="32">
        <v>0</v>
      </c>
      <c r="E11" s="32">
        <v>0</v>
      </c>
      <c r="F11" s="32">
        <v>89.947827000000004</v>
      </c>
      <c r="G11" s="32">
        <v>91.79</v>
      </c>
      <c r="H11" s="32">
        <v>0</v>
      </c>
      <c r="I11" s="32">
        <v>8.7290620000000008</v>
      </c>
      <c r="J11" s="32">
        <v>0</v>
      </c>
      <c r="K11" s="41">
        <f t="shared" si="0"/>
        <v>190.46688900000001</v>
      </c>
    </row>
    <row r="12" spans="1:11" x14ac:dyDescent="0.2">
      <c r="A12" s="1" t="s">
        <v>109</v>
      </c>
      <c r="B12" s="32">
        <v>4.1703151500000004</v>
      </c>
      <c r="C12" s="32">
        <v>4.43</v>
      </c>
      <c r="D12" s="32">
        <v>86.657295439999999</v>
      </c>
      <c r="E12" s="32">
        <v>48.75</v>
      </c>
      <c r="F12" s="32">
        <v>0.36973899999999998</v>
      </c>
      <c r="G12" s="32">
        <v>8.4</v>
      </c>
      <c r="H12" s="32">
        <v>10.553000000000001</v>
      </c>
      <c r="I12" s="32">
        <v>0</v>
      </c>
      <c r="J12" s="32">
        <v>48.775456720000001</v>
      </c>
      <c r="K12" s="41">
        <f t="shared" si="0"/>
        <v>212.10580631000002</v>
      </c>
    </row>
    <row r="13" spans="1:11" x14ac:dyDescent="0.2">
      <c r="A13" t="s">
        <v>69</v>
      </c>
      <c r="B13" s="32"/>
      <c r="C13" s="32">
        <v>0</v>
      </c>
      <c r="D13" s="32">
        <v>19.076747610000002</v>
      </c>
      <c r="E13" s="32">
        <v>11.1</v>
      </c>
      <c r="F13" s="32">
        <v>0.724831</v>
      </c>
      <c r="G13" s="32">
        <v>0.76</v>
      </c>
      <c r="H13" s="32">
        <v>31.885999999999999</v>
      </c>
      <c r="I13" s="32">
        <v>0</v>
      </c>
      <c r="J13" s="32">
        <v>139.35804734000001</v>
      </c>
      <c r="K13" s="41">
        <f t="shared" si="0"/>
        <v>202.90562595</v>
      </c>
    </row>
    <row r="14" spans="1:11" x14ac:dyDescent="0.2">
      <c r="A14" s="1" t="s">
        <v>70</v>
      </c>
      <c r="B14" s="32"/>
      <c r="C14" s="32">
        <v>0</v>
      </c>
      <c r="D14" s="32">
        <v>0</v>
      </c>
      <c r="E14" s="32">
        <v>0</v>
      </c>
      <c r="F14" s="32">
        <v>0</v>
      </c>
      <c r="G14" s="32">
        <v>0</v>
      </c>
      <c r="H14" s="32">
        <v>0</v>
      </c>
      <c r="I14" s="32">
        <v>0</v>
      </c>
      <c r="J14" s="32">
        <v>0</v>
      </c>
      <c r="K14" s="41">
        <f t="shared" si="0"/>
        <v>0</v>
      </c>
    </row>
    <row r="15" spans="1:11" x14ac:dyDescent="0.2">
      <c r="A15" s="1" t="s">
        <v>71</v>
      </c>
      <c r="B15" s="32">
        <v>9.6359959999999995E-2</v>
      </c>
      <c r="C15" s="32">
        <v>7.13</v>
      </c>
      <c r="D15" s="32">
        <f>2.591175+4.140899</f>
        <v>6.7320739999999999</v>
      </c>
      <c r="E15" s="32">
        <f>9.13+41.6</f>
        <v>50.730000000000004</v>
      </c>
      <c r="F15" s="32">
        <v>6.9506589999999999</v>
      </c>
      <c r="G15" s="32">
        <v>26.98</v>
      </c>
      <c r="H15" s="32">
        <v>9.9489999999999998</v>
      </c>
      <c r="I15" s="32">
        <f>1.186972+11.320641</f>
        <v>12.507612999999999</v>
      </c>
      <c r="J15" s="32">
        <v>35.833754210000002</v>
      </c>
      <c r="K15" s="41">
        <f t="shared" si="0"/>
        <v>156.90946016999999</v>
      </c>
    </row>
    <row r="16" spans="1:11" x14ac:dyDescent="0.2">
      <c r="B16" s="32"/>
      <c r="C16" s="32"/>
      <c r="D16" s="32"/>
      <c r="E16" s="32"/>
      <c r="F16" s="32"/>
      <c r="G16" s="32"/>
      <c r="H16" s="32"/>
      <c r="I16" s="32"/>
      <c r="J16" s="32"/>
      <c r="K16" s="41"/>
    </row>
    <row r="17" spans="1:256" s="28" customFormat="1" x14ac:dyDescent="0.2">
      <c r="A17" s="28" t="s">
        <v>12</v>
      </c>
      <c r="B17" s="42">
        <f t="shared" ref="B17:J17" si="1">SUM(B10:B15)</f>
        <v>58.721497040000003</v>
      </c>
      <c r="C17" s="42">
        <f t="shared" si="1"/>
        <v>133.28</v>
      </c>
      <c r="D17" s="42">
        <f t="shared" si="1"/>
        <v>215.56362219000002</v>
      </c>
      <c r="E17" s="42">
        <f t="shared" si="1"/>
        <v>336.64000000000004</v>
      </c>
      <c r="F17" s="42">
        <f t="shared" si="1"/>
        <v>147.83778800000002</v>
      </c>
      <c r="G17" s="42">
        <f t="shared" si="1"/>
        <v>195.19</v>
      </c>
      <c r="H17" s="42">
        <f t="shared" si="1"/>
        <v>174.90900000000002</v>
      </c>
      <c r="I17" s="42">
        <f t="shared" si="1"/>
        <v>92.277803000000006</v>
      </c>
      <c r="J17" s="42">
        <f t="shared" si="1"/>
        <v>254.65512197999999</v>
      </c>
      <c r="K17" s="42">
        <f>SUM(B17:J17)</f>
        <v>1609.0748322100003</v>
      </c>
    </row>
    <row r="18" spans="1:256" x14ac:dyDescent="0.2">
      <c r="B18" s="32"/>
      <c r="C18" s="32"/>
      <c r="D18" s="32"/>
      <c r="E18" s="32"/>
      <c r="F18" s="32"/>
      <c r="G18" s="32"/>
      <c r="H18" s="32"/>
      <c r="I18" s="32"/>
      <c r="J18" s="32"/>
      <c r="K18" s="41"/>
    </row>
    <row r="19" spans="1:256" x14ac:dyDescent="0.2">
      <c r="B19" s="32"/>
      <c r="C19" s="32"/>
      <c r="D19" s="32"/>
      <c r="E19" s="32"/>
      <c r="F19" s="32"/>
      <c r="G19" s="32"/>
      <c r="H19" s="32"/>
      <c r="I19" s="32"/>
      <c r="J19" s="32"/>
      <c r="K19" s="41"/>
    </row>
    <row r="20" spans="1:256" x14ac:dyDescent="0.2">
      <c r="A20" s="2" t="s">
        <v>14</v>
      </c>
      <c r="B20" s="32"/>
      <c r="C20" s="32"/>
      <c r="D20" s="32"/>
      <c r="E20" s="32"/>
      <c r="F20" s="32"/>
      <c r="G20" s="32"/>
      <c r="H20" s="32"/>
      <c r="I20" s="32"/>
      <c r="J20" s="32"/>
      <c r="K20" s="41"/>
    </row>
    <row r="21" spans="1:256" x14ac:dyDescent="0.2">
      <c r="B21" s="32"/>
      <c r="C21" s="32"/>
      <c r="D21" s="32"/>
      <c r="E21" s="32"/>
      <c r="F21" s="32"/>
      <c r="G21" s="32"/>
      <c r="H21" s="32"/>
      <c r="I21" s="32"/>
      <c r="J21" s="32"/>
      <c r="K21" s="41"/>
    </row>
    <row r="22" spans="1:256" x14ac:dyDescent="0.2">
      <c r="A22" s="1" t="s">
        <v>72</v>
      </c>
      <c r="B22" s="32">
        <v>12.05074892</v>
      </c>
      <c r="C22" s="32">
        <v>0</v>
      </c>
      <c r="D22" s="32">
        <v>0</v>
      </c>
      <c r="E22" s="32">
        <v>2.58</v>
      </c>
      <c r="F22" s="32">
        <v>2.9804810000000002</v>
      </c>
      <c r="G22" s="32">
        <v>69.760000000000005</v>
      </c>
      <c r="H22" s="32">
        <v>1.0999999999999999E-2</v>
      </c>
      <c r="I22" s="32">
        <v>0</v>
      </c>
      <c r="J22" s="32">
        <v>1.4414838299999999</v>
      </c>
      <c r="K22" s="41">
        <f t="shared" ref="K22:K27" si="2">SUM(B22:J22)</f>
        <v>88.823713749999996</v>
      </c>
    </row>
    <row r="23" spans="1:256" x14ac:dyDescent="0.2">
      <c r="A23" s="1" t="s">
        <v>104</v>
      </c>
      <c r="C23" s="32">
        <v>0</v>
      </c>
      <c r="D23" s="32">
        <v>0</v>
      </c>
      <c r="E23" s="32">
        <v>0</v>
      </c>
      <c r="F23" s="32">
        <v>0</v>
      </c>
      <c r="G23" s="32">
        <v>0</v>
      </c>
      <c r="H23" s="32">
        <v>0</v>
      </c>
      <c r="I23" s="32">
        <v>0</v>
      </c>
      <c r="J23" s="32">
        <v>0</v>
      </c>
      <c r="K23" s="41">
        <f t="shared" si="2"/>
        <v>0</v>
      </c>
    </row>
    <row r="24" spans="1:256" x14ac:dyDescent="0.2">
      <c r="A24" s="1" t="s">
        <v>109</v>
      </c>
      <c r="B24" s="32">
        <v>5.5152319999999998E-2</v>
      </c>
      <c r="C24" s="32">
        <v>12.99</v>
      </c>
      <c r="D24" s="32">
        <v>51.550334579999998</v>
      </c>
      <c r="E24" s="32">
        <v>41.24</v>
      </c>
      <c r="F24" s="32">
        <v>7.1707669999999997</v>
      </c>
      <c r="G24" s="32">
        <v>84.55</v>
      </c>
      <c r="H24" s="32">
        <v>17.567</v>
      </c>
      <c r="I24" s="32">
        <v>23.046498</v>
      </c>
      <c r="J24" s="32">
        <v>111.81490545</v>
      </c>
      <c r="K24" s="41">
        <f t="shared" si="2"/>
        <v>349.98465735000002</v>
      </c>
    </row>
    <row r="25" spans="1:256" x14ac:dyDescent="0.2">
      <c r="A25" t="s">
        <v>69</v>
      </c>
      <c r="B25" s="32"/>
      <c r="C25" s="32">
        <v>0</v>
      </c>
      <c r="D25" s="32">
        <v>0.73501645000000004</v>
      </c>
      <c r="E25" s="32">
        <v>0</v>
      </c>
      <c r="F25" s="32">
        <v>0.37305899999999997</v>
      </c>
      <c r="G25" s="32">
        <v>5.88</v>
      </c>
      <c r="H25" s="32">
        <v>9.3350000000000009</v>
      </c>
      <c r="I25" s="32">
        <v>0.12769800000000001</v>
      </c>
      <c r="J25" s="32">
        <v>87.225431569999998</v>
      </c>
      <c r="K25" s="41">
        <f t="shared" si="2"/>
        <v>103.67620502</v>
      </c>
    </row>
    <row r="26" spans="1:256" x14ac:dyDescent="0.2">
      <c r="A26" s="1" t="s">
        <v>70</v>
      </c>
      <c r="B26" s="32"/>
      <c r="C26" s="32">
        <v>0</v>
      </c>
      <c r="D26" s="32">
        <v>0</v>
      </c>
      <c r="E26" s="32">
        <v>0</v>
      </c>
      <c r="F26" s="32"/>
      <c r="G26" s="32">
        <v>0</v>
      </c>
      <c r="H26" s="32">
        <v>2E-3</v>
      </c>
      <c r="I26" s="32">
        <v>0</v>
      </c>
      <c r="J26" s="32">
        <v>0.21199485000000001</v>
      </c>
      <c r="K26" s="41">
        <f t="shared" si="2"/>
        <v>0.21399485000000001</v>
      </c>
    </row>
    <row r="27" spans="1:256" x14ac:dyDescent="0.2">
      <c r="A27" s="1" t="s">
        <v>71</v>
      </c>
      <c r="B27" s="32"/>
      <c r="C27" s="32">
        <v>0</v>
      </c>
      <c r="D27" s="32">
        <f>1.045611+0.6028379</f>
        <v>1.6484489</v>
      </c>
      <c r="E27" s="32">
        <f>0.59+0.7</f>
        <v>1.29</v>
      </c>
      <c r="F27" s="32"/>
      <c r="G27" s="32">
        <v>25.82</v>
      </c>
      <c r="H27" s="32">
        <v>2.3E-2</v>
      </c>
      <c r="I27" s="32">
        <v>0</v>
      </c>
      <c r="J27" s="32">
        <v>3.5788348399999999</v>
      </c>
      <c r="K27" s="41">
        <f t="shared" si="2"/>
        <v>32.36028374</v>
      </c>
    </row>
    <row r="28" spans="1:256" x14ac:dyDescent="0.2">
      <c r="B28" s="32"/>
      <c r="C28" s="32"/>
      <c r="D28" s="32"/>
      <c r="E28" s="32"/>
      <c r="F28" s="32"/>
      <c r="G28" s="32"/>
      <c r="H28" s="32"/>
      <c r="I28" s="32"/>
      <c r="J28" s="32"/>
      <c r="K28" s="41"/>
    </row>
    <row r="29" spans="1:256" s="28" customFormat="1" x14ac:dyDescent="0.2">
      <c r="A29" s="28" t="s">
        <v>12</v>
      </c>
      <c r="B29" s="42">
        <f t="shared" ref="B29:J29" si="3">SUM(B22:B27)</f>
        <v>12.10590124</v>
      </c>
      <c r="C29" s="42">
        <f t="shared" si="3"/>
        <v>12.99</v>
      </c>
      <c r="D29" s="42">
        <f t="shared" si="3"/>
        <v>53.933799929999999</v>
      </c>
      <c r="E29" s="42">
        <f t="shared" si="3"/>
        <v>45.11</v>
      </c>
      <c r="F29" s="42">
        <f t="shared" si="3"/>
        <v>10.524306999999999</v>
      </c>
      <c r="G29" s="42">
        <f t="shared" si="3"/>
        <v>186.01</v>
      </c>
      <c r="H29" s="42">
        <f t="shared" si="3"/>
        <v>26.937999999999999</v>
      </c>
      <c r="I29" s="42">
        <f t="shared" si="3"/>
        <v>23.174195999999998</v>
      </c>
      <c r="J29" s="42">
        <f t="shared" si="3"/>
        <v>204.27265054</v>
      </c>
      <c r="K29" s="42">
        <f>SUM(B29:J29)</f>
        <v>575.05885470999999</v>
      </c>
    </row>
    <row r="30" spans="1:256" x14ac:dyDescent="0.2">
      <c r="B30" s="32"/>
      <c r="C30" s="32"/>
      <c r="D30" s="32"/>
      <c r="E30" s="32"/>
      <c r="F30" s="32"/>
      <c r="G30" s="32"/>
      <c r="H30" s="32"/>
      <c r="I30" s="32"/>
      <c r="J30" s="32"/>
      <c r="K30" s="41"/>
    </row>
    <row r="31" spans="1:256" s="34" customFormat="1" x14ac:dyDescent="0.2">
      <c r="A31" s="34" t="s">
        <v>43</v>
      </c>
      <c r="B31" s="41">
        <f t="shared" ref="B31:J31" si="4">B17+B29</f>
        <v>70.827398279999997</v>
      </c>
      <c r="C31" s="41">
        <f t="shared" si="4"/>
        <v>146.27000000000001</v>
      </c>
      <c r="D31" s="41">
        <f t="shared" si="4"/>
        <v>269.49742212000001</v>
      </c>
      <c r="E31" s="41">
        <f t="shared" si="4"/>
        <v>381.75000000000006</v>
      </c>
      <c r="F31" s="41">
        <f t="shared" si="4"/>
        <v>158.36209500000001</v>
      </c>
      <c r="G31" s="41">
        <f t="shared" si="4"/>
        <v>381.2</v>
      </c>
      <c r="H31" s="41">
        <f t="shared" si="4"/>
        <v>201.84700000000001</v>
      </c>
      <c r="I31" s="41">
        <f t="shared" si="4"/>
        <v>115.451999</v>
      </c>
      <c r="J31" s="41">
        <f t="shared" si="4"/>
        <v>458.92777251999996</v>
      </c>
      <c r="K31" s="41">
        <f>SUM(B31:J31)</f>
        <v>2184.1336869199999</v>
      </c>
    </row>
    <row r="32" spans="1:256" x14ac:dyDescent="0.2">
      <c r="B32" s="32"/>
      <c r="C32" s="32"/>
      <c r="D32" s="32"/>
      <c r="E32" s="32"/>
      <c r="F32" s="32"/>
      <c r="G32" s="32"/>
      <c r="H32" s="32"/>
      <c r="I32" s="32"/>
      <c r="J32" s="32"/>
      <c r="K32" s="32"/>
      <c r="L32" s="32"/>
      <c r="M32" s="32"/>
      <c r="N32" s="32"/>
      <c r="O32" s="32"/>
      <c r="P32" s="32"/>
      <c r="Q32" s="32"/>
      <c r="R32" s="32"/>
      <c r="S32" s="32"/>
      <c r="T32" s="32"/>
      <c r="U32" s="32"/>
      <c r="V32" s="32"/>
      <c r="W32" s="32"/>
      <c r="X32" s="32"/>
      <c r="Y32" s="32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2"/>
      <c r="AK32" s="32"/>
      <c r="AL32" s="32"/>
      <c r="AM32" s="32"/>
      <c r="AN32" s="32"/>
      <c r="AO32" s="32"/>
      <c r="AP32" s="32"/>
      <c r="AQ32" s="32"/>
      <c r="AR32" s="32"/>
      <c r="AS32" s="32"/>
      <c r="AT32" s="32"/>
      <c r="AU32" s="32"/>
      <c r="AV32" s="32"/>
      <c r="AW32" s="32"/>
      <c r="AX32" s="32"/>
      <c r="AY32" s="32"/>
      <c r="AZ32" s="32"/>
      <c r="BA32" s="32"/>
      <c r="BB32" s="32"/>
      <c r="BC32" s="32"/>
      <c r="BD32" s="32"/>
      <c r="BE32" s="32"/>
      <c r="BF32" s="32"/>
      <c r="BG32" s="32"/>
      <c r="BH32" s="32"/>
      <c r="BI32" s="32"/>
      <c r="BJ32" s="32"/>
      <c r="BK32" s="32"/>
      <c r="BL32" s="32"/>
      <c r="BM32" s="32"/>
      <c r="BN32" s="32"/>
      <c r="BO32" s="32"/>
      <c r="BP32" s="32"/>
      <c r="BQ32" s="32"/>
      <c r="BR32" s="32"/>
      <c r="BS32" s="32"/>
      <c r="BT32" s="32"/>
      <c r="BU32" s="32"/>
      <c r="BV32" s="32"/>
      <c r="BW32" s="32"/>
      <c r="BX32" s="32"/>
      <c r="BY32" s="32"/>
      <c r="BZ32" s="32"/>
      <c r="CA32" s="32"/>
      <c r="CB32" s="32"/>
      <c r="CC32" s="32"/>
      <c r="CD32" s="32"/>
      <c r="CE32" s="32"/>
      <c r="CF32" s="32"/>
      <c r="CG32" s="32"/>
      <c r="CH32" s="32"/>
      <c r="CI32" s="32"/>
      <c r="CJ32" s="32"/>
      <c r="CK32" s="32"/>
      <c r="CL32" s="32"/>
      <c r="CM32" s="32"/>
      <c r="CN32" s="32"/>
      <c r="CO32" s="32"/>
      <c r="CP32" s="32"/>
      <c r="CQ32" s="32"/>
      <c r="CR32" s="32"/>
      <c r="CS32" s="32"/>
      <c r="CT32" s="32"/>
      <c r="CU32" s="32"/>
      <c r="CV32" s="32"/>
      <c r="CW32" s="32"/>
      <c r="CX32" s="32"/>
      <c r="CY32" s="32"/>
      <c r="CZ32" s="32"/>
      <c r="DA32" s="32"/>
      <c r="DB32" s="32"/>
      <c r="DC32" s="32"/>
      <c r="DD32" s="32"/>
      <c r="DE32" s="32"/>
      <c r="DF32" s="32"/>
      <c r="DG32" s="32"/>
      <c r="DH32" s="32"/>
      <c r="DI32" s="32"/>
      <c r="DJ32" s="32"/>
      <c r="DK32" s="32"/>
      <c r="DL32" s="32"/>
      <c r="DM32" s="32"/>
      <c r="DN32" s="32"/>
      <c r="DO32" s="32"/>
      <c r="DP32" s="32"/>
      <c r="DQ32" s="32"/>
      <c r="DR32" s="32"/>
      <c r="DS32" s="32"/>
      <c r="DT32" s="32"/>
      <c r="DU32" s="32"/>
      <c r="DV32" s="32"/>
      <c r="DW32" s="32"/>
      <c r="DX32" s="32"/>
      <c r="DY32" s="32"/>
      <c r="DZ32" s="32"/>
      <c r="EA32" s="32"/>
      <c r="EB32" s="32"/>
      <c r="EC32" s="32"/>
      <c r="ED32" s="32"/>
      <c r="EE32" s="32"/>
      <c r="EF32" s="32"/>
      <c r="EG32" s="32"/>
      <c r="EH32" s="32"/>
      <c r="EI32" s="32"/>
      <c r="EJ32" s="32"/>
      <c r="EK32" s="32"/>
      <c r="EL32" s="32"/>
      <c r="EM32" s="32"/>
      <c r="EN32" s="32"/>
      <c r="EO32" s="32"/>
      <c r="EP32" s="32"/>
      <c r="EQ32" s="32"/>
      <c r="ER32" s="32"/>
      <c r="ES32" s="32"/>
      <c r="ET32" s="32"/>
      <c r="EU32" s="32"/>
      <c r="EV32" s="32"/>
      <c r="EW32" s="32"/>
      <c r="EX32" s="32"/>
      <c r="EY32" s="32"/>
      <c r="EZ32" s="32"/>
      <c r="FA32" s="32"/>
      <c r="FB32" s="32"/>
      <c r="FC32" s="32"/>
      <c r="FD32" s="32"/>
      <c r="FE32" s="32"/>
      <c r="FF32" s="32"/>
      <c r="FG32" s="32"/>
      <c r="FH32" s="32"/>
      <c r="FI32" s="32"/>
      <c r="FJ32" s="32"/>
      <c r="FK32" s="32"/>
      <c r="FL32" s="32"/>
      <c r="FM32" s="32"/>
      <c r="FN32" s="32"/>
      <c r="FO32" s="32"/>
      <c r="FP32" s="32"/>
      <c r="FQ32" s="32"/>
      <c r="FR32" s="32"/>
      <c r="FS32" s="32"/>
      <c r="FT32" s="32"/>
      <c r="FU32" s="32"/>
      <c r="FV32" s="32"/>
      <c r="FW32" s="32"/>
      <c r="FX32" s="32"/>
      <c r="FY32" s="32"/>
      <c r="FZ32" s="32"/>
      <c r="GA32" s="32"/>
      <c r="GB32" s="32"/>
      <c r="GC32" s="32"/>
      <c r="GD32" s="32"/>
      <c r="GE32" s="32"/>
      <c r="GF32" s="32"/>
      <c r="GG32" s="32"/>
      <c r="GH32" s="32"/>
      <c r="GI32" s="32"/>
      <c r="GJ32" s="32"/>
      <c r="GK32" s="32"/>
      <c r="GL32" s="32"/>
      <c r="GM32" s="32"/>
      <c r="GN32" s="32"/>
      <c r="GO32" s="32"/>
      <c r="GP32" s="32"/>
      <c r="GQ32" s="32"/>
      <c r="GR32" s="32"/>
      <c r="GS32" s="32"/>
      <c r="GT32" s="32"/>
      <c r="GU32" s="32"/>
      <c r="GV32" s="32"/>
      <c r="GW32" s="32"/>
      <c r="GX32" s="32"/>
      <c r="GY32" s="32"/>
      <c r="GZ32" s="32"/>
      <c r="HA32" s="32"/>
      <c r="HB32" s="32"/>
      <c r="HC32" s="32"/>
      <c r="HD32" s="32"/>
      <c r="HE32" s="32"/>
      <c r="HF32" s="32"/>
      <c r="HG32" s="32"/>
      <c r="HH32" s="32"/>
      <c r="HI32" s="32"/>
      <c r="HJ32" s="32"/>
      <c r="HK32" s="32"/>
      <c r="HL32" s="32"/>
      <c r="HM32" s="32"/>
      <c r="HN32" s="32"/>
      <c r="HO32" s="32"/>
      <c r="HP32" s="32"/>
      <c r="HQ32" s="32"/>
      <c r="HR32" s="32"/>
      <c r="HS32" s="32"/>
      <c r="HT32" s="32"/>
      <c r="HU32" s="32"/>
      <c r="HV32" s="32"/>
      <c r="HW32" s="32"/>
      <c r="HX32" s="32"/>
      <c r="HY32" s="32"/>
      <c r="HZ32" s="32"/>
      <c r="IA32" s="32"/>
      <c r="IB32" s="32"/>
      <c r="IC32" s="32"/>
      <c r="ID32" s="32"/>
      <c r="IE32" s="32"/>
      <c r="IF32" s="32"/>
      <c r="IG32" s="32"/>
      <c r="IH32" s="32"/>
      <c r="II32" s="32"/>
      <c r="IJ32" s="32"/>
      <c r="IK32" s="32"/>
      <c r="IL32" s="32"/>
      <c r="IM32" s="32"/>
      <c r="IN32" s="32"/>
      <c r="IO32" s="32"/>
      <c r="IP32" s="32"/>
      <c r="IQ32" s="32"/>
      <c r="IR32" s="32"/>
      <c r="IS32" s="32"/>
      <c r="IT32" s="32"/>
      <c r="IU32" s="32"/>
      <c r="IV32" s="32"/>
    </row>
    <row r="33" spans="1:11" x14ac:dyDescent="0.2">
      <c r="B33" s="32"/>
      <c r="C33" s="32"/>
      <c r="D33" s="32"/>
      <c r="E33" s="32"/>
      <c r="F33" s="32"/>
      <c r="G33" s="32"/>
      <c r="H33" s="32"/>
      <c r="I33" s="32"/>
      <c r="J33" s="32"/>
      <c r="K33" s="41"/>
    </row>
    <row r="34" spans="1:11" ht="15" customHeight="1" x14ac:dyDescent="0.25">
      <c r="A34" s="6" t="s">
        <v>44</v>
      </c>
      <c r="B34" s="32"/>
      <c r="C34" s="32"/>
      <c r="D34" s="32"/>
      <c r="E34" s="32"/>
      <c r="F34" s="32"/>
      <c r="G34" s="32"/>
      <c r="H34" s="32"/>
      <c r="I34" s="32"/>
      <c r="J34" s="32"/>
      <c r="K34" s="41"/>
    </row>
    <row r="35" spans="1:11" ht="12" customHeight="1" x14ac:dyDescent="0.2">
      <c r="B35" s="32"/>
      <c r="C35" s="32"/>
      <c r="D35" s="32"/>
      <c r="E35" s="32"/>
      <c r="F35" s="32"/>
      <c r="G35" s="32"/>
      <c r="H35" s="32"/>
      <c r="I35" s="32"/>
      <c r="J35" s="32"/>
      <c r="K35" s="41"/>
    </row>
    <row r="36" spans="1:11" ht="12" customHeight="1" x14ac:dyDescent="0.2">
      <c r="A36" s="2" t="s">
        <v>73</v>
      </c>
      <c r="B36" s="32"/>
      <c r="C36" s="32"/>
      <c r="D36" s="32"/>
      <c r="E36" s="32"/>
      <c r="F36" s="32"/>
      <c r="G36" s="32"/>
      <c r="H36" s="32"/>
      <c r="I36" s="32"/>
      <c r="J36" s="32"/>
      <c r="K36" s="41"/>
    </row>
    <row r="37" spans="1:11" ht="12" customHeight="1" x14ac:dyDescent="0.2">
      <c r="B37" s="32"/>
      <c r="C37" s="32"/>
      <c r="D37" s="32"/>
      <c r="E37" s="32"/>
      <c r="F37" s="32"/>
      <c r="G37" s="42"/>
      <c r="H37" s="32"/>
      <c r="I37" s="32"/>
      <c r="J37" s="32"/>
      <c r="K37" s="41"/>
    </row>
    <row r="38" spans="1:11" ht="12" customHeight="1" x14ac:dyDescent="0.2">
      <c r="A38" s="1" t="s">
        <v>74</v>
      </c>
      <c r="B38" s="32">
        <v>48.271025000000002</v>
      </c>
      <c r="C38" s="32">
        <v>113.64</v>
      </c>
      <c r="D38" s="32">
        <v>268.38147787000003</v>
      </c>
      <c r="E38" s="42">
        <v>188.65</v>
      </c>
      <c r="F38" s="32">
        <v>29.666573</v>
      </c>
      <c r="G38" s="42">
        <v>44.16</v>
      </c>
      <c r="H38" s="32">
        <v>72.034999999999997</v>
      </c>
      <c r="I38" s="32"/>
      <c r="J38" s="42">
        <v>97.77</v>
      </c>
      <c r="K38" s="41">
        <f t="shared" ref="K38:K45" si="5">SUM(B38:J38)</f>
        <v>862.57407586999989</v>
      </c>
    </row>
    <row r="39" spans="1:11" ht="12" customHeight="1" x14ac:dyDescent="0.2">
      <c r="A39" s="1" t="s">
        <v>75</v>
      </c>
      <c r="B39" s="32">
        <v>17.552668000000001</v>
      </c>
      <c r="C39" s="32">
        <v>0</v>
      </c>
      <c r="D39" s="32"/>
      <c r="E39" s="42">
        <v>1.8</v>
      </c>
      <c r="F39" s="32">
        <v>5.197972</v>
      </c>
      <c r="G39" s="42">
        <v>20.2</v>
      </c>
      <c r="H39" s="32">
        <v>0</v>
      </c>
      <c r="I39" s="32"/>
      <c r="J39" s="42">
        <v>38.130000000000003</v>
      </c>
      <c r="K39" s="41">
        <f t="shared" si="5"/>
        <v>82.88064</v>
      </c>
    </row>
    <row r="40" spans="1:11" ht="12" customHeight="1" x14ac:dyDescent="0.2">
      <c r="A40" s="1" t="s">
        <v>105</v>
      </c>
      <c r="B40" s="32"/>
      <c r="C40" s="3">
        <v>0</v>
      </c>
      <c r="D40" s="32">
        <v>0</v>
      </c>
      <c r="E40" s="42">
        <v>0</v>
      </c>
      <c r="F40" s="32"/>
      <c r="G40" s="42">
        <v>1093.98</v>
      </c>
      <c r="H40" s="32">
        <v>0</v>
      </c>
      <c r="I40" s="32"/>
      <c r="J40" s="42">
        <v>0</v>
      </c>
      <c r="K40" s="41">
        <f t="shared" si="5"/>
        <v>1093.98</v>
      </c>
    </row>
    <row r="41" spans="1:11" ht="12" customHeight="1" x14ac:dyDescent="0.2">
      <c r="A41" s="1" t="s">
        <v>107</v>
      </c>
      <c r="B41" s="32">
        <v>1.265409</v>
      </c>
      <c r="C41" s="32">
        <v>73.03</v>
      </c>
      <c r="D41" s="32">
        <v>2169.3887317799999</v>
      </c>
      <c r="E41" s="42">
        <v>390.36</v>
      </c>
      <c r="F41" s="32"/>
      <c r="G41" s="42">
        <v>46.33</v>
      </c>
      <c r="H41" s="32">
        <v>2.7719999999999998</v>
      </c>
      <c r="I41" s="32"/>
      <c r="J41" s="42">
        <v>228.22</v>
      </c>
      <c r="K41" s="41">
        <f t="shared" si="5"/>
        <v>2911.3661407799996</v>
      </c>
    </row>
    <row r="42" spans="1:11" ht="12" customHeight="1" x14ac:dyDescent="0.2">
      <c r="A42" s="1" t="s">
        <v>106</v>
      </c>
      <c r="B42" s="32"/>
      <c r="C42" s="32">
        <v>0</v>
      </c>
      <c r="D42" s="32">
        <v>0</v>
      </c>
      <c r="E42" s="42">
        <v>0</v>
      </c>
      <c r="F42" s="32"/>
      <c r="G42" s="42">
        <v>0</v>
      </c>
      <c r="H42" s="32">
        <v>0</v>
      </c>
      <c r="I42" s="32"/>
      <c r="J42" s="42">
        <v>0</v>
      </c>
      <c r="K42" s="41">
        <f t="shared" si="5"/>
        <v>0</v>
      </c>
    </row>
    <row r="43" spans="1:11" ht="12" customHeight="1" x14ac:dyDescent="0.2">
      <c r="A43" s="1" t="s">
        <v>108</v>
      </c>
      <c r="B43" s="32"/>
      <c r="C43" s="32">
        <v>0</v>
      </c>
      <c r="D43" s="32">
        <v>628.47463201000005</v>
      </c>
      <c r="E43" s="42">
        <v>320.87</v>
      </c>
      <c r="F43" s="32">
        <v>25.998000000000001</v>
      </c>
      <c r="G43" s="42">
        <v>578.71</v>
      </c>
      <c r="H43" s="32">
        <v>0.76700000000000002</v>
      </c>
      <c r="I43" s="32"/>
      <c r="J43" s="42">
        <v>780.2</v>
      </c>
      <c r="K43" s="41">
        <f t="shared" si="5"/>
        <v>2335.0196320100004</v>
      </c>
    </row>
    <row r="44" spans="1:11" ht="12" customHeight="1" x14ac:dyDescent="0.2">
      <c r="A44" s="1" t="s">
        <v>78</v>
      </c>
      <c r="B44" s="32"/>
      <c r="C44" s="32">
        <v>0</v>
      </c>
      <c r="D44" s="32">
        <v>7.8954180000000003</v>
      </c>
      <c r="E44" s="42">
        <v>19.170000000000002</v>
      </c>
      <c r="F44" s="32"/>
      <c r="G44" s="42">
        <v>0</v>
      </c>
      <c r="H44" s="32">
        <v>14.596</v>
      </c>
      <c r="I44" s="32"/>
      <c r="J44" s="42">
        <v>213.35</v>
      </c>
      <c r="K44" s="41">
        <f t="shared" si="5"/>
        <v>255.01141799999999</v>
      </c>
    </row>
    <row r="45" spans="1:11" ht="12" customHeight="1" x14ac:dyDescent="0.2">
      <c r="A45" s="1" t="s">
        <v>79</v>
      </c>
      <c r="B45" s="32"/>
      <c r="C45" s="32">
        <v>19.920000000000002</v>
      </c>
      <c r="D45" s="32"/>
      <c r="E45" s="42">
        <v>0</v>
      </c>
      <c r="F45" s="32"/>
      <c r="G45" s="42">
        <v>0</v>
      </c>
      <c r="H45" s="32">
        <v>0.158</v>
      </c>
      <c r="I45" s="32"/>
      <c r="J45" s="42">
        <v>1.33</v>
      </c>
      <c r="K45" s="41">
        <f t="shared" si="5"/>
        <v>21.408000000000001</v>
      </c>
    </row>
    <row r="46" spans="1:11" ht="12" customHeight="1" x14ac:dyDescent="0.2">
      <c r="B46" s="32"/>
      <c r="C46" s="32"/>
      <c r="D46" s="32"/>
      <c r="E46" s="32"/>
      <c r="F46" s="32"/>
      <c r="G46" s="32"/>
      <c r="H46" s="32"/>
      <c r="I46" s="32"/>
      <c r="J46" s="32"/>
      <c r="K46" s="41"/>
    </row>
    <row r="47" spans="1:11" s="2" customFormat="1" ht="12" customHeight="1" x14ac:dyDescent="0.2">
      <c r="A47" s="7" t="s">
        <v>12</v>
      </c>
      <c r="B47" s="41">
        <f t="shared" ref="B47:J47" si="6">SUM(B38:B45)</f>
        <v>67.089102000000011</v>
      </c>
      <c r="C47" s="41">
        <f t="shared" si="6"/>
        <v>206.59000000000003</v>
      </c>
      <c r="D47" s="41">
        <f t="shared" si="6"/>
        <v>3074.1402596600001</v>
      </c>
      <c r="E47" s="41">
        <f t="shared" si="6"/>
        <v>920.85</v>
      </c>
      <c r="F47" s="41">
        <f t="shared" si="6"/>
        <v>60.862544999999997</v>
      </c>
      <c r="G47" s="41">
        <f t="shared" si="6"/>
        <v>1783.3799999999999</v>
      </c>
      <c r="H47" s="41">
        <f t="shared" si="6"/>
        <v>90.328000000000003</v>
      </c>
      <c r="I47" s="41">
        <f t="shared" si="6"/>
        <v>0</v>
      </c>
      <c r="J47" s="41">
        <f t="shared" si="6"/>
        <v>1359</v>
      </c>
      <c r="K47" s="41">
        <f>SUM(B47:J47)</f>
        <v>7562.239906660001</v>
      </c>
    </row>
    <row r="48" spans="1:11" ht="12" customHeight="1" x14ac:dyDescent="0.2">
      <c r="B48" s="32"/>
      <c r="C48" s="32"/>
      <c r="D48" s="32"/>
      <c r="E48" s="32"/>
      <c r="F48" s="32"/>
      <c r="G48" s="32"/>
      <c r="H48" s="32"/>
      <c r="I48" s="32"/>
      <c r="J48" s="32"/>
      <c r="K48" s="41"/>
    </row>
    <row r="49" spans="1:11" ht="12" customHeight="1" x14ac:dyDescent="0.2">
      <c r="A49" s="2" t="s">
        <v>45</v>
      </c>
      <c r="B49" s="32"/>
      <c r="C49" s="32"/>
      <c r="D49" s="32"/>
      <c r="E49" s="32"/>
      <c r="F49" s="32"/>
      <c r="G49" s="32"/>
      <c r="H49" s="32"/>
      <c r="I49" s="32"/>
      <c r="J49" s="32"/>
      <c r="K49" s="41"/>
    </row>
    <row r="50" spans="1:11" ht="12" customHeight="1" x14ac:dyDescent="0.2">
      <c r="B50" s="32"/>
      <c r="C50" s="32"/>
      <c r="D50" s="32"/>
      <c r="E50" s="32"/>
      <c r="F50" s="32"/>
      <c r="G50" s="32"/>
      <c r="H50" s="32"/>
      <c r="I50" s="32"/>
      <c r="J50" s="32"/>
      <c r="K50" s="41"/>
    </row>
    <row r="51" spans="1:11" ht="12" customHeight="1" x14ac:dyDescent="0.2">
      <c r="A51" s="1" t="s">
        <v>46</v>
      </c>
      <c r="B51" s="32">
        <v>992.31115899999998</v>
      </c>
      <c r="C51" s="32">
        <v>835.75</v>
      </c>
      <c r="D51" s="32">
        <v>752.83371584999998</v>
      </c>
      <c r="E51" s="32">
        <v>3278.84</v>
      </c>
      <c r="F51" s="32">
        <v>907.78684999999996</v>
      </c>
      <c r="G51" s="32">
        <v>3075.96</v>
      </c>
      <c r="H51" s="32">
        <v>2411.451</v>
      </c>
      <c r="I51" s="32">
        <v>1566.120735</v>
      </c>
      <c r="J51" s="32">
        <v>2628.87</v>
      </c>
      <c r="K51" s="41">
        <f>SUM(B51:J51)</f>
        <v>16449.923459850001</v>
      </c>
    </row>
    <row r="52" spans="1:11" ht="12" customHeight="1" x14ac:dyDescent="0.2">
      <c r="A52" s="1" t="s">
        <v>47</v>
      </c>
      <c r="B52" s="32">
        <v>102.696091</v>
      </c>
      <c r="C52" s="32">
        <v>0</v>
      </c>
      <c r="D52" s="32"/>
      <c r="E52" s="32">
        <v>79.12</v>
      </c>
      <c r="F52" s="32">
        <v>33.539020000000001</v>
      </c>
      <c r="G52" s="32">
        <v>140.28</v>
      </c>
      <c r="H52" s="32">
        <v>58.701000000000001</v>
      </c>
      <c r="I52" s="32">
        <v>1.8945099999999999</v>
      </c>
      <c r="J52" s="32">
        <v>1.44</v>
      </c>
      <c r="K52" s="41">
        <f>SUM(B52:J52)</f>
        <v>417.67062100000004</v>
      </c>
    </row>
    <row r="53" spans="1:11" ht="12" customHeight="1" x14ac:dyDescent="0.2">
      <c r="B53" s="32"/>
      <c r="C53" s="32"/>
      <c r="D53" s="32"/>
      <c r="E53" s="32"/>
      <c r="F53" s="32"/>
      <c r="G53" s="32"/>
      <c r="H53" s="32"/>
      <c r="I53" s="32"/>
      <c r="J53" s="32"/>
      <c r="K53" s="41"/>
    </row>
    <row r="54" spans="1:11" s="34" customFormat="1" ht="12" customHeight="1" x14ac:dyDescent="0.2">
      <c r="A54" s="34" t="s">
        <v>12</v>
      </c>
      <c r="B54" s="41">
        <f t="shared" ref="B54:J54" si="7">SUM(B51:B52)</f>
        <v>1095.0072499999999</v>
      </c>
      <c r="C54" s="41">
        <f t="shared" si="7"/>
        <v>835.75</v>
      </c>
      <c r="D54" s="41">
        <f t="shared" si="7"/>
        <v>752.83371584999998</v>
      </c>
      <c r="E54" s="41">
        <f t="shared" si="7"/>
        <v>3357.96</v>
      </c>
      <c r="F54" s="41">
        <f t="shared" si="7"/>
        <v>941.32587000000001</v>
      </c>
      <c r="G54" s="41">
        <f t="shared" si="7"/>
        <v>3216.2400000000002</v>
      </c>
      <c r="H54" s="41">
        <f t="shared" si="7"/>
        <v>2470.152</v>
      </c>
      <c r="I54" s="41">
        <f t="shared" si="7"/>
        <v>1568.015245</v>
      </c>
      <c r="J54" s="41">
        <f t="shared" si="7"/>
        <v>2630.31</v>
      </c>
      <c r="K54" s="41">
        <f>SUM(B54:J54)</f>
        <v>16867.594080850002</v>
      </c>
    </row>
    <row r="55" spans="1:11" ht="12" customHeight="1" x14ac:dyDescent="0.2">
      <c r="B55" s="32"/>
      <c r="C55" s="32"/>
      <c r="D55" s="32"/>
      <c r="E55" s="32"/>
      <c r="F55" s="32"/>
      <c r="G55" s="32"/>
      <c r="H55" s="32"/>
      <c r="I55" s="32"/>
      <c r="J55" s="32"/>
      <c r="K55" s="41"/>
    </row>
    <row r="56" spans="1:11" s="2" customFormat="1" ht="12" customHeight="1" x14ac:dyDescent="0.2">
      <c r="A56" s="2" t="s">
        <v>48</v>
      </c>
      <c r="B56" s="41">
        <v>65.964371999999997</v>
      </c>
      <c r="C56" s="41">
        <v>65.11</v>
      </c>
      <c r="D56" s="41">
        <v>321.76612922999999</v>
      </c>
      <c r="E56" s="41">
        <v>34.880000000000003</v>
      </c>
      <c r="F56" s="41">
        <v>50.228763999999998</v>
      </c>
      <c r="G56" s="41">
        <v>124.02</v>
      </c>
      <c r="H56" s="41">
        <v>0</v>
      </c>
      <c r="I56" s="41">
        <v>0</v>
      </c>
      <c r="J56" s="41">
        <v>418.85</v>
      </c>
      <c r="K56" s="41">
        <f>SUM(B56:J56)</f>
        <v>1080.8192652299999</v>
      </c>
    </row>
    <row r="57" spans="1:11" ht="12" customHeight="1" x14ac:dyDescent="0.2">
      <c r="B57" s="32"/>
      <c r="C57" s="32"/>
      <c r="D57" s="32"/>
      <c r="E57" s="32"/>
      <c r="F57" s="32"/>
      <c r="G57" s="32"/>
      <c r="H57" s="32"/>
      <c r="I57" s="32"/>
      <c r="J57" s="32"/>
      <c r="K57" s="41"/>
    </row>
    <row r="58" spans="1:11" ht="12" customHeight="1" x14ac:dyDescent="0.2">
      <c r="A58" s="2" t="s">
        <v>49</v>
      </c>
      <c r="B58" s="32"/>
      <c r="C58" s="32"/>
      <c r="D58" s="32"/>
      <c r="E58" s="32"/>
      <c r="F58" s="32"/>
      <c r="G58" s="32"/>
      <c r="H58" s="32"/>
      <c r="I58" s="32"/>
      <c r="J58" s="32"/>
      <c r="K58" s="41"/>
    </row>
    <row r="59" spans="1:11" ht="12" customHeight="1" x14ac:dyDescent="0.2">
      <c r="B59" s="32"/>
      <c r="C59" s="32"/>
      <c r="D59" s="32"/>
      <c r="E59" s="32"/>
      <c r="F59" s="32"/>
      <c r="G59" s="32"/>
      <c r="H59" s="32"/>
      <c r="I59" s="32"/>
      <c r="J59" s="32"/>
      <c r="K59" s="41"/>
    </row>
    <row r="60" spans="1:11" ht="12" customHeight="1" x14ac:dyDescent="0.2">
      <c r="A60" s="34" t="s">
        <v>117</v>
      </c>
      <c r="B60" s="32"/>
      <c r="C60" s="32"/>
      <c r="D60" s="32"/>
      <c r="E60" s="32"/>
      <c r="F60" s="32"/>
      <c r="G60" s="32"/>
      <c r="H60" s="32"/>
      <c r="I60" s="32"/>
      <c r="J60" s="32"/>
      <c r="K60" s="41"/>
    </row>
    <row r="61" spans="1:11" ht="12" customHeight="1" x14ac:dyDescent="0.2">
      <c r="A61" s="1" t="s">
        <v>50</v>
      </c>
      <c r="B61" s="32">
        <v>51.099902999999998</v>
      </c>
      <c r="C61" s="32">
        <v>115.2007</v>
      </c>
      <c r="D61" s="32">
        <v>293.45125151000002</v>
      </c>
      <c r="E61" s="32">
        <v>286.7353</v>
      </c>
      <c r="F61" s="32">
        <v>109.499793</v>
      </c>
      <c r="G61" s="32">
        <v>245.17320000000001</v>
      </c>
      <c r="H61" s="32">
        <v>135.39500000000001</v>
      </c>
      <c r="I61" s="32">
        <v>74.152743999999998</v>
      </c>
      <c r="J61" s="32">
        <v>473.77589999999998</v>
      </c>
      <c r="K61" s="41">
        <f>SUM(B61:J61)</f>
        <v>1784.4837915099997</v>
      </c>
    </row>
    <row r="62" spans="1:11" ht="12" customHeight="1" x14ac:dyDescent="0.2">
      <c r="A62" s="1" t="s">
        <v>81</v>
      </c>
      <c r="B62" s="32">
        <v>0.29218699999999997</v>
      </c>
      <c r="C62" s="32">
        <v>0.63719999999999999</v>
      </c>
      <c r="D62" s="32">
        <v>146.96672187999999</v>
      </c>
      <c r="E62" s="32">
        <v>342.52</v>
      </c>
      <c r="F62" s="46">
        <f>0.605679+0.188417</f>
        <v>0.79409599999999991</v>
      </c>
      <c r="G62" s="32">
        <v>1.36</v>
      </c>
      <c r="H62" s="32">
        <v>0.29099999999999998</v>
      </c>
      <c r="I62" s="32">
        <v>39.569758999999998</v>
      </c>
      <c r="J62" s="32">
        <v>2.6038999999999999</v>
      </c>
      <c r="K62" s="41">
        <f>SUM(B62:J62)</f>
        <v>535.03486387999999</v>
      </c>
    </row>
    <row r="63" spans="1:11" ht="12" customHeight="1" x14ac:dyDescent="0.2">
      <c r="A63" s="1" t="s">
        <v>110</v>
      </c>
      <c r="B63" s="32"/>
      <c r="C63" s="32"/>
      <c r="D63" s="32"/>
      <c r="E63" s="32"/>
      <c r="F63" s="32"/>
      <c r="G63" s="32"/>
      <c r="H63" s="32"/>
      <c r="I63" s="32"/>
      <c r="J63" s="32"/>
      <c r="K63" s="41"/>
    </row>
    <row r="64" spans="1:11" ht="12" customHeight="1" x14ac:dyDescent="0.2">
      <c r="A64" s="1" t="s">
        <v>111</v>
      </c>
      <c r="B64" s="32"/>
      <c r="C64" s="32">
        <v>-5.25</v>
      </c>
      <c r="D64" s="32">
        <v>-0.38898060000000001</v>
      </c>
      <c r="E64" s="32">
        <v>0</v>
      </c>
      <c r="F64" s="32"/>
      <c r="G64" s="32">
        <v>-12.4</v>
      </c>
      <c r="H64" s="32">
        <v>0</v>
      </c>
      <c r="I64" s="32">
        <v>0</v>
      </c>
      <c r="J64" s="32">
        <v>-1.61</v>
      </c>
      <c r="K64" s="41">
        <f t="shared" ref="K64:K73" si="8">SUM(B64:J64)</f>
        <v>-19.648980600000002</v>
      </c>
    </row>
    <row r="65" spans="1:11" ht="12" customHeight="1" x14ac:dyDescent="0.2">
      <c r="A65" s="1" t="s">
        <v>112</v>
      </c>
      <c r="B65" s="32"/>
      <c r="C65" s="32"/>
      <c r="D65" s="32"/>
      <c r="E65" s="32">
        <v>0</v>
      </c>
      <c r="F65" s="32">
        <v>-0.303369</v>
      </c>
      <c r="G65" s="32">
        <v>-0.36</v>
      </c>
      <c r="H65" s="32">
        <v>0</v>
      </c>
      <c r="I65" s="32">
        <v>0</v>
      </c>
      <c r="J65" s="32">
        <v>-0.25</v>
      </c>
      <c r="K65" s="41">
        <f t="shared" si="8"/>
        <v>-0.91336899999999999</v>
      </c>
    </row>
    <row r="66" spans="1:11" ht="12" customHeight="1" x14ac:dyDescent="0.2">
      <c r="A66" s="1" t="s">
        <v>113</v>
      </c>
      <c r="B66" s="32"/>
      <c r="C66" s="32"/>
      <c r="D66" s="32">
        <v>-0.43603701</v>
      </c>
      <c r="E66" s="32">
        <v>-5.61</v>
      </c>
      <c r="F66" s="32"/>
      <c r="G66" s="32">
        <v>-38.89</v>
      </c>
      <c r="H66" s="32">
        <v>0</v>
      </c>
      <c r="I66" s="32">
        <v>0</v>
      </c>
      <c r="J66" s="32">
        <v>0</v>
      </c>
      <c r="K66" s="41">
        <f t="shared" si="8"/>
        <v>-44.93603701</v>
      </c>
    </row>
    <row r="67" spans="1:11" ht="12" customHeight="1" x14ac:dyDescent="0.2">
      <c r="A67" s="1" t="s">
        <v>114</v>
      </c>
      <c r="B67" s="32"/>
      <c r="C67" s="32">
        <f>-5.09</f>
        <v>-5.09</v>
      </c>
      <c r="D67" s="32"/>
      <c r="E67" s="32">
        <v>0</v>
      </c>
      <c r="F67" s="32"/>
      <c r="G67" s="32">
        <v>0</v>
      </c>
      <c r="H67" s="32">
        <v>0</v>
      </c>
      <c r="I67" s="32">
        <v>0</v>
      </c>
      <c r="J67" s="32">
        <v>0</v>
      </c>
      <c r="K67" s="41">
        <f t="shared" si="8"/>
        <v>-5.09</v>
      </c>
    </row>
    <row r="68" spans="1:11" ht="12" customHeight="1" x14ac:dyDescent="0.2">
      <c r="A68" s="1" t="s">
        <v>115</v>
      </c>
      <c r="B68" s="32">
        <v>-20.782547999999998</v>
      </c>
      <c r="C68" s="51">
        <f>-1.24-2.9-687.87-64.01</f>
        <v>-756.02</v>
      </c>
      <c r="D68" s="50">
        <v>-2442</v>
      </c>
      <c r="E68" s="32">
        <f>-286.74-30.45-216.98</f>
        <v>-534.16999999999996</v>
      </c>
      <c r="F68" s="32">
        <v>-7.2672829999999999</v>
      </c>
      <c r="G68" s="32">
        <v>0</v>
      </c>
      <c r="H68" s="32">
        <v>0</v>
      </c>
      <c r="I68" s="32">
        <v>0</v>
      </c>
      <c r="J68" s="32">
        <v>0</v>
      </c>
      <c r="K68" s="41">
        <f t="shared" si="8"/>
        <v>-3760.2398310000003</v>
      </c>
    </row>
    <row r="69" spans="1:11" ht="12" customHeight="1" x14ac:dyDescent="0.2">
      <c r="A69" s="1" t="s">
        <v>116</v>
      </c>
      <c r="B69" s="49">
        <f>-0.01152202-0.00621179</f>
        <v>-1.7733809999999999E-2</v>
      </c>
      <c r="D69" s="48">
        <v>-0.76296534999999999</v>
      </c>
      <c r="E69" s="32">
        <v>0</v>
      </c>
      <c r="G69" s="32">
        <v>0</v>
      </c>
      <c r="H69" s="32">
        <v>0</v>
      </c>
      <c r="I69" s="32">
        <v>0</v>
      </c>
      <c r="J69" s="47">
        <v>-12.565</v>
      </c>
      <c r="K69" s="41">
        <f t="shared" si="8"/>
        <v>-13.345699159999999</v>
      </c>
    </row>
    <row r="70" spans="1:11" ht="12" customHeight="1" x14ac:dyDescent="0.2">
      <c r="A70" s="1" t="s">
        <v>52</v>
      </c>
      <c r="B70" s="49">
        <f>1.488684-0.02234396-0.1875523</f>
        <v>1.2787877399999998</v>
      </c>
      <c r="C70" s="32">
        <v>2.97</v>
      </c>
      <c r="D70" s="32"/>
      <c r="E70" s="32">
        <v>0</v>
      </c>
      <c r="F70" s="32">
        <v>1.2760009999999999</v>
      </c>
      <c r="G70" s="32">
        <v>8.31</v>
      </c>
      <c r="H70" s="32">
        <v>0.40600000000000003</v>
      </c>
      <c r="I70" s="32">
        <v>0</v>
      </c>
      <c r="J70" s="32">
        <v>0</v>
      </c>
      <c r="K70" s="41">
        <f t="shared" si="8"/>
        <v>14.240788740000001</v>
      </c>
    </row>
    <row r="71" spans="1:11" ht="12" customHeight="1" x14ac:dyDescent="0.2">
      <c r="A71" s="1" t="s">
        <v>53</v>
      </c>
      <c r="B71" s="32">
        <f>20.782548</f>
        <v>20.782547999999998</v>
      </c>
      <c r="C71" s="32">
        <f>24.71+687.87+64.01</f>
        <v>776.59</v>
      </c>
      <c r="D71" s="50">
        <f>3.26600928+2442</f>
        <v>2445.2660092800002</v>
      </c>
      <c r="E71" s="45">
        <f>216.98-0.22</f>
        <v>216.76</v>
      </c>
      <c r="F71" s="46">
        <f>36.517159+0.381761-0.147919+8.473909</f>
        <v>45.224909999999994</v>
      </c>
      <c r="G71" s="32">
        <v>140.77000000000001</v>
      </c>
      <c r="H71" s="32">
        <v>68.430999999999997</v>
      </c>
      <c r="I71" s="32">
        <v>45.565359999999998</v>
      </c>
      <c r="J71" s="32">
        <v>123.65</v>
      </c>
      <c r="K71" s="41">
        <f t="shared" si="8"/>
        <v>3883.0398272800003</v>
      </c>
    </row>
    <row r="72" spans="1:11" ht="12" customHeight="1" x14ac:dyDescent="0.2">
      <c r="A72" s="1" t="s">
        <v>60</v>
      </c>
      <c r="B72" s="32"/>
      <c r="C72" s="32"/>
      <c r="D72" s="32"/>
      <c r="E72" s="32">
        <v>0</v>
      </c>
      <c r="F72" s="32"/>
      <c r="G72" s="32"/>
      <c r="H72" s="32"/>
      <c r="I72" s="32"/>
      <c r="J72" s="32"/>
      <c r="K72" s="41">
        <f t="shared" si="8"/>
        <v>0</v>
      </c>
    </row>
    <row r="73" spans="1:11" s="34" customFormat="1" ht="12" customHeight="1" x14ac:dyDescent="0.2">
      <c r="A73" s="34" t="s">
        <v>12</v>
      </c>
      <c r="B73" s="41">
        <f t="shared" ref="B73:J73" si="9">SUM(B61:B72)</f>
        <v>52.653143929999999</v>
      </c>
      <c r="C73" s="41">
        <f t="shared" si="9"/>
        <v>129.03790000000004</v>
      </c>
      <c r="D73" s="41">
        <f t="shared" si="9"/>
        <v>442.09599971000011</v>
      </c>
      <c r="E73" s="41">
        <f t="shared" si="9"/>
        <v>306.23530000000005</v>
      </c>
      <c r="F73" s="41">
        <f t="shared" si="9"/>
        <v>149.22414799999996</v>
      </c>
      <c r="G73" s="41">
        <f t="shared" si="9"/>
        <v>343.96320000000003</v>
      </c>
      <c r="H73" s="41">
        <f t="shared" si="9"/>
        <v>204.52300000000002</v>
      </c>
      <c r="I73" s="41">
        <f t="shared" si="9"/>
        <v>159.28786299999999</v>
      </c>
      <c r="J73" s="41">
        <f t="shared" si="9"/>
        <v>585.60479999999995</v>
      </c>
      <c r="K73" s="41">
        <f t="shared" si="8"/>
        <v>2372.6253546400003</v>
      </c>
    </row>
    <row r="74" spans="1:11" ht="12" customHeight="1" x14ac:dyDescent="0.2">
      <c r="B74" s="32"/>
      <c r="C74" s="32"/>
      <c r="D74" s="32"/>
      <c r="E74" s="32"/>
      <c r="F74" s="32"/>
      <c r="G74" s="32"/>
      <c r="H74" s="32"/>
      <c r="I74" s="32"/>
      <c r="J74" s="32"/>
      <c r="K74" s="41"/>
    </row>
    <row r="75" spans="1:11" ht="12" customHeight="1" x14ac:dyDescent="0.2">
      <c r="A75" s="34" t="s">
        <v>42</v>
      </c>
      <c r="B75" s="32"/>
      <c r="C75" s="32"/>
      <c r="D75" s="32"/>
      <c r="E75" s="32"/>
      <c r="F75" s="32"/>
      <c r="G75" s="32"/>
      <c r="H75" s="32"/>
      <c r="I75" s="32"/>
      <c r="J75" s="32"/>
      <c r="K75" s="41"/>
    </row>
    <row r="76" spans="1:11" ht="12" customHeight="1" x14ac:dyDescent="0.2">
      <c r="A76" s="1" t="s">
        <v>118</v>
      </c>
      <c r="B76" s="32">
        <f t="shared" ref="B76:J76" si="10">B17</f>
        <v>58.721497040000003</v>
      </c>
      <c r="C76" s="32">
        <f t="shared" si="10"/>
        <v>133.28</v>
      </c>
      <c r="D76" s="32">
        <f t="shared" si="10"/>
        <v>215.56362219000002</v>
      </c>
      <c r="E76" s="32">
        <f t="shared" si="10"/>
        <v>336.64000000000004</v>
      </c>
      <c r="F76" s="32">
        <f t="shared" si="10"/>
        <v>147.83778800000002</v>
      </c>
      <c r="G76" s="32">
        <f t="shared" si="10"/>
        <v>195.19</v>
      </c>
      <c r="H76" s="32">
        <f t="shared" si="10"/>
        <v>174.90900000000002</v>
      </c>
      <c r="I76" s="32">
        <f t="shared" si="10"/>
        <v>92.277803000000006</v>
      </c>
      <c r="J76" s="32">
        <f t="shared" si="10"/>
        <v>254.65512197999999</v>
      </c>
      <c r="K76" s="41">
        <f t="shared" ref="K76:K81" si="11">SUM(B76:J76)</f>
        <v>1609.0748322100003</v>
      </c>
    </row>
    <row r="77" spans="1:11" ht="12" customHeight="1" x14ac:dyDescent="0.2">
      <c r="A77" s="1" t="s">
        <v>47</v>
      </c>
      <c r="B77" s="32">
        <f t="shared" ref="B77:J77" si="12">B29</f>
        <v>12.10590124</v>
      </c>
      <c r="C77" s="32">
        <f t="shared" si="12"/>
        <v>12.99</v>
      </c>
      <c r="D77" s="32">
        <f t="shared" si="12"/>
        <v>53.933799929999999</v>
      </c>
      <c r="E77" s="32">
        <f t="shared" si="12"/>
        <v>45.11</v>
      </c>
      <c r="F77" s="32">
        <f t="shared" si="12"/>
        <v>10.524306999999999</v>
      </c>
      <c r="G77" s="32">
        <f t="shared" si="12"/>
        <v>186.01</v>
      </c>
      <c r="H77" s="32">
        <f t="shared" si="12"/>
        <v>26.937999999999999</v>
      </c>
      <c r="I77" s="32">
        <f t="shared" si="12"/>
        <v>23.174195999999998</v>
      </c>
      <c r="J77" s="32">
        <f t="shared" si="12"/>
        <v>204.27265054</v>
      </c>
      <c r="K77" s="41">
        <f t="shared" si="11"/>
        <v>575.05885470999999</v>
      </c>
    </row>
    <row r="78" spans="1:11" ht="12" customHeight="1" x14ac:dyDescent="0.2">
      <c r="A78" s="1" t="s">
        <v>119</v>
      </c>
      <c r="B78" s="32"/>
      <c r="C78" s="32">
        <v>0</v>
      </c>
      <c r="D78" s="32"/>
      <c r="E78" s="44">
        <v>15.94</v>
      </c>
      <c r="F78" s="32"/>
      <c r="G78" s="32">
        <v>0</v>
      </c>
      <c r="H78" s="32">
        <v>1.4950000000000001</v>
      </c>
      <c r="I78" s="32"/>
      <c r="J78" s="32">
        <v>8.375</v>
      </c>
      <c r="K78" s="41">
        <f t="shared" si="11"/>
        <v>25.81</v>
      </c>
    </row>
    <row r="79" spans="1:11" ht="12" customHeight="1" x14ac:dyDescent="0.2">
      <c r="A79" s="1" t="s">
        <v>120</v>
      </c>
      <c r="B79" s="32"/>
      <c r="C79" s="32">
        <v>0</v>
      </c>
      <c r="D79" s="32"/>
      <c r="E79" s="32">
        <v>0</v>
      </c>
      <c r="F79" s="32"/>
      <c r="G79" s="32">
        <v>0</v>
      </c>
      <c r="H79" s="32">
        <v>0</v>
      </c>
      <c r="I79" s="32"/>
      <c r="J79" s="32">
        <v>115.24</v>
      </c>
      <c r="K79" s="41">
        <f t="shared" si="11"/>
        <v>115.24</v>
      </c>
    </row>
    <row r="80" spans="1:11" ht="12" customHeight="1" x14ac:dyDescent="0.2">
      <c r="A80" s="1" t="s">
        <v>121</v>
      </c>
      <c r="B80" s="32"/>
      <c r="C80" s="32">
        <v>0</v>
      </c>
      <c r="D80" s="32"/>
      <c r="E80" s="32">
        <v>0</v>
      </c>
      <c r="F80" s="32"/>
      <c r="G80" s="32">
        <v>0</v>
      </c>
      <c r="H80" s="32">
        <v>0</v>
      </c>
      <c r="I80" s="32"/>
      <c r="J80" s="32"/>
      <c r="K80" s="41">
        <f t="shared" si="11"/>
        <v>0</v>
      </c>
    </row>
    <row r="81" spans="1:11" ht="12" customHeight="1" x14ac:dyDescent="0.2">
      <c r="A81" s="34" t="s">
        <v>12</v>
      </c>
      <c r="B81" s="41">
        <f t="shared" ref="B81:J81" si="13">SUM(B76:B80)</f>
        <v>70.827398279999997</v>
      </c>
      <c r="C81" s="41">
        <f t="shared" si="13"/>
        <v>146.27000000000001</v>
      </c>
      <c r="D81" s="41">
        <f t="shared" si="13"/>
        <v>269.49742212000001</v>
      </c>
      <c r="E81" s="41">
        <f t="shared" si="13"/>
        <v>397.69000000000005</v>
      </c>
      <c r="F81" s="41">
        <f t="shared" si="13"/>
        <v>158.36209500000001</v>
      </c>
      <c r="G81" s="41">
        <f t="shared" si="13"/>
        <v>381.2</v>
      </c>
      <c r="H81" s="41">
        <f t="shared" si="13"/>
        <v>203.34200000000001</v>
      </c>
      <c r="I81" s="41">
        <f t="shared" si="13"/>
        <v>115.451999</v>
      </c>
      <c r="J81" s="41">
        <f t="shared" si="13"/>
        <v>582.54277251999997</v>
      </c>
      <c r="K81" s="41">
        <f t="shared" si="11"/>
        <v>2325.1836869200006</v>
      </c>
    </row>
    <row r="82" spans="1:11" ht="12" customHeight="1" x14ac:dyDescent="0.2">
      <c r="B82" s="32"/>
      <c r="C82" s="32"/>
      <c r="D82" s="32"/>
      <c r="E82" s="32"/>
      <c r="F82" s="32"/>
      <c r="G82" s="32"/>
      <c r="H82" s="32"/>
      <c r="I82" s="32"/>
      <c r="J82" s="32"/>
      <c r="K82" s="41"/>
    </row>
    <row r="83" spans="1:11" s="2" customFormat="1" ht="12" customHeight="1" x14ac:dyDescent="0.2">
      <c r="A83" s="7" t="s">
        <v>122</v>
      </c>
      <c r="B83" s="32">
        <f t="shared" ref="B83:J83" si="14">B73-B81</f>
        <v>-18.174254349999998</v>
      </c>
      <c r="C83" s="32">
        <f t="shared" si="14"/>
        <v>-17.232099999999974</v>
      </c>
      <c r="D83" s="32">
        <f t="shared" si="14"/>
        <v>172.5985775900001</v>
      </c>
      <c r="E83" s="32">
        <f t="shared" si="14"/>
        <v>-91.454700000000003</v>
      </c>
      <c r="F83" s="32">
        <f t="shared" si="14"/>
        <v>-9.1379470000000538</v>
      </c>
      <c r="G83" s="32">
        <f t="shared" si="14"/>
        <v>-37.23679999999996</v>
      </c>
      <c r="H83" s="32">
        <f t="shared" si="14"/>
        <v>1.1810000000000116</v>
      </c>
      <c r="I83" s="32">
        <f t="shared" si="14"/>
        <v>43.835863999999987</v>
      </c>
      <c r="J83" s="32">
        <f t="shared" si="14"/>
        <v>3.0620274799999834</v>
      </c>
      <c r="K83" s="41">
        <f>SUM(B83:J83)</f>
        <v>47.441667720000112</v>
      </c>
    </row>
    <row r="84" spans="1:11" s="2" customFormat="1" ht="12" customHeight="1" x14ac:dyDescent="0.2">
      <c r="A84" s="7"/>
      <c r="B84" s="32"/>
      <c r="C84" s="32"/>
      <c r="D84" s="32"/>
      <c r="E84" s="32"/>
      <c r="F84" s="32"/>
      <c r="G84" s="32"/>
      <c r="H84" s="32"/>
      <c r="I84" s="32"/>
      <c r="J84" s="32"/>
      <c r="K84" s="41"/>
    </row>
    <row r="85" spans="1:11" s="2" customFormat="1" ht="12" customHeight="1" x14ac:dyDescent="0.2">
      <c r="A85" s="7" t="s">
        <v>123</v>
      </c>
      <c r="B85" s="32"/>
      <c r="C85" s="32"/>
      <c r="D85" s="32"/>
      <c r="E85" s="32"/>
      <c r="F85" s="32"/>
      <c r="G85" s="32"/>
      <c r="H85" s="32"/>
      <c r="I85" s="32"/>
      <c r="J85" s="32"/>
      <c r="K85" s="41"/>
    </row>
    <row r="86" spans="1:11" s="2" customFormat="1" ht="12" customHeight="1" x14ac:dyDescent="0.2">
      <c r="A86" s="7" t="s">
        <v>124</v>
      </c>
      <c r="B86" s="32">
        <v>3.3716620000000002</v>
      </c>
      <c r="C86" s="32">
        <v>64.25</v>
      </c>
      <c r="D86" s="32"/>
      <c r="E86" s="32">
        <v>153.38999999999999</v>
      </c>
      <c r="F86" s="32"/>
      <c r="G86" s="32">
        <v>26.89</v>
      </c>
      <c r="H86" s="32"/>
      <c r="I86" s="32"/>
      <c r="J86" s="32">
        <v>0</v>
      </c>
      <c r="K86" s="41">
        <f>SUM(B86:J86)</f>
        <v>247.90166199999999</v>
      </c>
    </row>
    <row r="87" spans="1:11" s="2" customFormat="1" ht="12" customHeight="1" x14ac:dyDescent="0.2">
      <c r="A87" s="7" t="s">
        <v>125</v>
      </c>
      <c r="B87" s="32"/>
      <c r="C87" s="32">
        <v>687.87</v>
      </c>
      <c r="D87" s="50">
        <v>2442</v>
      </c>
      <c r="E87" s="32">
        <v>0</v>
      </c>
      <c r="F87" s="32"/>
      <c r="G87" s="32">
        <v>17.29</v>
      </c>
      <c r="H87" s="32"/>
      <c r="I87" s="32"/>
      <c r="J87" s="32">
        <v>0</v>
      </c>
      <c r="K87" s="41">
        <f>SUM(B87:J87)</f>
        <v>3147.16</v>
      </c>
    </row>
    <row r="88" spans="1:11" ht="12" customHeight="1" x14ac:dyDescent="0.2"/>
    <row r="89" spans="1:11" ht="12" customHeight="1" x14ac:dyDescent="0.2">
      <c r="A89" s="43" t="s">
        <v>134</v>
      </c>
    </row>
    <row r="90" spans="1:11" ht="12" customHeight="1" x14ac:dyDescent="0.2">
      <c r="A90" s="43" t="s">
        <v>130</v>
      </c>
    </row>
    <row r="91" spans="1:11" ht="12" customHeight="1" x14ac:dyDescent="0.2">
      <c r="A91" s="43" t="s">
        <v>126</v>
      </c>
    </row>
    <row r="92" spans="1:11" ht="12" customHeight="1" x14ac:dyDescent="0.2">
      <c r="A92" s="1" t="s">
        <v>127</v>
      </c>
    </row>
    <row r="93" spans="1:11" ht="12" customHeight="1" x14ac:dyDescent="0.2">
      <c r="A93" s="43" t="s">
        <v>128</v>
      </c>
    </row>
    <row r="94" spans="1:11" ht="12" customHeight="1" x14ac:dyDescent="0.2">
      <c r="A94" s="43" t="s">
        <v>129</v>
      </c>
    </row>
    <row r="95" spans="1:11" ht="12" customHeight="1" x14ac:dyDescent="0.2">
      <c r="A95" s="43" t="s">
        <v>133</v>
      </c>
    </row>
    <row r="96" spans="1:11" ht="12" customHeight="1" x14ac:dyDescent="0.2">
      <c r="A96" s="43" t="s">
        <v>131</v>
      </c>
    </row>
    <row r="97" spans="1:4" ht="12" customHeight="1" x14ac:dyDescent="0.2">
      <c r="A97" s="43" t="s">
        <v>132</v>
      </c>
    </row>
    <row r="98" spans="1:4" ht="12" customHeight="1" x14ac:dyDescent="0.2">
      <c r="B98" s="32"/>
    </row>
    <row r="99" spans="1:4" x14ac:dyDescent="0.2">
      <c r="D99" s="39"/>
    </row>
  </sheetData>
  <phoneticPr fontId="0" type="noConversion"/>
  <printOptions horizontalCentered="1"/>
  <pageMargins left="0.28999999999999998" right="0.34" top="0.9" bottom="0.19685039370078741" header="0.45" footer="0.19"/>
  <pageSetup paperSize="9" scale="90" orientation="landscape" horizontalDpi="4294967292" verticalDpi="3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99"/>
  <sheetViews>
    <sheetView workbookViewId="0">
      <pane xSplit="1" ySplit="4" topLeftCell="B5" activePane="bottomRight" state="frozenSplit"/>
      <selection activeCell="B5" sqref="B5"/>
      <selection pane="topRight" activeCell="B5" sqref="B5"/>
      <selection pane="bottomLeft" activeCell="B5" sqref="B5"/>
      <selection pane="bottomRight" activeCell="B5" sqref="B5"/>
    </sheetView>
  </sheetViews>
  <sheetFormatPr baseColWidth="10" defaultRowHeight="12.75" x14ac:dyDescent="0.2"/>
  <cols>
    <col min="1" max="1" width="41.28515625" style="1" customWidth="1"/>
    <col min="2" max="2" width="10.5703125" style="54" customWidth="1"/>
    <col min="3" max="3" width="11.42578125" style="3"/>
    <col min="4" max="4" width="13" style="3" customWidth="1"/>
    <col min="5" max="10" width="11.42578125" style="3"/>
    <col min="11" max="11" width="13.85546875" style="33" customWidth="1"/>
    <col min="12" max="16384" width="11.42578125" style="1"/>
  </cols>
  <sheetData>
    <row r="1" spans="1:11" x14ac:dyDescent="0.2">
      <c r="A1" s="2" t="s">
        <v>136</v>
      </c>
    </row>
    <row r="2" spans="1:11" x14ac:dyDescent="0.2">
      <c r="A2" s="1" t="s">
        <v>156</v>
      </c>
    </row>
    <row r="4" spans="1:11" s="3" customFormat="1" x14ac:dyDescent="0.2">
      <c r="A4" s="5"/>
      <c r="B4" s="54" t="s">
        <v>3</v>
      </c>
      <c r="C4" s="3" t="s">
        <v>4</v>
      </c>
      <c r="D4" s="3" t="s">
        <v>5</v>
      </c>
      <c r="E4" s="3" t="s">
        <v>6</v>
      </c>
      <c r="F4" s="3" t="s">
        <v>7</v>
      </c>
      <c r="G4" s="3" t="s">
        <v>8</v>
      </c>
      <c r="H4" s="3" t="s">
        <v>9</v>
      </c>
      <c r="I4" s="3" t="s">
        <v>10</v>
      </c>
      <c r="J4" s="3" t="s">
        <v>11</v>
      </c>
      <c r="K4" s="33" t="s">
        <v>12</v>
      </c>
    </row>
    <row r="6" spans="1:11" ht="15.75" x14ac:dyDescent="0.25">
      <c r="A6" s="6" t="s">
        <v>42</v>
      </c>
    </row>
    <row r="8" spans="1:11" x14ac:dyDescent="0.2">
      <c r="A8" s="2" t="s">
        <v>13</v>
      </c>
    </row>
    <row r="10" spans="1:11" x14ac:dyDescent="0.2">
      <c r="A10" s="1" t="s">
        <v>72</v>
      </c>
      <c r="B10" s="55">
        <v>51.604461399999998</v>
      </c>
      <c r="C10" s="32">
        <v>111.01</v>
      </c>
      <c r="D10" s="32">
        <v>228.86961894000001</v>
      </c>
      <c r="E10" s="32">
        <v>178.86</v>
      </c>
      <c r="F10" s="32">
        <v>46.366911999999999</v>
      </c>
      <c r="G10" s="32">
        <v>25.89</v>
      </c>
      <c r="H10" s="32">
        <v>129.82400000000001</v>
      </c>
      <c r="I10" s="32">
        <v>75.399847660000006</v>
      </c>
      <c r="J10" s="32">
        <v>83.863308880000005</v>
      </c>
      <c r="K10" s="41">
        <f t="shared" ref="K10:K15" si="0">SUM(B10:J10)</f>
        <v>931.68814887999997</v>
      </c>
    </row>
    <row r="11" spans="1:11" x14ac:dyDescent="0.2">
      <c r="A11" s="1" t="s">
        <v>104</v>
      </c>
      <c r="B11" s="55"/>
      <c r="C11" s="32">
        <v>0</v>
      </c>
      <c r="D11" s="32">
        <v>0</v>
      </c>
      <c r="E11" s="32">
        <v>0</v>
      </c>
      <c r="F11" s="32">
        <v>88.978544999999997</v>
      </c>
      <c r="G11" s="32">
        <v>103.72</v>
      </c>
      <c r="H11" s="32">
        <v>0</v>
      </c>
      <c r="I11" s="32">
        <v>9.4497006500000005</v>
      </c>
      <c r="J11" s="32">
        <v>0</v>
      </c>
      <c r="K11" s="41">
        <f t="shared" si="0"/>
        <v>202.14824565000001</v>
      </c>
    </row>
    <row r="12" spans="1:11" x14ac:dyDescent="0.2">
      <c r="A12" s="1" t="s">
        <v>109</v>
      </c>
      <c r="B12" s="55">
        <v>5.4853219600000003</v>
      </c>
      <c r="C12" s="32">
        <v>4.87</v>
      </c>
      <c r="D12" s="32">
        <v>116.2087616</v>
      </c>
      <c r="E12" s="32">
        <v>49.3</v>
      </c>
      <c r="F12" s="32">
        <v>0.34112999999999999</v>
      </c>
      <c r="G12" s="32">
        <v>7.9</v>
      </c>
      <c r="H12" s="32">
        <v>11.432</v>
      </c>
      <c r="I12" s="32">
        <v>0</v>
      </c>
      <c r="J12" s="32">
        <v>46.305199729999998</v>
      </c>
      <c r="K12" s="41">
        <f t="shared" si="0"/>
        <v>241.84241328999997</v>
      </c>
    </row>
    <row r="13" spans="1:11" x14ac:dyDescent="0.2">
      <c r="A13" t="s">
        <v>69</v>
      </c>
      <c r="B13" s="55"/>
      <c r="C13" s="32">
        <v>0</v>
      </c>
      <c r="D13" s="32">
        <v>21.40247381</v>
      </c>
      <c r="E13" s="32">
        <v>11.7</v>
      </c>
      <c r="F13" s="32">
        <v>1.2553449999999999</v>
      </c>
      <c r="G13" s="32">
        <v>1.25</v>
      </c>
      <c r="H13" s="32">
        <v>28.460999999999999</v>
      </c>
      <c r="I13" s="32">
        <v>0</v>
      </c>
      <c r="J13" s="32">
        <v>157.74225039000001</v>
      </c>
      <c r="K13" s="41">
        <f t="shared" si="0"/>
        <v>221.81106920000002</v>
      </c>
    </row>
    <row r="14" spans="1:11" x14ac:dyDescent="0.2">
      <c r="A14" s="1" t="s">
        <v>70</v>
      </c>
      <c r="B14" s="55"/>
      <c r="C14" s="32">
        <v>0</v>
      </c>
      <c r="D14" s="32">
        <v>0</v>
      </c>
      <c r="E14" s="32">
        <v>0</v>
      </c>
      <c r="F14" s="32">
        <v>0</v>
      </c>
      <c r="G14" s="32">
        <v>0</v>
      </c>
      <c r="H14" s="32">
        <v>0</v>
      </c>
      <c r="I14" s="32">
        <v>0</v>
      </c>
      <c r="J14" s="32">
        <v>0</v>
      </c>
      <c r="K14" s="41">
        <f t="shared" si="0"/>
        <v>0</v>
      </c>
    </row>
    <row r="15" spans="1:11" x14ac:dyDescent="0.2">
      <c r="A15" s="1" t="s">
        <v>71</v>
      </c>
      <c r="B15" s="55">
        <v>0.11904517000000001</v>
      </c>
      <c r="C15" s="32">
        <v>8.02</v>
      </c>
      <c r="D15" s="32">
        <f>2.44379408+4.24220008</f>
        <v>6.6859941599999999</v>
      </c>
      <c r="E15" s="32">
        <f>7.5+42.65</f>
        <v>50.15</v>
      </c>
      <c r="F15" s="32">
        <v>7.0506479999999998</v>
      </c>
      <c r="G15" s="32">
        <v>24.26</v>
      </c>
      <c r="H15" s="32">
        <v>9.9559999999999995</v>
      </c>
      <c r="I15" s="32">
        <f>1.01501722+11.50312827</f>
        <v>12.51814549</v>
      </c>
      <c r="J15" s="32">
        <v>48.50471641</v>
      </c>
      <c r="K15" s="41">
        <f t="shared" si="0"/>
        <v>167.26454923</v>
      </c>
    </row>
    <row r="16" spans="1:11" x14ac:dyDescent="0.2">
      <c r="B16" s="55"/>
      <c r="C16" s="32"/>
      <c r="D16" s="32"/>
      <c r="E16" s="32"/>
      <c r="F16" s="32"/>
      <c r="G16" s="32"/>
      <c r="H16" s="32"/>
      <c r="I16" s="32"/>
      <c r="J16" s="32"/>
      <c r="K16" s="41"/>
    </row>
    <row r="17" spans="1:256" s="28" customFormat="1" x14ac:dyDescent="0.2">
      <c r="A17" s="28" t="s">
        <v>12</v>
      </c>
      <c r="B17" s="56">
        <f t="shared" ref="B17:J17" si="1">SUM(B10:B15)</f>
        <v>57.208828529999998</v>
      </c>
      <c r="C17" s="42">
        <f t="shared" si="1"/>
        <v>123.9</v>
      </c>
      <c r="D17" s="42">
        <f t="shared" si="1"/>
        <v>373.16684851000002</v>
      </c>
      <c r="E17" s="42">
        <f t="shared" si="1"/>
        <v>290.01</v>
      </c>
      <c r="F17" s="42">
        <f t="shared" si="1"/>
        <v>143.99258</v>
      </c>
      <c r="G17" s="42">
        <f t="shared" si="1"/>
        <v>163.02000000000001</v>
      </c>
      <c r="H17" s="42">
        <f t="shared" si="1"/>
        <v>179.67299999999997</v>
      </c>
      <c r="I17" s="42">
        <f t="shared" si="1"/>
        <v>97.367693799999998</v>
      </c>
      <c r="J17" s="42">
        <f t="shared" si="1"/>
        <v>336.41547541</v>
      </c>
      <c r="K17" s="42">
        <f>SUM(B17:J17)</f>
        <v>1764.7544262500001</v>
      </c>
    </row>
    <row r="18" spans="1:256" x14ac:dyDescent="0.2">
      <c r="B18" s="55"/>
      <c r="C18" s="32"/>
      <c r="D18" s="32"/>
      <c r="E18" s="32"/>
      <c r="F18" s="32"/>
      <c r="G18" s="32"/>
      <c r="H18" s="32"/>
      <c r="I18" s="32"/>
      <c r="J18" s="32"/>
      <c r="K18" s="41"/>
    </row>
    <row r="19" spans="1:256" x14ac:dyDescent="0.2">
      <c r="B19" s="55"/>
      <c r="C19" s="32"/>
      <c r="D19" s="32"/>
      <c r="E19" s="32"/>
      <c r="F19" s="32"/>
      <c r="G19" s="32"/>
      <c r="H19" s="32"/>
      <c r="I19" s="32"/>
      <c r="J19" s="32"/>
      <c r="K19" s="41"/>
    </row>
    <row r="20" spans="1:256" x14ac:dyDescent="0.2">
      <c r="A20" s="2" t="s">
        <v>14</v>
      </c>
      <c r="B20" s="55"/>
      <c r="C20" s="32"/>
      <c r="D20" s="32"/>
      <c r="E20" s="32"/>
      <c r="F20" s="32"/>
      <c r="G20" s="32"/>
      <c r="H20" s="32"/>
      <c r="I20" s="32"/>
      <c r="J20" s="32"/>
      <c r="K20" s="41"/>
    </row>
    <row r="21" spans="1:256" x14ac:dyDescent="0.2">
      <c r="B21" s="55"/>
      <c r="C21" s="32"/>
      <c r="D21" s="32"/>
      <c r="E21" s="32"/>
      <c r="F21" s="32"/>
      <c r="G21" s="32"/>
      <c r="H21" s="32"/>
      <c r="I21" s="32"/>
      <c r="J21" s="32"/>
      <c r="K21" s="41"/>
    </row>
    <row r="22" spans="1:256" x14ac:dyDescent="0.2">
      <c r="A22" s="1" t="s">
        <v>72</v>
      </c>
      <c r="B22" s="55">
        <v>13.46683998</v>
      </c>
      <c r="C22" s="32">
        <v>0</v>
      </c>
      <c r="D22" s="32">
        <v>8.2596000000000007</v>
      </c>
      <c r="E22" s="32">
        <v>0.9</v>
      </c>
      <c r="F22" s="32">
        <v>3.1037050000000002</v>
      </c>
      <c r="G22" s="32">
        <v>79.89</v>
      </c>
      <c r="H22" s="32">
        <v>0</v>
      </c>
      <c r="I22" s="32">
        <v>0</v>
      </c>
      <c r="J22" s="32">
        <v>44.285100399999997</v>
      </c>
      <c r="K22" s="41">
        <f t="shared" ref="K22:K27" si="2">SUM(B22:J22)</f>
        <v>149.90524538</v>
      </c>
    </row>
    <row r="23" spans="1:256" x14ac:dyDescent="0.2">
      <c r="A23" s="1" t="s">
        <v>104</v>
      </c>
      <c r="B23" s="55"/>
      <c r="C23" s="32">
        <v>0</v>
      </c>
      <c r="D23" s="32">
        <v>0</v>
      </c>
      <c r="E23" s="32">
        <v>0</v>
      </c>
      <c r="F23" s="32">
        <v>0</v>
      </c>
      <c r="G23" s="32">
        <v>0</v>
      </c>
      <c r="H23" s="32">
        <v>0</v>
      </c>
      <c r="I23" s="32">
        <v>0</v>
      </c>
      <c r="J23" s="32">
        <v>0</v>
      </c>
      <c r="K23" s="41">
        <f t="shared" si="2"/>
        <v>0</v>
      </c>
    </row>
    <row r="24" spans="1:256" x14ac:dyDescent="0.2">
      <c r="A24" s="1" t="s">
        <v>109</v>
      </c>
      <c r="B24" s="55">
        <v>2.044398E-2</v>
      </c>
      <c r="C24" s="32">
        <v>1.33</v>
      </c>
      <c r="D24" s="32">
        <v>47.802833110000002</v>
      </c>
      <c r="E24" s="32">
        <v>41.94</v>
      </c>
      <c r="F24" s="32">
        <v>6.8505089999999997</v>
      </c>
      <c r="G24" s="32">
        <v>78.569999999999993</v>
      </c>
      <c r="H24" s="32">
        <v>16.292999999999999</v>
      </c>
      <c r="I24" s="32">
        <v>23.972713590000001</v>
      </c>
      <c r="J24" s="32">
        <v>98.427801489999993</v>
      </c>
      <c r="K24" s="41">
        <f t="shared" si="2"/>
        <v>315.20730116999999</v>
      </c>
    </row>
    <row r="25" spans="1:256" x14ac:dyDescent="0.2">
      <c r="A25" t="s">
        <v>69</v>
      </c>
      <c r="B25" s="55"/>
      <c r="C25" s="32">
        <v>13.29</v>
      </c>
      <c r="D25" s="32">
        <v>1.02258257</v>
      </c>
      <c r="E25" s="32">
        <v>0</v>
      </c>
      <c r="F25" s="32">
        <v>0.419234</v>
      </c>
      <c r="G25" s="32">
        <v>0.26</v>
      </c>
      <c r="H25" s="32">
        <v>9.0500000000000007</v>
      </c>
      <c r="I25" s="32">
        <v>1.1811659999999999</v>
      </c>
      <c r="J25" s="32">
        <v>18.57462572</v>
      </c>
      <c r="K25" s="41">
        <f t="shared" si="2"/>
        <v>43.797608289999999</v>
      </c>
    </row>
    <row r="26" spans="1:256" x14ac:dyDescent="0.2">
      <c r="A26" s="1" t="s">
        <v>70</v>
      </c>
      <c r="B26" s="55"/>
      <c r="C26" s="32"/>
      <c r="D26" s="32"/>
      <c r="E26" s="32">
        <v>0</v>
      </c>
      <c r="F26" s="32">
        <v>0</v>
      </c>
      <c r="G26" s="32">
        <v>0</v>
      </c>
      <c r="H26" s="32">
        <v>5.0000000000000001E-3</v>
      </c>
      <c r="I26" s="32">
        <v>0</v>
      </c>
      <c r="J26" s="32">
        <v>0.18759535999999999</v>
      </c>
      <c r="K26" s="41">
        <f t="shared" si="2"/>
        <v>0.19259535999999999</v>
      </c>
    </row>
    <row r="27" spans="1:256" x14ac:dyDescent="0.2">
      <c r="A27" s="1" t="s">
        <v>71</v>
      </c>
      <c r="B27" s="55"/>
      <c r="C27" s="32"/>
      <c r="D27" s="32">
        <f>0.92738642+0.59140063</f>
        <v>1.51878705</v>
      </c>
      <c r="E27" s="32">
        <f>0.39+0.49</f>
        <v>0.88</v>
      </c>
      <c r="F27" s="32">
        <v>0</v>
      </c>
      <c r="G27" s="32">
        <v>21.5</v>
      </c>
      <c r="H27" s="32">
        <v>2.4E-2</v>
      </c>
      <c r="I27" s="32">
        <v>0</v>
      </c>
      <c r="J27" s="32">
        <v>4.14961059</v>
      </c>
      <c r="K27" s="41">
        <f t="shared" si="2"/>
        <v>28.072397639999998</v>
      </c>
    </row>
    <row r="28" spans="1:256" x14ac:dyDescent="0.2">
      <c r="B28" s="55"/>
      <c r="C28" s="32"/>
      <c r="D28" s="32"/>
      <c r="E28" s="32"/>
      <c r="F28" s="32"/>
      <c r="G28" s="32"/>
      <c r="H28" s="32"/>
      <c r="I28" s="32"/>
      <c r="J28" s="32"/>
      <c r="K28" s="41"/>
    </row>
    <row r="29" spans="1:256" s="28" customFormat="1" x14ac:dyDescent="0.2">
      <c r="A29" s="28" t="s">
        <v>12</v>
      </c>
      <c r="B29" s="56">
        <f t="shared" ref="B29:J29" si="3">SUM(B22:B27)</f>
        <v>13.487283959999999</v>
      </c>
      <c r="C29" s="42">
        <f t="shared" si="3"/>
        <v>14.62</v>
      </c>
      <c r="D29" s="42">
        <f t="shared" si="3"/>
        <v>58.603802729999998</v>
      </c>
      <c r="E29" s="42">
        <f t="shared" si="3"/>
        <v>43.72</v>
      </c>
      <c r="F29" s="42">
        <f t="shared" si="3"/>
        <v>10.373448</v>
      </c>
      <c r="G29" s="42">
        <f t="shared" si="3"/>
        <v>180.21999999999997</v>
      </c>
      <c r="H29" s="42">
        <f t="shared" si="3"/>
        <v>25.372</v>
      </c>
      <c r="I29" s="42">
        <f t="shared" si="3"/>
        <v>25.153879590000003</v>
      </c>
      <c r="J29" s="42">
        <f t="shared" si="3"/>
        <v>165.62473355999998</v>
      </c>
      <c r="K29" s="42">
        <f>SUM(B29:J29)</f>
        <v>537.17514784000002</v>
      </c>
    </row>
    <row r="30" spans="1:256" x14ac:dyDescent="0.2">
      <c r="B30" s="55"/>
      <c r="C30" s="32"/>
      <c r="D30" s="32"/>
      <c r="E30" s="32"/>
      <c r="F30" s="32"/>
      <c r="G30" s="32"/>
      <c r="H30" s="32"/>
      <c r="I30" s="32"/>
      <c r="J30" s="32"/>
      <c r="K30" s="41"/>
    </row>
    <row r="31" spans="1:256" s="34" customFormat="1" x14ac:dyDescent="0.2">
      <c r="A31" s="34" t="s">
        <v>43</v>
      </c>
      <c r="B31" s="57">
        <f t="shared" ref="B31:J31" si="4">B17+B29</f>
        <v>70.69611248999999</v>
      </c>
      <c r="C31" s="41">
        <f t="shared" si="4"/>
        <v>138.52000000000001</v>
      </c>
      <c r="D31" s="41">
        <f t="shared" si="4"/>
        <v>431.77065124000001</v>
      </c>
      <c r="E31" s="41">
        <f t="shared" si="4"/>
        <v>333.73</v>
      </c>
      <c r="F31" s="41">
        <f t="shared" si="4"/>
        <v>154.366028</v>
      </c>
      <c r="G31" s="41">
        <f t="shared" si="4"/>
        <v>343.24</v>
      </c>
      <c r="H31" s="41">
        <f t="shared" si="4"/>
        <v>205.04499999999996</v>
      </c>
      <c r="I31" s="41">
        <f t="shared" si="4"/>
        <v>122.52157339</v>
      </c>
      <c r="J31" s="41">
        <f t="shared" si="4"/>
        <v>502.04020896999998</v>
      </c>
      <c r="K31" s="41">
        <f>SUM(B31:J31)</f>
        <v>2301.9295740900002</v>
      </c>
    </row>
    <row r="32" spans="1:256" x14ac:dyDescent="0.2">
      <c r="B32" s="55"/>
      <c r="C32" s="32"/>
      <c r="D32" s="32"/>
      <c r="E32" s="32"/>
      <c r="F32" s="32"/>
      <c r="G32" s="32"/>
      <c r="H32" s="32"/>
      <c r="I32" s="32"/>
      <c r="J32" s="32"/>
      <c r="K32" s="32"/>
      <c r="L32" s="32"/>
      <c r="M32" s="32"/>
      <c r="N32" s="32"/>
      <c r="O32" s="32"/>
      <c r="P32" s="32"/>
      <c r="Q32" s="32"/>
      <c r="R32" s="32"/>
      <c r="S32" s="32"/>
      <c r="T32" s="32"/>
      <c r="U32" s="32"/>
      <c r="V32" s="32"/>
      <c r="W32" s="32"/>
      <c r="X32" s="32"/>
      <c r="Y32" s="32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2"/>
      <c r="AK32" s="32"/>
      <c r="AL32" s="32"/>
      <c r="AM32" s="32"/>
      <c r="AN32" s="32"/>
      <c r="AO32" s="32"/>
      <c r="AP32" s="32"/>
      <c r="AQ32" s="32"/>
      <c r="AR32" s="32"/>
      <c r="AS32" s="32"/>
      <c r="AT32" s="32"/>
      <c r="AU32" s="32"/>
      <c r="AV32" s="32"/>
      <c r="AW32" s="32"/>
      <c r="AX32" s="32"/>
      <c r="AY32" s="32"/>
      <c r="AZ32" s="32"/>
      <c r="BA32" s="32"/>
      <c r="BB32" s="32"/>
      <c r="BC32" s="32"/>
      <c r="BD32" s="32"/>
      <c r="BE32" s="32"/>
      <c r="BF32" s="32"/>
      <c r="BG32" s="32"/>
      <c r="BH32" s="32"/>
      <c r="BI32" s="32"/>
      <c r="BJ32" s="32"/>
      <c r="BK32" s="32"/>
      <c r="BL32" s="32"/>
      <c r="BM32" s="32"/>
      <c r="BN32" s="32"/>
      <c r="BO32" s="32"/>
      <c r="BP32" s="32"/>
      <c r="BQ32" s="32"/>
      <c r="BR32" s="32"/>
      <c r="BS32" s="32"/>
      <c r="BT32" s="32"/>
      <c r="BU32" s="32"/>
      <c r="BV32" s="32"/>
      <c r="BW32" s="32"/>
      <c r="BX32" s="32"/>
      <c r="BY32" s="32"/>
      <c r="BZ32" s="32"/>
      <c r="CA32" s="32"/>
      <c r="CB32" s="32"/>
      <c r="CC32" s="32"/>
      <c r="CD32" s="32"/>
      <c r="CE32" s="32"/>
      <c r="CF32" s="32"/>
      <c r="CG32" s="32"/>
      <c r="CH32" s="32"/>
      <c r="CI32" s="32"/>
      <c r="CJ32" s="32"/>
      <c r="CK32" s="32"/>
      <c r="CL32" s="32"/>
      <c r="CM32" s="32"/>
      <c r="CN32" s="32"/>
      <c r="CO32" s="32"/>
      <c r="CP32" s="32"/>
      <c r="CQ32" s="32"/>
      <c r="CR32" s="32"/>
      <c r="CS32" s="32"/>
      <c r="CT32" s="32"/>
      <c r="CU32" s="32"/>
      <c r="CV32" s="32"/>
      <c r="CW32" s="32"/>
      <c r="CX32" s="32"/>
      <c r="CY32" s="32"/>
      <c r="CZ32" s="32"/>
      <c r="DA32" s="32"/>
      <c r="DB32" s="32"/>
      <c r="DC32" s="32"/>
      <c r="DD32" s="32"/>
      <c r="DE32" s="32"/>
      <c r="DF32" s="32"/>
      <c r="DG32" s="32"/>
      <c r="DH32" s="32"/>
      <c r="DI32" s="32"/>
      <c r="DJ32" s="32"/>
      <c r="DK32" s="32"/>
      <c r="DL32" s="32"/>
      <c r="DM32" s="32"/>
      <c r="DN32" s="32"/>
      <c r="DO32" s="32"/>
      <c r="DP32" s="32"/>
      <c r="DQ32" s="32"/>
      <c r="DR32" s="32"/>
      <c r="DS32" s="32"/>
      <c r="DT32" s="32"/>
      <c r="DU32" s="32"/>
      <c r="DV32" s="32"/>
      <c r="DW32" s="32"/>
      <c r="DX32" s="32"/>
      <c r="DY32" s="32"/>
      <c r="DZ32" s="32"/>
      <c r="EA32" s="32"/>
      <c r="EB32" s="32"/>
      <c r="EC32" s="32"/>
      <c r="ED32" s="32"/>
      <c r="EE32" s="32"/>
      <c r="EF32" s="32"/>
      <c r="EG32" s="32"/>
      <c r="EH32" s="32"/>
      <c r="EI32" s="32"/>
      <c r="EJ32" s="32"/>
      <c r="EK32" s="32"/>
      <c r="EL32" s="32"/>
      <c r="EM32" s="32"/>
      <c r="EN32" s="32"/>
      <c r="EO32" s="32"/>
      <c r="EP32" s="32"/>
      <c r="EQ32" s="32"/>
      <c r="ER32" s="32"/>
      <c r="ES32" s="32"/>
      <c r="ET32" s="32"/>
      <c r="EU32" s="32"/>
      <c r="EV32" s="32"/>
      <c r="EW32" s="32"/>
      <c r="EX32" s="32"/>
      <c r="EY32" s="32"/>
      <c r="EZ32" s="32"/>
      <c r="FA32" s="32"/>
      <c r="FB32" s="32"/>
      <c r="FC32" s="32"/>
      <c r="FD32" s="32"/>
      <c r="FE32" s="32"/>
      <c r="FF32" s="32"/>
      <c r="FG32" s="32"/>
      <c r="FH32" s="32"/>
      <c r="FI32" s="32"/>
      <c r="FJ32" s="32"/>
      <c r="FK32" s="32"/>
      <c r="FL32" s="32"/>
      <c r="FM32" s="32"/>
      <c r="FN32" s="32"/>
      <c r="FO32" s="32"/>
      <c r="FP32" s="32"/>
      <c r="FQ32" s="32"/>
      <c r="FR32" s="32"/>
      <c r="FS32" s="32"/>
      <c r="FT32" s="32"/>
      <c r="FU32" s="32"/>
      <c r="FV32" s="32"/>
      <c r="FW32" s="32"/>
      <c r="FX32" s="32"/>
      <c r="FY32" s="32"/>
      <c r="FZ32" s="32"/>
      <c r="GA32" s="32"/>
      <c r="GB32" s="32"/>
      <c r="GC32" s="32"/>
      <c r="GD32" s="32"/>
      <c r="GE32" s="32"/>
      <c r="GF32" s="32"/>
      <c r="GG32" s="32"/>
      <c r="GH32" s="32"/>
      <c r="GI32" s="32"/>
      <c r="GJ32" s="32"/>
      <c r="GK32" s="32"/>
      <c r="GL32" s="32"/>
      <c r="GM32" s="32"/>
      <c r="GN32" s="32"/>
      <c r="GO32" s="32"/>
      <c r="GP32" s="32"/>
      <c r="GQ32" s="32"/>
      <c r="GR32" s="32"/>
      <c r="GS32" s="32"/>
      <c r="GT32" s="32"/>
      <c r="GU32" s="32"/>
      <c r="GV32" s="32"/>
      <c r="GW32" s="32"/>
      <c r="GX32" s="32"/>
      <c r="GY32" s="32"/>
      <c r="GZ32" s="32"/>
      <c r="HA32" s="32"/>
      <c r="HB32" s="32"/>
      <c r="HC32" s="32"/>
      <c r="HD32" s="32"/>
      <c r="HE32" s="32"/>
      <c r="HF32" s="32"/>
      <c r="HG32" s="32"/>
      <c r="HH32" s="32"/>
      <c r="HI32" s="32"/>
      <c r="HJ32" s="32"/>
      <c r="HK32" s="32"/>
      <c r="HL32" s="32"/>
      <c r="HM32" s="32"/>
      <c r="HN32" s="32"/>
      <c r="HO32" s="32"/>
      <c r="HP32" s="32"/>
      <c r="HQ32" s="32"/>
      <c r="HR32" s="32"/>
      <c r="HS32" s="32"/>
      <c r="HT32" s="32"/>
      <c r="HU32" s="32"/>
      <c r="HV32" s="32"/>
      <c r="HW32" s="32"/>
      <c r="HX32" s="32"/>
      <c r="HY32" s="32"/>
      <c r="HZ32" s="32"/>
      <c r="IA32" s="32"/>
      <c r="IB32" s="32"/>
      <c r="IC32" s="32"/>
      <c r="ID32" s="32"/>
      <c r="IE32" s="32"/>
      <c r="IF32" s="32"/>
      <c r="IG32" s="32"/>
      <c r="IH32" s="32"/>
      <c r="II32" s="32"/>
      <c r="IJ32" s="32"/>
      <c r="IK32" s="32"/>
      <c r="IL32" s="32"/>
      <c r="IM32" s="32"/>
      <c r="IN32" s="32"/>
      <c r="IO32" s="32"/>
      <c r="IP32" s="32"/>
      <c r="IQ32" s="32"/>
      <c r="IR32" s="32"/>
      <c r="IS32" s="32"/>
      <c r="IT32" s="32"/>
      <c r="IU32" s="32"/>
      <c r="IV32" s="32"/>
    </row>
    <row r="33" spans="1:11" x14ac:dyDescent="0.2">
      <c r="B33" s="55"/>
      <c r="C33" s="32"/>
      <c r="D33" s="32"/>
      <c r="E33" s="32"/>
      <c r="F33" s="32"/>
      <c r="G33" s="32"/>
      <c r="H33" s="32"/>
      <c r="I33" s="32"/>
      <c r="J33" s="32"/>
      <c r="K33" s="41"/>
    </row>
    <row r="34" spans="1:11" ht="15" customHeight="1" x14ac:dyDescent="0.25">
      <c r="A34" s="6" t="s">
        <v>44</v>
      </c>
      <c r="B34" s="55"/>
      <c r="C34" s="32"/>
      <c r="D34" s="32"/>
      <c r="E34" s="32"/>
      <c r="F34" s="32"/>
      <c r="G34" s="32"/>
      <c r="H34" s="32"/>
      <c r="I34" s="32"/>
      <c r="J34" s="32"/>
      <c r="K34" s="41"/>
    </row>
    <row r="35" spans="1:11" ht="12" customHeight="1" x14ac:dyDescent="0.2">
      <c r="B35" s="55"/>
      <c r="C35" s="32"/>
      <c r="D35" s="32"/>
      <c r="E35" s="32"/>
      <c r="F35" s="32"/>
      <c r="G35" s="32"/>
      <c r="H35" s="32"/>
      <c r="I35" s="32"/>
      <c r="J35" s="32"/>
      <c r="K35" s="41"/>
    </row>
    <row r="36" spans="1:11" ht="12" customHeight="1" x14ac:dyDescent="0.2">
      <c r="A36" s="2" t="s">
        <v>73</v>
      </c>
      <c r="B36" s="55"/>
      <c r="C36" s="32"/>
      <c r="D36" s="32"/>
      <c r="E36" s="32"/>
      <c r="F36" s="32"/>
      <c r="G36" s="32"/>
      <c r="H36" s="32"/>
      <c r="I36" s="32"/>
      <c r="J36" s="32"/>
      <c r="K36" s="41"/>
    </row>
    <row r="37" spans="1:11" ht="12" customHeight="1" x14ac:dyDescent="0.2">
      <c r="B37" s="55"/>
      <c r="C37" s="32"/>
      <c r="D37" s="32"/>
      <c r="E37" s="32"/>
      <c r="F37" s="32"/>
      <c r="G37" s="42"/>
      <c r="H37" s="32"/>
      <c r="I37" s="32"/>
      <c r="J37" s="32"/>
      <c r="K37" s="41"/>
    </row>
    <row r="38" spans="1:11" ht="12" customHeight="1" x14ac:dyDescent="0.2">
      <c r="A38" s="1" t="s">
        <v>74</v>
      </c>
      <c r="B38" s="55">
        <v>41.349446999999998</v>
      </c>
      <c r="C38" s="32">
        <v>54.43</v>
      </c>
      <c r="D38" s="32">
        <v>439.48572817000002</v>
      </c>
      <c r="E38" s="32">
        <v>217.05</v>
      </c>
      <c r="F38" s="32">
        <v>28.612034000000001</v>
      </c>
      <c r="G38" s="32">
        <v>40.43</v>
      </c>
      <c r="H38" s="32">
        <v>80.84</v>
      </c>
      <c r="I38" s="32"/>
      <c r="J38" s="32">
        <v>227.77521611</v>
      </c>
      <c r="K38" s="41">
        <f t="shared" ref="K38:K45" si="5">SUM(B38:J38)</f>
        <v>1129.9724252799999</v>
      </c>
    </row>
    <row r="39" spans="1:11" ht="12" customHeight="1" x14ac:dyDescent="0.2">
      <c r="A39" s="1" t="s">
        <v>75</v>
      </c>
      <c r="B39" s="55">
        <v>14.291492999999999</v>
      </c>
      <c r="C39" s="32">
        <v>0</v>
      </c>
      <c r="D39" s="32"/>
      <c r="E39" s="32">
        <v>3</v>
      </c>
      <c r="F39" s="32">
        <v>5.9942669999999998</v>
      </c>
      <c r="G39" s="32">
        <v>5.75</v>
      </c>
      <c r="H39" s="32">
        <v>0</v>
      </c>
      <c r="I39" s="32"/>
      <c r="J39" s="32">
        <v>41.458228570000003</v>
      </c>
      <c r="K39" s="41">
        <f t="shared" si="5"/>
        <v>70.493988569999999</v>
      </c>
    </row>
    <row r="40" spans="1:11" ht="12" customHeight="1" x14ac:dyDescent="0.2">
      <c r="A40" s="1" t="s">
        <v>105</v>
      </c>
      <c r="B40" s="55"/>
      <c r="C40" s="32"/>
      <c r="D40" s="32"/>
      <c r="E40" s="32"/>
      <c r="F40" s="32">
        <v>1406.1</v>
      </c>
      <c r="G40" s="32">
        <v>1240.75</v>
      </c>
      <c r="H40" s="32">
        <v>0</v>
      </c>
      <c r="I40" s="32"/>
      <c r="J40" s="32">
        <v>0</v>
      </c>
      <c r="K40" s="41">
        <f t="shared" si="5"/>
        <v>2646.85</v>
      </c>
    </row>
    <row r="41" spans="1:11" ht="12" customHeight="1" x14ac:dyDescent="0.2">
      <c r="A41" s="1" t="s">
        <v>107</v>
      </c>
      <c r="B41" s="55">
        <v>3.9173640000000001</v>
      </c>
      <c r="C41" s="32">
        <v>76.989999999999995</v>
      </c>
      <c r="D41" s="32">
        <v>2050.8469994299999</v>
      </c>
      <c r="E41" s="32">
        <v>340.33</v>
      </c>
      <c r="F41" s="32">
        <v>0</v>
      </c>
      <c r="G41" s="32">
        <v>56.27</v>
      </c>
      <c r="H41" s="32">
        <v>3.2839999999999998</v>
      </c>
      <c r="I41" s="32"/>
      <c r="J41" s="32">
        <v>187.96309676000001</v>
      </c>
      <c r="K41" s="41">
        <f t="shared" si="5"/>
        <v>2719.6014601900001</v>
      </c>
    </row>
    <row r="42" spans="1:11" ht="12" customHeight="1" x14ac:dyDescent="0.2">
      <c r="A42" s="1" t="s">
        <v>106</v>
      </c>
      <c r="B42" s="55"/>
      <c r="C42" s="32"/>
      <c r="D42" s="32"/>
      <c r="E42" s="32"/>
      <c r="F42" s="32">
        <v>0</v>
      </c>
      <c r="G42" s="32">
        <v>4.04</v>
      </c>
      <c r="H42" s="32">
        <v>0</v>
      </c>
      <c r="I42" s="32"/>
      <c r="J42" s="32">
        <v>0</v>
      </c>
      <c r="K42" s="41">
        <f t="shared" si="5"/>
        <v>4.04</v>
      </c>
    </row>
    <row r="43" spans="1:11" ht="12" customHeight="1" x14ac:dyDescent="0.2">
      <c r="A43" s="1" t="s">
        <v>108</v>
      </c>
      <c r="B43" s="55"/>
      <c r="C43" s="32">
        <v>0</v>
      </c>
      <c r="D43" s="32">
        <v>651.59097789999998</v>
      </c>
      <c r="E43" s="32">
        <v>341.3</v>
      </c>
      <c r="F43" s="32">
        <v>10.63</v>
      </c>
      <c r="G43" s="32">
        <v>41.78</v>
      </c>
      <c r="H43" s="32">
        <v>0.82299999999999995</v>
      </c>
      <c r="I43" s="32"/>
      <c r="J43" s="32">
        <v>799.59466560999999</v>
      </c>
      <c r="K43" s="41">
        <f t="shared" si="5"/>
        <v>1845.7186435100002</v>
      </c>
    </row>
    <row r="44" spans="1:11" ht="12" customHeight="1" x14ac:dyDescent="0.2">
      <c r="A44" s="1" t="s">
        <v>78</v>
      </c>
      <c r="B44" s="55"/>
      <c r="C44" s="32">
        <v>0</v>
      </c>
      <c r="D44" s="32">
        <v>8.0828690000000005</v>
      </c>
      <c r="E44" s="32">
        <v>17.079999999999998</v>
      </c>
      <c r="F44" s="32">
        <v>0</v>
      </c>
      <c r="G44" s="32">
        <v>0</v>
      </c>
      <c r="H44" s="32">
        <v>11.563000000000001</v>
      </c>
      <c r="I44" s="32"/>
      <c r="J44" s="32">
        <v>50.024411379999997</v>
      </c>
      <c r="K44" s="41">
        <f t="shared" si="5"/>
        <v>86.750280379999992</v>
      </c>
    </row>
    <row r="45" spans="1:11" ht="12" customHeight="1" x14ac:dyDescent="0.2">
      <c r="A45" s="1" t="s">
        <v>79</v>
      </c>
      <c r="B45" s="55"/>
      <c r="C45" s="32">
        <v>31.92</v>
      </c>
      <c r="D45" s="32"/>
      <c r="E45" s="32"/>
      <c r="F45" s="32">
        <v>0</v>
      </c>
      <c r="G45" s="32">
        <v>0</v>
      </c>
      <c r="H45" s="32">
        <v>0.03</v>
      </c>
      <c r="I45" s="32"/>
      <c r="J45" s="32">
        <v>4.8107024699999998</v>
      </c>
      <c r="K45" s="41">
        <f t="shared" si="5"/>
        <v>36.760702470000005</v>
      </c>
    </row>
    <row r="46" spans="1:11" ht="12" customHeight="1" x14ac:dyDescent="0.2">
      <c r="B46" s="55"/>
      <c r="C46" s="32"/>
      <c r="D46" s="32"/>
      <c r="E46" s="32"/>
      <c r="F46" s="32"/>
      <c r="G46" s="32"/>
      <c r="H46" s="32"/>
      <c r="I46" s="32"/>
      <c r="J46" s="32"/>
      <c r="K46" s="41"/>
    </row>
    <row r="47" spans="1:11" s="2" customFormat="1" ht="12" customHeight="1" x14ac:dyDescent="0.2">
      <c r="A47" s="7" t="s">
        <v>12</v>
      </c>
      <c r="B47" s="57">
        <f t="shared" ref="B47:J47" si="6">SUM(B38:B45)</f>
        <v>59.558304</v>
      </c>
      <c r="C47" s="41">
        <f t="shared" si="6"/>
        <v>163.33999999999997</v>
      </c>
      <c r="D47" s="41">
        <f t="shared" si="6"/>
        <v>3150.0065744999997</v>
      </c>
      <c r="E47" s="41">
        <f t="shared" si="6"/>
        <v>918.7600000000001</v>
      </c>
      <c r="F47" s="41">
        <f t="shared" si="6"/>
        <v>1451.336301</v>
      </c>
      <c r="G47" s="41">
        <f t="shared" si="6"/>
        <v>1389.02</v>
      </c>
      <c r="H47" s="41">
        <f t="shared" si="6"/>
        <v>96.54</v>
      </c>
      <c r="I47" s="41">
        <f t="shared" si="6"/>
        <v>0</v>
      </c>
      <c r="J47" s="41">
        <f t="shared" si="6"/>
        <v>1311.6263209000001</v>
      </c>
      <c r="K47" s="41">
        <f>SUM(B47:J47)</f>
        <v>8540.1875003999994</v>
      </c>
    </row>
    <row r="48" spans="1:11" ht="12" customHeight="1" x14ac:dyDescent="0.2">
      <c r="B48" s="55"/>
      <c r="C48" s="32"/>
      <c r="D48" s="32"/>
      <c r="E48" s="32"/>
      <c r="F48" s="32"/>
      <c r="G48" s="32"/>
      <c r="H48" s="32"/>
      <c r="I48" s="32"/>
      <c r="J48" s="32"/>
      <c r="K48" s="41"/>
    </row>
    <row r="49" spans="1:11" ht="12" customHeight="1" x14ac:dyDescent="0.2">
      <c r="A49" s="2" t="s">
        <v>45</v>
      </c>
      <c r="B49" s="55"/>
      <c r="C49" s="32"/>
      <c r="D49" s="32"/>
      <c r="E49" s="32"/>
      <c r="F49" s="32"/>
      <c r="G49" s="32"/>
      <c r="H49" s="32"/>
      <c r="I49" s="32"/>
      <c r="J49" s="32"/>
      <c r="K49" s="41"/>
    </row>
    <row r="50" spans="1:11" ht="12" customHeight="1" x14ac:dyDescent="0.2">
      <c r="B50" s="55"/>
      <c r="C50" s="32"/>
      <c r="D50" s="32"/>
      <c r="E50" s="32"/>
      <c r="F50" s="32"/>
      <c r="G50" s="32"/>
      <c r="H50" s="32"/>
      <c r="I50" s="32"/>
      <c r="J50" s="32"/>
      <c r="K50" s="41"/>
    </row>
    <row r="51" spans="1:11" ht="12" customHeight="1" x14ac:dyDescent="0.2">
      <c r="A51" s="1" t="s">
        <v>46</v>
      </c>
      <c r="B51" s="55">
        <v>903.06046800000001</v>
      </c>
      <c r="C51" s="32">
        <v>864.84</v>
      </c>
      <c r="D51" s="32">
        <v>974.05785904000004</v>
      </c>
      <c r="E51" s="32">
        <v>524.64</v>
      </c>
      <c r="F51" s="32">
        <v>940.07692999999995</v>
      </c>
      <c r="G51" s="32">
        <v>2370.61</v>
      </c>
      <c r="H51" s="32">
        <v>2495.569</v>
      </c>
      <c r="I51" s="32">
        <v>1616.33407354</v>
      </c>
      <c r="J51" s="32">
        <v>2710.6434531700002</v>
      </c>
      <c r="K51" s="41">
        <f>SUM(B51:J51)</f>
        <v>13399.831783749998</v>
      </c>
    </row>
    <row r="52" spans="1:11" ht="12" customHeight="1" x14ac:dyDescent="0.2">
      <c r="A52" s="1" t="s">
        <v>47</v>
      </c>
      <c r="B52" s="55">
        <v>104.379231</v>
      </c>
      <c r="C52" s="32">
        <v>0</v>
      </c>
      <c r="D52" s="32"/>
      <c r="E52" s="32">
        <v>1.65</v>
      </c>
      <c r="F52" s="32">
        <v>34.155833999999999</v>
      </c>
      <c r="G52" s="32">
        <v>230.6</v>
      </c>
      <c r="H52" s="32">
        <v>56.521999999999998</v>
      </c>
      <c r="I52" s="32">
        <v>1.5982676899999999</v>
      </c>
      <c r="J52" s="32">
        <v>45.684387860000001</v>
      </c>
      <c r="K52" s="41">
        <f>SUM(B52:J52)</f>
        <v>474.58972055000004</v>
      </c>
    </row>
    <row r="53" spans="1:11" ht="12" customHeight="1" x14ac:dyDescent="0.2">
      <c r="B53" s="55"/>
      <c r="C53" s="32"/>
      <c r="D53" s="32"/>
      <c r="E53" s="32"/>
      <c r="F53" s="32"/>
      <c r="G53" s="32"/>
      <c r="H53" s="32"/>
      <c r="I53" s="32"/>
      <c r="J53" s="32"/>
      <c r="K53" s="41"/>
    </row>
    <row r="54" spans="1:11" s="34" customFormat="1" ht="12" customHeight="1" x14ac:dyDescent="0.2">
      <c r="A54" s="34" t="s">
        <v>12</v>
      </c>
      <c r="B54" s="57">
        <f t="shared" ref="B54:J54" si="7">SUM(B51:B52)</f>
        <v>1007.439699</v>
      </c>
      <c r="C54" s="41">
        <f t="shared" si="7"/>
        <v>864.84</v>
      </c>
      <c r="D54" s="41">
        <f t="shared" si="7"/>
        <v>974.05785904000004</v>
      </c>
      <c r="E54" s="41">
        <f t="shared" si="7"/>
        <v>526.29</v>
      </c>
      <c r="F54" s="41">
        <f t="shared" si="7"/>
        <v>974.23276399999997</v>
      </c>
      <c r="G54" s="41">
        <f t="shared" si="7"/>
        <v>2601.21</v>
      </c>
      <c r="H54" s="41">
        <f t="shared" si="7"/>
        <v>2552.0909999999999</v>
      </c>
      <c r="I54" s="41">
        <f t="shared" si="7"/>
        <v>1617.93234123</v>
      </c>
      <c r="J54" s="41">
        <f t="shared" si="7"/>
        <v>2756.3278410299999</v>
      </c>
      <c r="K54" s="41">
        <f>SUM(B54:J54)</f>
        <v>13874.4215043</v>
      </c>
    </row>
    <row r="55" spans="1:11" ht="12" customHeight="1" x14ac:dyDescent="0.2">
      <c r="B55" s="55"/>
      <c r="C55" s="32"/>
      <c r="D55" s="32"/>
      <c r="E55" s="32"/>
      <c r="F55" s="32"/>
      <c r="G55" s="32"/>
      <c r="H55" s="32"/>
      <c r="I55" s="32"/>
      <c r="J55" s="32"/>
      <c r="K55" s="41"/>
    </row>
    <row r="56" spans="1:11" s="2" customFormat="1" ht="12" customHeight="1" x14ac:dyDescent="0.2">
      <c r="A56" s="2" t="s">
        <v>48</v>
      </c>
      <c r="B56" s="57">
        <v>85.237505999999996</v>
      </c>
      <c r="C56" s="60">
        <f>22.91+0.22+0.18+20.49</f>
        <v>43.8</v>
      </c>
      <c r="D56" s="41">
        <v>350.33823864999999</v>
      </c>
      <c r="E56" s="41">
        <f>0.04+12.4</f>
        <v>12.44</v>
      </c>
      <c r="F56" s="41">
        <v>41.436895</v>
      </c>
      <c r="G56" s="41">
        <v>137.66</v>
      </c>
      <c r="H56" s="41">
        <v>0</v>
      </c>
      <c r="I56" s="41">
        <v>0</v>
      </c>
      <c r="J56" s="41">
        <v>418.34560957999997</v>
      </c>
      <c r="K56" s="41">
        <f>SUM(B56:J56)</f>
        <v>1089.2582492299998</v>
      </c>
    </row>
    <row r="57" spans="1:11" ht="12" customHeight="1" x14ac:dyDescent="0.2">
      <c r="B57" s="55"/>
      <c r="C57" s="32"/>
      <c r="D57" s="32"/>
      <c r="E57" s="32"/>
      <c r="F57" s="32"/>
      <c r="G57" s="32"/>
      <c r="H57" s="32"/>
      <c r="I57" s="32"/>
      <c r="J57" s="32"/>
      <c r="K57" s="41"/>
    </row>
    <row r="58" spans="1:11" ht="12" customHeight="1" x14ac:dyDescent="0.2">
      <c r="A58" s="2" t="s">
        <v>49</v>
      </c>
      <c r="B58" s="55"/>
      <c r="C58" s="32"/>
      <c r="D58" s="32"/>
      <c r="E58" s="32"/>
      <c r="F58" s="32"/>
      <c r="G58" s="32"/>
      <c r="H58" s="32"/>
      <c r="I58" s="32"/>
      <c r="J58" s="32"/>
      <c r="K58" s="41"/>
    </row>
    <row r="59" spans="1:11" ht="12" customHeight="1" x14ac:dyDescent="0.2">
      <c r="B59" s="55"/>
      <c r="C59" s="32"/>
      <c r="D59" s="32"/>
      <c r="E59" s="32"/>
      <c r="F59" s="32"/>
      <c r="G59" s="32"/>
      <c r="H59" s="32"/>
      <c r="I59" s="32"/>
      <c r="J59" s="32"/>
      <c r="K59" s="41"/>
    </row>
    <row r="60" spans="1:11" ht="12" customHeight="1" x14ac:dyDescent="0.2">
      <c r="A60" s="34" t="s">
        <v>117</v>
      </c>
      <c r="B60" s="55"/>
      <c r="C60" s="32"/>
      <c r="D60" s="32"/>
      <c r="E60" s="32"/>
      <c r="F60" s="32"/>
      <c r="G60" s="32"/>
      <c r="H60" s="32"/>
      <c r="I60" s="32"/>
      <c r="J60" s="32"/>
      <c r="K60" s="41"/>
    </row>
    <row r="61" spans="1:11" ht="12" customHeight="1" x14ac:dyDescent="0.2">
      <c r="A61" s="1" t="s">
        <v>50</v>
      </c>
      <c r="B61" s="55">
        <v>51.176763000000001</v>
      </c>
      <c r="C61" s="32">
        <v>114.64</v>
      </c>
      <c r="D61" s="32">
        <v>297.60104510999997</v>
      </c>
      <c r="E61" s="32">
        <v>285.89999999999998</v>
      </c>
      <c r="F61" s="32">
        <v>110.99534300000001</v>
      </c>
      <c r="G61" s="32">
        <v>240.1</v>
      </c>
      <c r="H61" s="32">
        <v>137.596</v>
      </c>
      <c r="I61" s="32">
        <v>74.871926000000002</v>
      </c>
      <c r="J61" s="32">
        <v>467.03057629</v>
      </c>
      <c r="K61" s="41">
        <f>SUM(B61:J61)</f>
        <v>1779.9116534</v>
      </c>
    </row>
    <row r="62" spans="1:11" ht="12" customHeight="1" x14ac:dyDescent="0.2">
      <c r="A62" s="1" t="s">
        <v>81</v>
      </c>
      <c r="B62" s="55">
        <v>0.217533</v>
      </c>
      <c r="C62" s="32">
        <v>0.49</v>
      </c>
      <c r="D62" s="32">
        <v>146.59329403000001</v>
      </c>
      <c r="E62" s="32">
        <f>327.03+12.5</f>
        <v>339.53</v>
      </c>
      <c r="F62" s="46">
        <f>0.466142+0.205202</f>
        <v>0.67134399999999994</v>
      </c>
      <c r="G62" s="32">
        <v>1.04</v>
      </c>
      <c r="H62" s="32">
        <v>1.5089999999999999</v>
      </c>
      <c r="I62" s="32">
        <v>8.4558350000000004</v>
      </c>
      <c r="J62" s="32">
        <v>2.00403318</v>
      </c>
      <c r="K62" s="41">
        <f>SUM(B62:J62)</f>
        <v>500.51103921000004</v>
      </c>
    </row>
    <row r="63" spans="1:11" ht="12" customHeight="1" x14ac:dyDescent="0.2">
      <c r="A63" s="1" t="s">
        <v>110</v>
      </c>
      <c r="B63" s="55"/>
      <c r="C63" s="32"/>
      <c r="D63" s="32"/>
      <c r="E63" s="32"/>
      <c r="F63" s="32"/>
      <c r="G63" s="32"/>
      <c r="H63" s="32"/>
      <c r="I63" s="32"/>
      <c r="J63" s="32"/>
      <c r="K63" s="41"/>
    </row>
    <row r="64" spans="1:11" ht="12" customHeight="1" x14ac:dyDescent="0.2">
      <c r="A64" s="1" t="s">
        <v>111</v>
      </c>
      <c r="B64" s="55"/>
      <c r="C64" s="32">
        <v>-5.57</v>
      </c>
      <c r="D64" s="32"/>
      <c r="E64" s="32"/>
      <c r="F64" s="32"/>
      <c r="G64" s="32">
        <v>-13.45</v>
      </c>
      <c r="H64" s="32"/>
      <c r="I64" s="32"/>
      <c r="J64" s="32">
        <v>-7.7935400000000001</v>
      </c>
      <c r="K64" s="41">
        <f t="shared" ref="K64:K73" si="8">SUM(B64:J64)</f>
        <v>-26.81354</v>
      </c>
    </row>
    <row r="65" spans="1:11" ht="12" customHeight="1" x14ac:dyDescent="0.2">
      <c r="A65" s="1" t="s">
        <v>112</v>
      </c>
      <c r="B65" s="55"/>
      <c r="C65" s="32">
        <v>-0.01</v>
      </c>
      <c r="D65" s="32">
        <v>-0.42926502</v>
      </c>
      <c r="E65" s="32"/>
      <c r="F65" s="32">
        <f>-0.421152</f>
        <v>-0.42115200000000003</v>
      </c>
      <c r="G65" s="32">
        <v>-0.31</v>
      </c>
      <c r="H65" s="32"/>
      <c r="I65" s="32"/>
      <c r="J65" s="32">
        <v>-0.68725232999999997</v>
      </c>
      <c r="K65" s="41">
        <f t="shared" si="8"/>
        <v>-1.8576693500000001</v>
      </c>
    </row>
    <row r="66" spans="1:11" ht="12" customHeight="1" x14ac:dyDescent="0.2">
      <c r="A66" s="1" t="s">
        <v>113</v>
      </c>
      <c r="B66" s="55"/>
      <c r="C66" s="32"/>
      <c r="D66" s="32">
        <f>-0.436</f>
        <v>-0.436</v>
      </c>
      <c r="E66" s="32">
        <v>-8.4</v>
      </c>
      <c r="F66" s="32"/>
      <c r="G66" s="32">
        <v>-30.19</v>
      </c>
      <c r="H66" s="32"/>
      <c r="I66" s="32"/>
      <c r="J66" s="32"/>
      <c r="K66" s="41">
        <f t="shared" si="8"/>
        <v>-39.026000000000003</v>
      </c>
    </row>
    <row r="67" spans="1:11" ht="12" customHeight="1" x14ac:dyDescent="0.2">
      <c r="A67" s="1" t="s">
        <v>114</v>
      </c>
      <c r="B67" s="55"/>
      <c r="C67" s="32">
        <v>-5.42</v>
      </c>
      <c r="D67" s="32"/>
      <c r="E67" s="32"/>
      <c r="F67" s="32"/>
      <c r="G67" s="32"/>
      <c r="H67" s="32"/>
      <c r="I67" s="32"/>
      <c r="J67" s="32"/>
      <c r="K67" s="41">
        <f t="shared" si="8"/>
        <v>-5.42</v>
      </c>
    </row>
    <row r="68" spans="1:11" ht="12" customHeight="1" x14ac:dyDescent="0.2">
      <c r="A68" s="1" t="s">
        <v>115</v>
      </c>
      <c r="B68" s="55">
        <f>-22.284453</f>
        <v>-22.284452999999999</v>
      </c>
      <c r="C68" s="32"/>
      <c r="D68" s="32"/>
      <c r="E68" s="32">
        <f>-285.87-1640.15</f>
        <v>-1926.02</v>
      </c>
      <c r="F68" s="49">
        <f>-7.267283-0.149814</f>
        <v>-7.4170970000000001</v>
      </c>
      <c r="G68" s="55">
        <v>-499.164602</v>
      </c>
      <c r="H68" s="32"/>
      <c r="I68" s="32"/>
      <c r="J68" s="32"/>
      <c r="K68" s="41">
        <f t="shared" si="8"/>
        <v>-2454.886152</v>
      </c>
    </row>
    <row r="69" spans="1:11" ht="12" customHeight="1" x14ac:dyDescent="0.2">
      <c r="A69" s="1" t="s">
        <v>116</v>
      </c>
      <c r="B69" s="55"/>
      <c r="C69" s="59">
        <f>-0.73-0.22-0.36</f>
        <v>-1.31</v>
      </c>
      <c r="D69" s="32">
        <v>-0.11774398</v>
      </c>
      <c r="F69" s="32"/>
      <c r="G69" s="55"/>
      <c r="H69" s="32"/>
      <c r="I69" s="32"/>
      <c r="J69" s="51">
        <v>-7.6956776199999997</v>
      </c>
      <c r="K69" s="41">
        <f t="shared" si="8"/>
        <v>-9.1234216000000004</v>
      </c>
    </row>
    <row r="70" spans="1:11" ht="12" customHeight="1" x14ac:dyDescent="0.2">
      <c r="A70" s="1" t="s">
        <v>52</v>
      </c>
      <c r="B70" s="55">
        <v>0.43853500000000001</v>
      </c>
      <c r="C70" s="32">
        <v>1.23</v>
      </c>
      <c r="D70" s="32"/>
      <c r="E70" s="32"/>
      <c r="F70" s="32">
        <v>1.16604</v>
      </c>
      <c r="G70" s="55">
        <v>6.53</v>
      </c>
      <c r="H70" s="32">
        <v>0.47099999999999997</v>
      </c>
      <c r="I70" s="32"/>
      <c r="J70" s="32"/>
      <c r="K70" s="41">
        <f t="shared" si="8"/>
        <v>9.8355750000000004</v>
      </c>
    </row>
    <row r="71" spans="1:11" ht="12" customHeight="1" x14ac:dyDescent="0.2">
      <c r="A71" s="1" t="s">
        <v>53</v>
      </c>
      <c r="B71" s="55">
        <v>78.715063999999998</v>
      </c>
      <c r="C71" s="32">
        <v>17.59</v>
      </c>
      <c r="D71" s="32">
        <v>17.131430519999999</v>
      </c>
      <c r="E71" s="32">
        <v>1640.15</v>
      </c>
      <c r="F71" s="32">
        <f>0.952473+31.161016+8.466212</f>
        <v>40.579701</v>
      </c>
      <c r="G71" s="55">
        <f>153.16+499.164602</f>
        <v>652.32460200000003</v>
      </c>
      <c r="H71" s="32">
        <f>67.055+0.41</f>
        <v>67.465000000000003</v>
      </c>
      <c r="I71" s="32">
        <v>48.526164999999999</v>
      </c>
      <c r="J71" s="32">
        <v>130.61319304</v>
      </c>
      <c r="K71" s="41">
        <f t="shared" si="8"/>
        <v>2693.0951555600009</v>
      </c>
    </row>
    <row r="72" spans="1:11" ht="12" customHeight="1" x14ac:dyDescent="0.2">
      <c r="A72" s="1" t="s">
        <v>60</v>
      </c>
      <c r="B72" s="58">
        <v>-18.168199999999999</v>
      </c>
      <c r="C72" s="32"/>
      <c r="D72" s="32"/>
      <c r="E72" s="48">
        <v>-2.87</v>
      </c>
      <c r="F72" s="32"/>
      <c r="G72" s="55"/>
      <c r="H72" s="32"/>
      <c r="I72" s="32"/>
      <c r="J72" s="32"/>
      <c r="K72" s="41">
        <f t="shared" si="8"/>
        <v>-21.0382</v>
      </c>
    </row>
    <row r="73" spans="1:11" s="34" customFormat="1" ht="12" customHeight="1" x14ac:dyDescent="0.2">
      <c r="A73" s="34" t="s">
        <v>12</v>
      </c>
      <c r="B73" s="57">
        <f t="shared" ref="B73:J73" si="9">SUM(B61:B72)</f>
        <v>90.095241999999999</v>
      </c>
      <c r="C73" s="41">
        <f t="shared" si="9"/>
        <v>121.64</v>
      </c>
      <c r="D73" s="41">
        <f t="shared" si="9"/>
        <v>460.34276066000001</v>
      </c>
      <c r="E73" s="41">
        <f t="shared" si="9"/>
        <v>328.29000000000008</v>
      </c>
      <c r="F73" s="41">
        <f t="shared" si="9"/>
        <v>145.57417900000002</v>
      </c>
      <c r="G73" s="57">
        <f t="shared" si="9"/>
        <v>356.88</v>
      </c>
      <c r="H73" s="41">
        <f t="shared" si="9"/>
        <v>207.041</v>
      </c>
      <c r="I73" s="41">
        <f t="shared" si="9"/>
        <v>131.853926</v>
      </c>
      <c r="J73" s="41">
        <f t="shared" si="9"/>
        <v>583.47133256000006</v>
      </c>
      <c r="K73" s="41">
        <f t="shared" si="8"/>
        <v>2425.1884402200003</v>
      </c>
    </row>
    <row r="74" spans="1:11" ht="12" customHeight="1" x14ac:dyDescent="0.2">
      <c r="B74" s="55"/>
      <c r="C74" s="32"/>
      <c r="D74" s="32"/>
      <c r="E74" s="32"/>
      <c r="F74" s="32"/>
      <c r="G74" s="55"/>
      <c r="H74" s="32"/>
      <c r="I74" s="32"/>
      <c r="J74" s="32"/>
      <c r="K74" s="41"/>
    </row>
    <row r="75" spans="1:11" ht="12" customHeight="1" x14ac:dyDescent="0.2">
      <c r="A75" s="34" t="s">
        <v>42</v>
      </c>
      <c r="B75" s="55"/>
      <c r="C75" s="32"/>
      <c r="D75" s="32"/>
      <c r="E75" s="32"/>
      <c r="F75" s="32"/>
      <c r="G75" s="55"/>
      <c r="H75" s="32"/>
      <c r="I75" s="32"/>
      <c r="J75" s="32"/>
      <c r="K75" s="41"/>
    </row>
    <row r="76" spans="1:11" ht="12" customHeight="1" x14ac:dyDescent="0.2">
      <c r="A76" s="1" t="s">
        <v>118</v>
      </c>
      <c r="B76" s="55">
        <f t="shared" ref="B76:J76" si="10">B17</f>
        <v>57.208828529999998</v>
      </c>
      <c r="C76" s="32">
        <f t="shared" si="10"/>
        <v>123.9</v>
      </c>
      <c r="D76" s="32">
        <f t="shared" si="10"/>
        <v>373.16684851000002</v>
      </c>
      <c r="E76" s="32">
        <f t="shared" si="10"/>
        <v>290.01</v>
      </c>
      <c r="F76" s="32">
        <f t="shared" si="10"/>
        <v>143.99258</v>
      </c>
      <c r="G76" s="55">
        <f t="shared" si="10"/>
        <v>163.02000000000001</v>
      </c>
      <c r="H76" s="32">
        <f t="shared" si="10"/>
        <v>179.67299999999997</v>
      </c>
      <c r="I76" s="32">
        <f t="shared" si="10"/>
        <v>97.367693799999998</v>
      </c>
      <c r="J76" s="32">
        <f t="shared" si="10"/>
        <v>336.41547541</v>
      </c>
      <c r="K76" s="41">
        <f t="shared" ref="K76:K81" si="11">SUM(B76:J76)</f>
        <v>1764.7544262500001</v>
      </c>
    </row>
    <row r="77" spans="1:11" ht="12" customHeight="1" x14ac:dyDescent="0.2">
      <c r="A77" s="1" t="s">
        <v>47</v>
      </c>
      <c r="B77" s="55">
        <f t="shared" ref="B77:J77" si="12">B29</f>
        <v>13.487283959999999</v>
      </c>
      <c r="C77" s="32">
        <f t="shared" si="12"/>
        <v>14.62</v>
      </c>
      <c r="D77" s="32">
        <f t="shared" si="12"/>
        <v>58.603802729999998</v>
      </c>
      <c r="E77" s="32">
        <f t="shared" si="12"/>
        <v>43.72</v>
      </c>
      <c r="F77" s="32">
        <f t="shared" si="12"/>
        <v>10.373448</v>
      </c>
      <c r="G77" s="55">
        <f t="shared" si="12"/>
        <v>180.21999999999997</v>
      </c>
      <c r="H77" s="32">
        <f t="shared" si="12"/>
        <v>25.372</v>
      </c>
      <c r="I77" s="32">
        <f t="shared" si="12"/>
        <v>25.153879590000003</v>
      </c>
      <c r="J77" s="47">
        <f t="shared" si="12"/>
        <v>165.62473355999998</v>
      </c>
      <c r="K77" s="41">
        <f t="shared" si="11"/>
        <v>537.17514784000002</v>
      </c>
    </row>
    <row r="78" spans="1:11" ht="12" customHeight="1" x14ac:dyDescent="0.2">
      <c r="A78" s="1" t="s">
        <v>119</v>
      </c>
      <c r="B78" s="55">
        <v>0.125995</v>
      </c>
      <c r="C78" s="32"/>
      <c r="D78" s="32"/>
      <c r="E78" s="32">
        <v>16.899999999999999</v>
      </c>
      <c r="F78" s="32"/>
      <c r="G78" s="55"/>
      <c r="H78" s="32"/>
      <c r="I78" s="32"/>
      <c r="J78" s="32">
        <v>7.9812855000000003</v>
      </c>
      <c r="K78" s="41">
        <f t="shared" si="11"/>
        <v>25.0072805</v>
      </c>
    </row>
    <row r="79" spans="1:11" ht="12" customHeight="1" x14ac:dyDescent="0.2">
      <c r="A79" s="1" t="s">
        <v>120</v>
      </c>
      <c r="B79" s="55"/>
      <c r="C79" s="59">
        <f>4.07</f>
        <v>4.07</v>
      </c>
      <c r="D79" s="32"/>
      <c r="E79" s="32"/>
      <c r="F79" s="32"/>
      <c r="G79" s="55"/>
      <c r="H79" s="32"/>
      <c r="I79" s="32"/>
      <c r="J79" s="32">
        <v>73.952777479999995</v>
      </c>
      <c r="K79" s="41">
        <f t="shared" si="11"/>
        <v>78.022777480000002</v>
      </c>
    </row>
    <row r="80" spans="1:11" ht="12" customHeight="1" x14ac:dyDescent="0.2">
      <c r="A80" s="1" t="s">
        <v>121</v>
      </c>
      <c r="B80" s="55"/>
      <c r="C80" s="32"/>
      <c r="D80" s="32"/>
      <c r="E80" s="32">
        <v>0.1</v>
      </c>
      <c r="F80" s="32"/>
      <c r="G80" s="55"/>
      <c r="H80" s="32"/>
      <c r="I80" s="32"/>
      <c r="J80" s="32"/>
      <c r="K80" s="41">
        <f t="shared" si="11"/>
        <v>0.1</v>
      </c>
    </row>
    <row r="81" spans="1:11" ht="12" customHeight="1" x14ac:dyDescent="0.2">
      <c r="A81" s="34" t="s">
        <v>12</v>
      </c>
      <c r="B81" s="57">
        <f t="shared" ref="B81:J81" si="13">SUM(B76:B80)</f>
        <v>70.822107489999993</v>
      </c>
      <c r="C81" s="41">
        <f t="shared" si="13"/>
        <v>142.59</v>
      </c>
      <c r="D81" s="41">
        <f t="shared" si="13"/>
        <v>431.77065124000001</v>
      </c>
      <c r="E81" s="41">
        <f t="shared" si="13"/>
        <v>350.73</v>
      </c>
      <c r="F81" s="41">
        <f t="shared" si="13"/>
        <v>154.366028</v>
      </c>
      <c r="G81" s="57">
        <f t="shared" si="13"/>
        <v>343.24</v>
      </c>
      <c r="H81" s="41">
        <f t="shared" si="13"/>
        <v>205.04499999999996</v>
      </c>
      <c r="I81" s="41">
        <f t="shared" si="13"/>
        <v>122.52157339</v>
      </c>
      <c r="J81" s="41">
        <f t="shared" si="13"/>
        <v>583.97427195</v>
      </c>
      <c r="K81" s="41">
        <f t="shared" si="11"/>
        <v>2405.0596320699997</v>
      </c>
    </row>
    <row r="82" spans="1:11" ht="12" customHeight="1" x14ac:dyDescent="0.2">
      <c r="B82" s="55"/>
      <c r="C82" s="32"/>
      <c r="D82" s="32"/>
      <c r="E82" s="32"/>
      <c r="F82" s="32"/>
      <c r="G82" s="55"/>
      <c r="H82" s="32"/>
      <c r="I82" s="32"/>
      <c r="J82" s="32"/>
      <c r="K82" s="41"/>
    </row>
    <row r="83" spans="1:11" s="2" customFormat="1" ht="12" customHeight="1" x14ac:dyDescent="0.2">
      <c r="A83" s="7" t="s">
        <v>122</v>
      </c>
      <c r="B83" s="55">
        <f t="shared" ref="B83:J83" si="14">B73-B81</f>
        <v>19.273134510000006</v>
      </c>
      <c r="C83" s="32">
        <f t="shared" si="14"/>
        <v>-20.950000000000003</v>
      </c>
      <c r="D83" s="32">
        <f t="shared" si="14"/>
        <v>28.572109420000004</v>
      </c>
      <c r="E83" s="32">
        <f t="shared" si="14"/>
        <v>-22.439999999999941</v>
      </c>
      <c r="F83" s="32">
        <f t="shared" si="14"/>
        <v>-8.7918489999999849</v>
      </c>
      <c r="G83" s="55">
        <f t="shared" si="14"/>
        <v>13.639999999999986</v>
      </c>
      <c r="H83" s="32">
        <f t="shared" si="14"/>
        <v>1.9960000000000377</v>
      </c>
      <c r="I83" s="32">
        <f t="shared" si="14"/>
        <v>9.3323526100000009</v>
      </c>
      <c r="J83" s="32">
        <f t="shared" si="14"/>
        <v>-0.5029393899999377</v>
      </c>
      <c r="K83" s="41">
        <f>SUM(B83:J83)</f>
        <v>20.128808150000168</v>
      </c>
    </row>
    <row r="84" spans="1:11" s="2" customFormat="1" ht="12" customHeight="1" x14ac:dyDescent="0.2">
      <c r="A84" s="7"/>
      <c r="B84" s="55"/>
      <c r="C84" s="32"/>
      <c r="D84" s="32"/>
      <c r="E84" s="32"/>
      <c r="F84" s="32"/>
      <c r="G84" s="55"/>
      <c r="H84" s="32"/>
      <c r="I84" s="32"/>
      <c r="J84" s="32"/>
      <c r="K84" s="41"/>
    </row>
    <row r="85" spans="1:11" s="2" customFormat="1" ht="12" customHeight="1" x14ac:dyDescent="0.2">
      <c r="A85" s="7" t="s">
        <v>123</v>
      </c>
      <c r="B85" s="55"/>
      <c r="C85" s="32"/>
      <c r="D85" s="32"/>
      <c r="E85" s="32"/>
      <c r="F85" s="32"/>
      <c r="G85" s="55"/>
      <c r="H85" s="32"/>
      <c r="I85" s="32"/>
      <c r="J85" s="32"/>
      <c r="K85" s="41"/>
    </row>
    <row r="86" spans="1:11" s="2" customFormat="1" ht="12" customHeight="1" x14ac:dyDescent="0.2">
      <c r="A86" s="7" t="s">
        <v>124</v>
      </c>
      <c r="B86" s="55">
        <v>62.683317000000002</v>
      </c>
      <c r="C86" s="32"/>
      <c r="D86" s="32"/>
      <c r="E86" s="32">
        <v>76.28</v>
      </c>
      <c r="F86" s="32"/>
      <c r="G86" s="55">
        <v>25.37</v>
      </c>
      <c r="H86" s="32"/>
      <c r="I86" s="32"/>
      <c r="J86" s="32"/>
      <c r="K86" s="41">
        <f>SUM(B86:J86)</f>
        <v>164.33331700000002</v>
      </c>
    </row>
    <row r="87" spans="1:11" s="2" customFormat="1" ht="12" customHeight="1" x14ac:dyDescent="0.2">
      <c r="A87" s="7" t="s">
        <v>125</v>
      </c>
      <c r="B87" s="55"/>
      <c r="C87" s="32"/>
      <c r="D87" s="32"/>
      <c r="E87" s="32">
        <v>1537.01</v>
      </c>
      <c r="F87" s="32"/>
      <c r="G87" s="55">
        <f>55.3+499.164602</f>
        <v>554.46460200000001</v>
      </c>
      <c r="H87" s="32"/>
      <c r="I87" s="32"/>
      <c r="J87" s="32">
        <v>35.08924794</v>
      </c>
      <c r="K87" s="41">
        <f>SUM(B87:J87)</f>
        <v>2126.5638499400002</v>
      </c>
    </row>
    <row r="88" spans="1:11" ht="12" customHeight="1" x14ac:dyDescent="0.2"/>
    <row r="89" spans="1:11" ht="12" customHeight="1" x14ac:dyDescent="0.2">
      <c r="A89" s="52"/>
    </row>
    <row r="90" spans="1:11" ht="12" customHeight="1" x14ac:dyDescent="0.2">
      <c r="A90" s="52"/>
    </row>
    <row r="91" spans="1:11" ht="12" customHeight="1" x14ac:dyDescent="0.2">
      <c r="A91" s="53" t="s">
        <v>142</v>
      </c>
    </row>
    <row r="92" spans="1:11" ht="12" customHeight="1" x14ac:dyDescent="0.2">
      <c r="A92" s="53" t="s">
        <v>143</v>
      </c>
    </row>
    <row r="93" spans="1:11" ht="12" customHeight="1" x14ac:dyDescent="0.2">
      <c r="A93" s="28" t="s">
        <v>144</v>
      </c>
      <c r="B93" s="55"/>
    </row>
    <row r="94" spans="1:11" ht="12" customHeight="1" x14ac:dyDescent="0.2">
      <c r="A94" s="53" t="s">
        <v>141</v>
      </c>
    </row>
    <row r="95" spans="1:11" ht="12" customHeight="1" x14ac:dyDescent="0.2">
      <c r="A95" s="53" t="s">
        <v>140</v>
      </c>
    </row>
    <row r="96" spans="1:11" ht="12" customHeight="1" x14ac:dyDescent="0.2">
      <c r="A96" s="53" t="s">
        <v>139</v>
      </c>
    </row>
    <row r="97" spans="1:2" ht="12" customHeight="1" x14ac:dyDescent="0.2">
      <c r="A97" s="53" t="s">
        <v>137</v>
      </c>
    </row>
    <row r="98" spans="1:2" ht="12" customHeight="1" x14ac:dyDescent="0.2">
      <c r="A98" s="53" t="s">
        <v>138</v>
      </c>
    </row>
    <row r="99" spans="1:2" ht="12" customHeight="1" x14ac:dyDescent="0.2">
      <c r="B99" s="55"/>
    </row>
  </sheetData>
  <phoneticPr fontId="0" type="noConversion"/>
  <printOptions horizontalCentered="1"/>
  <pageMargins left="0.28999999999999998" right="0.34" top="0.9" bottom="0.19685039370078741" header="0.45" footer="0.19"/>
  <pageSetup paperSize="9" scale="90" orientation="landscape" horizontalDpi="4294967292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26</vt:i4>
      </vt:variant>
      <vt:variant>
        <vt:lpstr>Benannte Bereiche</vt:lpstr>
      </vt:variant>
      <vt:variant>
        <vt:i4>51</vt:i4>
      </vt:variant>
    </vt:vector>
  </HeadingPairs>
  <TitlesOfParts>
    <vt:vector size="77" baseType="lpstr">
      <vt:lpstr>1989-1997</vt:lpstr>
      <vt:lpstr>1995</vt:lpstr>
      <vt:lpstr>1996</vt:lpstr>
      <vt:lpstr>1997</vt:lpstr>
      <vt:lpstr>1998</vt:lpstr>
      <vt:lpstr>1999</vt:lpstr>
      <vt:lpstr>2000</vt:lpstr>
      <vt:lpstr>2001</vt:lpstr>
      <vt:lpstr>2002</vt:lpstr>
      <vt:lpstr>2003</vt:lpstr>
      <vt:lpstr>2004</vt:lpstr>
      <vt:lpstr>2005</vt:lpstr>
      <vt:lpstr>2006</vt:lpstr>
      <vt:lpstr>2007</vt:lpstr>
      <vt:lpstr>2008</vt:lpstr>
      <vt:lpstr>2009</vt:lpstr>
      <vt:lpstr>2010</vt:lpstr>
      <vt:lpstr>2011</vt:lpstr>
      <vt:lpstr>2012</vt:lpstr>
      <vt:lpstr>2013</vt:lpstr>
      <vt:lpstr>2014</vt:lpstr>
      <vt:lpstr>2015</vt:lpstr>
      <vt:lpstr>2016</vt:lpstr>
      <vt:lpstr>2017</vt:lpstr>
      <vt:lpstr>2018</vt:lpstr>
      <vt:lpstr>2019</vt:lpstr>
      <vt:lpstr>'1989-1997'!Druckbereich</vt:lpstr>
      <vt:lpstr>'1996'!Druckbereich</vt:lpstr>
      <vt:lpstr>'1997'!Druckbereich</vt:lpstr>
      <vt:lpstr>'1998'!Druckbereich</vt:lpstr>
      <vt:lpstr>'1999'!Druckbereich</vt:lpstr>
      <vt:lpstr>'2000'!Druckbereich</vt:lpstr>
      <vt:lpstr>'2001'!Druckbereich</vt:lpstr>
      <vt:lpstr>'2002'!Druckbereich</vt:lpstr>
      <vt:lpstr>'2003'!Druckbereich</vt:lpstr>
      <vt:lpstr>'2004'!Druckbereich</vt:lpstr>
      <vt:lpstr>'2005'!Druckbereich</vt:lpstr>
      <vt:lpstr>'2006'!Druckbereich</vt:lpstr>
      <vt:lpstr>'2007'!Druckbereich</vt:lpstr>
      <vt:lpstr>'2008'!Druckbereich</vt:lpstr>
      <vt:lpstr>'2009'!Druckbereich</vt:lpstr>
      <vt:lpstr>'2010'!Druckbereich</vt:lpstr>
      <vt:lpstr>'2011'!Druckbereich</vt:lpstr>
      <vt:lpstr>'2012'!Druckbereich</vt:lpstr>
      <vt:lpstr>'2013'!Druckbereich</vt:lpstr>
      <vt:lpstr>'2014'!Druckbereich</vt:lpstr>
      <vt:lpstr>'2015'!Druckbereich</vt:lpstr>
      <vt:lpstr>'2016'!Druckbereich</vt:lpstr>
      <vt:lpstr>'2017'!Druckbereich</vt:lpstr>
      <vt:lpstr>'2018'!Druckbereich</vt:lpstr>
      <vt:lpstr>'2019'!Druckbereich</vt:lpstr>
      <vt:lpstr>'1989-1997'!Drucktitel</vt:lpstr>
      <vt:lpstr>'1995'!Drucktitel</vt:lpstr>
      <vt:lpstr>'1996'!Drucktitel</vt:lpstr>
      <vt:lpstr>'1997'!Drucktitel</vt:lpstr>
      <vt:lpstr>'1998'!Drucktitel</vt:lpstr>
      <vt:lpstr>'1999'!Drucktitel</vt:lpstr>
      <vt:lpstr>'2000'!Drucktitel</vt:lpstr>
      <vt:lpstr>'2001'!Drucktitel</vt:lpstr>
      <vt:lpstr>'2002'!Drucktitel</vt:lpstr>
      <vt:lpstr>'2003'!Drucktitel</vt:lpstr>
      <vt:lpstr>'2004'!Drucktitel</vt:lpstr>
      <vt:lpstr>'2005'!Drucktitel</vt:lpstr>
      <vt:lpstr>'2006'!Drucktitel</vt:lpstr>
      <vt:lpstr>'2007'!Drucktitel</vt:lpstr>
      <vt:lpstr>'2008'!Drucktitel</vt:lpstr>
      <vt:lpstr>'2009'!Drucktitel</vt:lpstr>
      <vt:lpstr>'2010'!Drucktitel</vt:lpstr>
      <vt:lpstr>'2011'!Drucktitel</vt:lpstr>
      <vt:lpstr>'2012'!Drucktitel</vt:lpstr>
      <vt:lpstr>'2013'!Drucktitel</vt:lpstr>
      <vt:lpstr>'2014'!Drucktitel</vt:lpstr>
      <vt:lpstr>'2015'!Drucktitel</vt:lpstr>
      <vt:lpstr>'2016'!Drucktitel</vt:lpstr>
      <vt:lpstr>'2017'!Drucktitel</vt:lpstr>
      <vt:lpstr>'2018'!Drucktitel</vt:lpstr>
      <vt:lpstr>'2019'!Drucktitel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Sturmlechner Christian</dc:creator>
  <cp:lastModifiedBy>Sturmlechner Christian</cp:lastModifiedBy>
  <cp:lastPrinted>2017-09-22T15:06:33Z</cp:lastPrinted>
  <dcterms:created xsi:type="dcterms:W3CDTF">2005-04-25T14:01:16Z</dcterms:created>
  <dcterms:modified xsi:type="dcterms:W3CDTF">2021-07-18T21:55:14Z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FSC#COOSYSTEM@1.1:Container">
    <vt:lpwstr>COO.3000.109.7.1428577</vt:lpwstr>
  </property>
  <property fmtid="{D5CDD505-2E9C-101B-9397-08002B2CF9AE}" pid="3" name="FSC#COOELAK@1.1001:Subject">
    <vt:lpwstr>Wohnbauförderung im Jahr 2010, Jahresberichte der Länder, Aussendung der Formulare und Übermittlung der Zusammenfassung der Berichte über die WBF im Jahr 2009</vt:lpwstr>
  </property>
  <property fmtid="{D5CDD505-2E9C-101B-9397-08002B2CF9AE}" pid="4" name="FSC#COOELAK@1.1001:FileReference">
    <vt:lpwstr>BMF-111111/0002-II/3/2011</vt:lpwstr>
  </property>
  <property fmtid="{D5CDD505-2E9C-101B-9397-08002B2CF9AE}" pid="5" name="FSC#COOELAK@1.1001:FileRefYear">
    <vt:lpwstr>2011</vt:lpwstr>
  </property>
  <property fmtid="{D5CDD505-2E9C-101B-9397-08002B2CF9AE}" pid="6" name="FSC#COOELAK@1.1001:FileRefOrdinal">
    <vt:lpwstr>2</vt:lpwstr>
  </property>
  <property fmtid="{D5CDD505-2E9C-101B-9397-08002B2CF9AE}" pid="7" name="FSC#COOELAK@1.1001:FileRefOU">
    <vt:lpwstr>II/3</vt:lpwstr>
  </property>
  <property fmtid="{D5CDD505-2E9C-101B-9397-08002B2CF9AE}" pid="8" name="FSC#COOELAK@1.1001:Organization">
    <vt:lpwstr/>
  </property>
  <property fmtid="{D5CDD505-2E9C-101B-9397-08002B2CF9AE}" pid="9" name="FSC#COOELAK@1.1001:Owner">
    <vt:lpwstr>Mag. Christian Sturmlechner</vt:lpwstr>
  </property>
  <property fmtid="{D5CDD505-2E9C-101B-9397-08002B2CF9AE}" pid="10" name="FSC#COOELAK@1.1001:OwnerExtension">
    <vt:lpwstr>+43 1 51433 502084</vt:lpwstr>
  </property>
  <property fmtid="{D5CDD505-2E9C-101B-9397-08002B2CF9AE}" pid="11" name="FSC#COOELAK@1.1001:OwnerFaxExtension">
    <vt:lpwstr>+43 1514335902084</vt:lpwstr>
  </property>
  <property fmtid="{D5CDD505-2E9C-101B-9397-08002B2CF9AE}" pid="12" name="FSC#COOELAK@1.1001:DispatchedBy">
    <vt:lpwstr/>
  </property>
  <property fmtid="{D5CDD505-2E9C-101B-9397-08002B2CF9AE}" pid="13" name="FSC#COOELAK@1.1001:DispatchedAt">
    <vt:lpwstr/>
  </property>
  <property fmtid="{D5CDD505-2E9C-101B-9397-08002B2CF9AE}" pid="14" name="FSC#COOELAK@1.1001:ApprovedBy">
    <vt:lpwstr/>
  </property>
  <property fmtid="{D5CDD505-2E9C-101B-9397-08002B2CF9AE}" pid="15" name="FSC#COOELAK@1.1001:ApprovedAt">
    <vt:lpwstr/>
  </property>
  <property fmtid="{D5CDD505-2E9C-101B-9397-08002B2CF9AE}" pid="16" name="FSC#COOELAK@1.1001:Department">
    <vt:lpwstr>BMF - II/3 (II/3)</vt:lpwstr>
  </property>
  <property fmtid="{D5CDD505-2E9C-101B-9397-08002B2CF9AE}" pid="17" name="FSC#COOELAK@1.1001:CreatedAt">
    <vt:lpwstr>23.05.2011</vt:lpwstr>
  </property>
  <property fmtid="{D5CDD505-2E9C-101B-9397-08002B2CF9AE}" pid="18" name="FSC#COOELAK@1.1001:OU">
    <vt:lpwstr>BMF - II/3 (II/3)</vt:lpwstr>
  </property>
  <property fmtid="{D5CDD505-2E9C-101B-9397-08002B2CF9AE}" pid="19" name="FSC#COOELAK@1.1001:Priority">
    <vt:lpwstr/>
  </property>
  <property fmtid="{D5CDD505-2E9C-101B-9397-08002B2CF9AE}" pid="20" name="FSC#COOELAK@1.1001:ObjBarCode">
    <vt:lpwstr>*COO.3000.109.7.1428577*</vt:lpwstr>
  </property>
  <property fmtid="{D5CDD505-2E9C-101B-9397-08002B2CF9AE}" pid="21" name="FSC#COOELAK@1.1001:RefBarCode">
    <vt:lpwstr/>
  </property>
  <property fmtid="{D5CDD505-2E9C-101B-9397-08002B2CF9AE}" pid="22" name="FSC#COOELAK@1.1001:FileRefBarCode">
    <vt:lpwstr>*BMF-111111/0002-II/3/2011*</vt:lpwstr>
  </property>
  <property fmtid="{D5CDD505-2E9C-101B-9397-08002B2CF9AE}" pid="23" name="FSC#COOELAK@1.1001:ExternalRef">
    <vt:lpwstr/>
  </property>
  <property fmtid="{D5CDD505-2E9C-101B-9397-08002B2CF9AE}" pid="24" name="FSC#COOELAK@1.1001:IncomingNumber">
    <vt:lpwstr/>
  </property>
  <property fmtid="{D5CDD505-2E9C-101B-9397-08002B2CF9AE}" pid="25" name="FSC#COOELAK@1.1001:IncomingSubject">
    <vt:lpwstr/>
  </property>
  <property fmtid="{D5CDD505-2E9C-101B-9397-08002B2CF9AE}" pid="26" name="FSC#COOELAK@1.1001:ProcessResponsible">
    <vt:lpwstr>Sturmlechner, Christian, Mag.</vt:lpwstr>
  </property>
  <property fmtid="{D5CDD505-2E9C-101B-9397-08002B2CF9AE}" pid="27" name="FSC#COOELAK@1.1001:ProcessResponsiblePhone">
    <vt:lpwstr>+43 1 51433 502084</vt:lpwstr>
  </property>
  <property fmtid="{D5CDD505-2E9C-101B-9397-08002B2CF9AE}" pid="28" name="FSC#COOELAK@1.1001:ProcessResponsibleMail">
    <vt:lpwstr>Christian.Sturmlechner@bmf.gv.at</vt:lpwstr>
  </property>
  <property fmtid="{D5CDD505-2E9C-101B-9397-08002B2CF9AE}" pid="29" name="FSC#COOELAK@1.1001:ProcessResponsibleFax">
    <vt:lpwstr/>
  </property>
  <property fmtid="{D5CDD505-2E9C-101B-9397-08002B2CF9AE}" pid="30" name="FSC#COOELAK@1.1001:ApproverFirstName">
    <vt:lpwstr>Christian</vt:lpwstr>
  </property>
  <property fmtid="{D5CDD505-2E9C-101B-9397-08002B2CF9AE}" pid="31" name="FSC#COOELAK@1.1001:ApproverSurName">
    <vt:lpwstr>Sturmlechner</vt:lpwstr>
  </property>
  <property fmtid="{D5CDD505-2E9C-101B-9397-08002B2CF9AE}" pid="32" name="FSC#COOELAK@1.1001:ApproverTitle">
    <vt:lpwstr>Mag.</vt:lpwstr>
  </property>
  <property fmtid="{D5CDD505-2E9C-101B-9397-08002B2CF9AE}" pid="33" name="FSC#COOELAK@1.1001:ExternalDate">
    <vt:lpwstr/>
  </property>
  <property fmtid="{D5CDD505-2E9C-101B-9397-08002B2CF9AE}" pid="34" name="FSC#COOELAK@1.1001:SettlementApprovedAt">
    <vt:lpwstr/>
  </property>
  <property fmtid="{D5CDD505-2E9C-101B-9397-08002B2CF9AE}" pid="35" name="FSC#COOELAK@1.1001:BaseNumber">
    <vt:lpwstr>111111</vt:lpwstr>
  </property>
  <property fmtid="{D5CDD505-2E9C-101B-9397-08002B2CF9AE}" pid="36" name="FSC#COOELAK@1.1001:CurrentUserRolePos">
    <vt:lpwstr>Genehmiger/in</vt:lpwstr>
  </property>
  <property fmtid="{D5CDD505-2E9C-101B-9397-08002B2CF9AE}" pid="37" name="FSC#COOELAK@1.1001:CurrentUserEmail">
    <vt:lpwstr>Christian.Sturmlechner@bmf.gv.at</vt:lpwstr>
  </property>
  <property fmtid="{D5CDD505-2E9C-101B-9397-08002B2CF9AE}" pid="38" name="FSC#ELAKGOV@1.1001:PersonalSubjGender">
    <vt:lpwstr/>
  </property>
  <property fmtid="{D5CDD505-2E9C-101B-9397-08002B2CF9AE}" pid="39" name="FSC#ELAKGOV@1.1001:PersonalSubjFirstName">
    <vt:lpwstr/>
  </property>
  <property fmtid="{D5CDD505-2E9C-101B-9397-08002B2CF9AE}" pid="40" name="FSC#ELAKGOV@1.1001:PersonalSubjSurName">
    <vt:lpwstr/>
  </property>
  <property fmtid="{D5CDD505-2E9C-101B-9397-08002B2CF9AE}" pid="41" name="FSC#ELAKGOV@1.1001:PersonalSubjSalutation">
    <vt:lpwstr/>
  </property>
  <property fmtid="{D5CDD505-2E9C-101B-9397-08002B2CF9AE}" pid="42" name="FSC#ELAKGOV@1.1001:PersonalSubjAddress">
    <vt:lpwstr/>
  </property>
  <property fmtid="{D5CDD505-2E9C-101B-9397-08002B2CF9AE}" pid="43" name="FSC#EIBPRECONFIG@1.1001:EIBInternalApprovedAt">
    <vt:lpwstr/>
  </property>
  <property fmtid="{D5CDD505-2E9C-101B-9397-08002B2CF9AE}" pid="44" name="FSC#EIBPRECONFIG@1.1001:EIBInternalApprovedBy">
    <vt:lpwstr/>
  </property>
  <property fmtid="{D5CDD505-2E9C-101B-9397-08002B2CF9AE}" pid="45" name="FSC#EIBPRECONFIG@1.1001:EIBSettlementApprovedBy">
    <vt:lpwstr/>
  </property>
  <property fmtid="{D5CDD505-2E9C-101B-9397-08002B2CF9AE}" pid="46" name="FSC#EIBPRECONFIG@1.1001:EIBApprovedAt">
    <vt:lpwstr>23.05.2011</vt:lpwstr>
  </property>
  <property fmtid="{D5CDD505-2E9C-101B-9397-08002B2CF9AE}" pid="47" name="FSC#EIBPRECONFIG@1.1001:EIBApprovedBy">
    <vt:lpwstr>Sturmlechner</vt:lpwstr>
  </property>
  <property fmtid="{D5CDD505-2E9C-101B-9397-08002B2CF9AE}" pid="48" name="FSC#EIBPRECONFIG@1.1001:EIBApprovedBySubst">
    <vt:lpwstr/>
  </property>
  <property fmtid="{D5CDD505-2E9C-101B-9397-08002B2CF9AE}" pid="49" name="FSC#EIBPRECONFIG@1.1001:EIBApprovedByTitle">
    <vt:lpwstr>Mag. Christian Sturmlechner</vt:lpwstr>
  </property>
  <property fmtid="{D5CDD505-2E9C-101B-9397-08002B2CF9AE}" pid="50" name="FSC#EIBPRECONFIG@1.1001:EIBDepartment">
    <vt:lpwstr>BMF - II/3 (II/3)</vt:lpwstr>
  </property>
  <property fmtid="{D5CDD505-2E9C-101B-9397-08002B2CF9AE}" pid="51" name="FSC#EIBPRECONFIG@1.1001:EIBDispatchedBy">
    <vt:lpwstr/>
  </property>
  <property fmtid="{D5CDD505-2E9C-101B-9397-08002B2CF9AE}" pid="52" name="FSC#EIBPRECONFIG@1.1001:ExtRefInc">
    <vt:lpwstr/>
  </property>
  <property fmtid="{D5CDD505-2E9C-101B-9397-08002B2CF9AE}" pid="53" name="FSC#EIBPRECONFIG@1.1001:IncomingAddrdate">
    <vt:lpwstr/>
  </property>
  <property fmtid="{D5CDD505-2E9C-101B-9397-08002B2CF9AE}" pid="54" name="FSC#EIBPRECONFIG@1.1001:IncomingDelivery">
    <vt:lpwstr/>
  </property>
  <property fmtid="{D5CDD505-2E9C-101B-9397-08002B2CF9AE}" pid="55" name="FSC#EIBPRECONFIG@1.1001:OwnerEmail">
    <vt:lpwstr>Christian.Sturmlechner@bmf.gv.at</vt:lpwstr>
  </property>
  <property fmtid="{D5CDD505-2E9C-101B-9397-08002B2CF9AE}" pid="56" name="FSC#EIBPRECONFIG@1.1001:OUEmail">
    <vt:lpwstr>Post.ii-3@bmf.gv.at</vt:lpwstr>
  </property>
  <property fmtid="{D5CDD505-2E9C-101B-9397-08002B2CF9AE}" pid="57" name="FSC#EIBPRECONFIG@1.1001:OwnerGender">
    <vt:lpwstr>Männlich</vt:lpwstr>
  </property>
  <property fmtid="{D5CDD505-2E9C-101B-9397-08002B2CF9AE}" pid="58" name="FSC#EIBPRECONFIG@1.1001:Priority">
    <vt:lpwstr>Nein</vt:lpwstr>
  </property>
  <property fmtid="{D5CDD505-2E9C-101B-9397-08002B2CF9AE}" pid="59" name="FSC#EIBPRECONFIG@1.1001:PreviousFiles">
    <vt:lpwstr>BMF-111111/0002-II/3/2010_x000d_
BMF-111111/0003-II/3/2010_x000d_
BMF-111111/0005-II/3/2010</vt:lpwstr>
  </property>
  <property fmtid="{D5CDD505-2E9C-101B-9397-08002B2CF9AE}" pid="60" name="FSC#EIBPRECONFIG@1.1001:NextFiles">
    <vt:lpwstr>BMF-111111/0007-II/3/2011</vt:lpwstr>
  </property>
  <property fmtid="{D5CDD505-2E9C-101B-9397-08002B2CF9AE}" pid="61" name="FSC#EIBPRECONFIG@1.1001:RelatedFiles">
    <vt:lpwstr/>
  </property>
  <property fmtid="{D5CDD505-2E9C-101B-9397-08002B2CF9AE}" pid="62" name="FSC#EIBPRECONFIG@1.1001:CompletedOrdinals">
    <vt:lpwstr/>
  </property>
  <property fmtid="{D5CDD505-2E9C-101B-9397-08002B2CF9AE}" pid="63" name="FSC#EIBPRECONFIG@1.1001:NrAttachments">
    <vt:lpwstr/>
  </property>
  <property fmtid="{D5CDD505-2E9C-101B-9397-08002B2CF9AE}" pid="64" name="FSC#EIBPRECONFIG@1.1001:Attachments">
    <vt:lpwstr/>
  </property>
  <property fmtid="{D5CDD505-2E9C-101B-9397-08002B2CF9AE}" pid="65" name="FSC#EIBPRECONFIG@1.1001:SubjectArea">
    <vt:lpwstr>Wohnbauwesen</vt:lpwstr>
  </property>
  <property fmtid="{D5CDD505-2E9C-101B-9397-08002B2CF9AE}" pid="66" name="FSC#EIBPRECONFIG@1.1001:Recipients">
    <vt:lpwstr/>
  </property>
  <property fmtid="{D5CDD505-2E9C-101B-9397-08002B2CF9AE}" pid="67" name="FSC#EIBPRECONFIG@1.1001:Classified">
    <vt:lpwstr/>
  </property>
  <property fmtid="{D5CDD505-2E9C-101B-9397-08002B2CF9AE}" pid="68" name="FSC#EIBPRECONFIG@1.1001:Deadline">
    <vt:lpwstr/>
  </property>
  <property fmtid="{D5CDD505-2E9C-101B-9397-08002B2CF9AE}" pid="69" name="FSC#EIBPRECONFIG@1.1001:SettlementSubj">
    <vt:lpwstr>BMF-111111/0002-II/3/2011</vt:lpwstr>
  </property>
  <property fmtid="{D5CDD505-2E9C-101B-9397-08002B2CF9AE}" pid="70" name="FSC#EIBPRECONFIG@1.1001:OUAddr">
    <vt:lpwstr>Hintere Zollamtsstraße 2b, 1030 Wien</vt:lpwstr>
  </property>
  <property fmtid="{D5CDD505-2E9C-101B-9397-08002B2CF9AE}" pid="71" name="FSC#EIBPRECONFIG@1.1001:OUDescr">
    <vt:lpwstr/>
  </property>
  <property fmtid="{D5CDD505-2E9C-101B-9397-08002B2CF9AE}" pid="72" name="FSC#EIBPRECONFIG@1.1001:Signatures">
    <vt:lpwstr>Abzeichnen_x000d_
Genehmigt_x000d_
Abgefertigt_x000d_
Ablage</vt:lpwstr>
  </property>
  <property fmtid="{D5CDD505-2E9C-101B-9397-08002B2CF9AE}" pid="73" name="FSC#EIBPRECONFIG@1.1001:currentuser">
    <vt:lpwstr>COO.3000.100.1.105403</vt:lpwstr>
  </property>
  <property fmtid="{D5CDD505-2E9C-101B-9397-08002B2CF9AE}" pid="74" name="FSC#EIBPRECONFIG@1.1001:currentuserrolegroup">
    <vt:lpwstr>COO.3000.100.1.103368</vt:lpwstr>
  </property>
  <property fmtid="{D5CDD505-2E9C-101B-9397-08002B2CF9AE}" pid="75" name="FSC#EIBPRECONFIG@1.1001:currentuserroleposition">
    <vt:lpwstr>COO.1.1001.1.66925</vt:lpwstr>
  </property>
  <property fmtid="{D5CDD505-2E9C-101B-9397-08002B2CF9AE}" pid="76" name="FSC#EIBPRECONFIG@1.1001:currentuserroot">
    <vt:lpwstr>COO.3000.109.2.201612</vt:lpwstr>
  </property>
  <property fmtid="{D5CDD505-2E9C-101B-9397-08002B2CF9AE}" pid="77" name="FSC#EIBPRECONFIG@1.1001:toplevelobject">
    <vt:lpwstr>COO.3000.109.7.1428573</vt:lpwstr>
  </property>
  <property fmtid="{D5CDD505-2E9C-101B-9397-08002B2CF9AE}" pid="78" name="FSC#EIBPRECONFIG@1.1001:objchangedby">
    <vt:lpwstr>Mag. Christian Sturmlechner</vt:lpwstr>
  </property>
  <property fmtid="{D5CDD505-2E9C-101B-9397-08002B2CF9AE}" pid="79" name="FSC#EIBPRECONFIG@1.1001:objchangedat">
    <vt:lpwstr>04.01.2012</vt:lpwstr>
  </property>
  <property fmtid="{D5CDD505-2E9C-101B-9397-08002B2CF9AE}" pid="80" name="FSC#EIBPRECONFIG@1.1001:objname">
    <vt:lpwstr>WBF_Laenderberichte_seit_1989</vt:lpwstr>
  </property>
  <property fmtid="{D5CDD505-2E9C-101B-9397-08002B2CF9AE}" pid="81" name="FSC#EIBPRECONFIG@1.1001:EIBProcessResponsiblePhone">
    <vt:lpwstr>+43 1 51433 502084</vt:lpwstr>
  </property>
  <property fmtid="{D5CDD505-2E9C-101B-9397-08002B2CF9AE}" pid="82" name="FSC#EIBPRECONFIG@1.1001:EIBProcessResponsibleMail">
    <vt:lpwstr>Christian.Sturmlechner@bmf.gv.at</vt:lpwstr>
  </property>
  <property fmtid="{D5CDD505-2E9C-101B-9397-08002B2CF9AE}" pid="83" name="FSC#EIBPRECONFIG@1.1001:EIBProcessResponsibleFax">
    <vt:lpwstr>+43 1514335902084</vt:lpwstr>
  </property>
  <property fmtid="{D5CDD505-2E9C-101B-9397-08002B2CF9AE}" pid="84" name="FSC#EIBPRECONFIG@1.1001:EIBProcessResponsible">
    <vt:lpwstr>Mag. Christian Sturmlechner</vt:lpwstr>
  </property>
  <property fmtid="{D5CDD505-2E9C-101B-9397-08002B2CF9AE}" pid="85" name="FSC#EIBPRECONFIG@1.1001:EIBInternalApprovedByPostTitle">
    <vt:lpwstr/>
  </property>
  <property fmtid="{D5CDD505-2E9C-101B-9397-08002B2CF9AE}" pid="86" name="FSC#EIBPRECONFIG@1.1001:EIBSettlementApprovedByPostTitle">
    <vt:lpwstr/>
  </property>
  <property fmtid="{D5CDD505-2E9C-101B-9397-08002B2CF9AE}" pid="87" name="FSC#EIBPRECONFIG@1.1001:EIBApprovedByPostTitle">
    <vt:lpwstr/>
  </property>
  <property fmtid="{D5CDD505-2E9C-101B-9397-08002B2CF9AE}" pid="88" name="FSC#EIBPRECONFIG@1.1001:EIBDispatchedByPostTitle">
    <vt:lpwstr/>
  </property>
  <property fmtid="{D5CDD505-2E9C-101B-9397-08002B2CF9AE}" pid="89" name="FSC#EIBPRECONFIG@1.1001:objchangedbyPostTitle">
    <vt:lpwstr/>
  </property>
  <property fmtid="{D5CDD505-2E9C-101B-9397-08002B2CF9AE}" pid="90" name="FSC#EIBPRECONFIG@1.1001:EIBProcessResponsiblePostTitle">
    <vt:lpwstr/>
  </property>
  <property fmtid="{D5CDD505-2E9C-101B-9397-08002B2CF9AE}" pid="91" name="FSC#EIBPRECONFIG@1.1001:OwnerPostTitle">
    <vt:lpwstr/>
  </property>
  <property fmtid="{D5CDD505-2E9C-101B-9397-08002B2CF9AE}" pid="92" name="FSC#ATSTATECFG@1.1001:Office">
    <vt:lpwstr/>
  </property>
  <property fmtid="{D5CDD505-2E9C-101B-9397-08002B2CF9AE}" pid="93" name="FSC#ATSTATECFG@1.1001:Agent">
    <vt:lpwstr/>
  </property>
  <property fmtid="{D5CDD505-2E9C-101B-9397-08002B2CF9AE}" pid="94" name="FSC#ATSTATECFG@1.1001:AgentPhone">
    <vt:lpwstr/>
  </property>
  <property fmtid="{D5CDD505-2E9C-101B-9397-08002B2CF9AE}" pid="95" name="FSC#ATSTATECFG@1.1001:DepartmentFax">
    <vt:lpwstr>01 514335907128</vt:lpwstr>
  </property>
  <property fmtid="{D5CDD505-2E9C-101B-9397-08002B2CF9AE}" pid="96" name="FSC#ATSTATECFG@1.1001:DepartmentEMail">
    <vt:lpwstr>Post.ii-3@bmf.gv.at</vt:lpwstr>
  </property>
  <property fmtid="{D5CDD505-2E9C-101B-9397-08002B2CF9AE}" pid="97" name="FSC#ATSTATECFG@1.1001:SubfileDate">
    <vt:lpwstr>16.06.2010</vt:lpwstr>
  </property>
  <property fmtid="{D5CDD505-2E9C-101B-9397-08002B2CF9AE}" pid="98" name="FSC#ATSTATECFG@1.1001:SubfileSubject">
    <vt:lpwstr>Wohnbauförderung im Jahr 2010, Jahresberichte der Länder, Aussendung der Formulare und Übermittlung der Zusammenfassung der Berichte über die WBF im Jahr 2009</vt:lpwstr>
  </property>
  <property fmtid="{D5CDD505-2E9C-101B-9397-08002B2CF9AE}" pid="99" name="FSC#ATSTATECFG@1.1001:DepartmentZipCode">
    <vt:lpwstr>1030</vt:lpwstr>
  </property>
  <property fmtid="{D5CDD505-2E9C-101B-9397-08002B2CF9AE}" pid="100" name="FSC#ATSTATECFG@1.1001:DepartmentCountry">
    <vt:lpwstr>A</vt:lpwstr>
  </property>
  <property fmtid="{D5CDD505-2E9C-101B-9397-08002B2CF9AE}" pid="101" name="FSC#ATSTATECFG@1.1001:DepartmentCity">
    <vt:lpwstr>Wien</vt:lpwstr>
  </property>
  <property fmtid="{D5CDD505-2E9C-101B-9397-08002B2CF9AE}" pid="102" name="FSC#ATSTATECFG@1.1001:DepartmentStreet">
    <vt:lpwstr>Hintere Zollamtsstraße 2b</vt:lpwstr>
  </property>
  <property fmtid="{D5CDD505-2E9C-101B-9397-08002B2CF9AE}" pid="103" name="FSC#ATSTATECFG@1.1001:DepartmentDVR">
    <vt:lpwstr/>
  </property>
  <property fmtid="{D5CDD505-2E9C-101B-9397-08002B2CF9AE}" pid="104" name="FSC#ATSTATECFG@1.1001:DepartmentUID">
    <vt:lpwstr/>
  </property>
  <property fmtid="{D5CDD505-2E9C-101B-9397-08002B2CF9AE}" pid="105" name="FSC#ATSTATECFG@1.1001:SubfileReference">
    <vt:lpwstr>BMF-111111/0002-II/3/2011</vt:lpwstr>
  </property>
  <property fmtid="{D5CDD505-2E9C-101B-9397-08002B2CF9AE}" pid="106" name="FSC#ATSTATECFG@1.1001:Clause">
    <vt:lpwstr/>
  </property>
  <property fmtid="{D5CDD505-2E9C-101B-9397-08002B2CF9AE}" pid="107" name="FSC#ATSTATECFG@1.1001:ExternalFile">
    <vt:lpwstr/>
  </property>
  <property fmtid="{D5CDD505-2E9C-101B-9397-08002B2CF9AE}" pid="108" name="FSC#ATSTATECFG@1.1001:ApprovedSignature">
    <vt:lpwstr/>
  </property>
  <property fmtid="{D5CDD505-2E9C-101B-9397-08002B2CF9AE}" pid="109" name="FSC#ATSTATECFG@1.1001:BankAccount">
    <vt:lpwstr/>
  </property>
  <property fmtid="{D5CDD505-2E9C-101B-9397-08002B2CF9AE}" pid="110" name="FSC#ATSTATECFG@1.1001:BankAccountOwner">
    <vt:lpwstr/>
  </property>
  <property fmtid="{D5CDD505-2E9C-101B-9397-08002B2CF9AE}" pid="111" name="FSC#ATSTATECFG@1.1001:BankInstitute">
    <vt:lpwstr/>
  </property>
  <property fmtid="{D5CDD505-2E9C-101B-9397-08002B2CF9AE}" pid="112" name="FSC#ATSTATECFG@1.1001:BankAccountID">
    <vt:lpwstr/>
  </property>
  <property fmtid="{D5CDD505-2E9C-101B-9397-08002B2CF9AE}" pid="113" name="FSC#ATSTATECFG@1.1001:BankAccountIBAN">
    <vt:lpwstr/>
  </property>
  <property fmtid="{D5CDD505-2E9C-101B-9397-08002B2CF9AE}" pid="114" name="FSC#ATSTATECFG@1.1001:BankAccountBIC">
    <vt:lpwstr/>
  </property>
  <property fmtid="{D5CDD505-2E9C-101B-9397-08002B2CF9AE}" pid="115" name="FSC#ATSTATECFG@1.1001:BankName">
    <vt:lpwstr/>
  </property>
</Properties>
</file>